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4-1-0832北京市顺义区向阳南路8号第26幢-1至2层\"/>
    </mc:Choice>
  </mc:AlternateContent>
  <bookViews>
    <workbookView xWindow="14328" yWindow="96" windowWidth="14388" windowHeight="12372"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85" r:id="rId28"/>
    <sheet name="Sheet1" sheetId="84" r:id="rId29"/>
    <sheet name="比较法-租金"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29"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29">'比较法-租金'!$A$1:$K$54,'比较法-租金'!$A$57:$M$131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7">'比较法-住宅'!$B$88:$M$88</definedName>
    <definedName name="住宅朝向">'比较法-租金'!$B$88:$M$88</definedName>
    <definedName name="住宅房型" localSheetId="27">'比较法-住宅'!$B$118:$M$118</definedName>
    <definedName name="住宅房型">'比较法-租金'!$B$118:$M$118</definedName>
    <definedName name="住宅公共部分装修" localSheetId="27">'比较法-住宅'!$B$109:$M$109</definedName>
    <definedName name="住宅公共部分装修">'比较法-租金'!$B$109:$M$109</definedName>
    <definedName name="住宅基础设施水平" localSheetId="27">'比较法-住宅'!$B$116:$M$116</definedName>
    <definedName name="住宅基础设施水平">'比较法-租金'!$B$116:$M$116</definedName>
    <definedName name="住宅建筑结构" localSheetId="27">'比较法-住宅'!$B$105:$M$105</definedName>
    <definedName name="住宅建筑结构">'比较法-租金'!$B$105:$M$105</definedName>
    <definedName name="住宅建筑类型" localSheetId="27">'比较法-住宅'!$B$100:$M$100</definedName>
    <definedName name="住宅建筑类型">'比较法-租金'!$B$100:$M$100</definedName>
    <definedName name="住宅建筑品质" localSheetId="27">'比较法-住宅'!$B$107:$M$107</definedName>
    <definedName name="住宅建筑品质">'比较法-租金'!$B$107:$M$107</definedName>
    <definedName name="住宅交易情况" localSheetId="27">'比较法-住宅'!$A$61:$M$61</definedName>
    <definedName name="住宅交易情况">'比较法-租金'!$A$61:$M$61</definedName>
    <definedName name="住宅楼层" localSheetId="27">'比较法-住宅'!$B$86:$M$86</definedName>
    <definedName name="住宅楼层">'比较法-租金'!$B$86:$M$86</definedName>
    <definedName name="住宅内部装修" localSheetId="27">'比较法-住宅'!$B$122:$M$122</definedName>
    <definedName name="住宅内部装修">'比较法-租金'!$B$122:$M$122</definedName>
    <definedName name="住宅物业管理" localSheetId="27">'比较法-住宅'!$B$114:$M$114</definedName>
    <definedName name="住宅物业管理">'比较法-租金'!$B$114:$M$114</definedName>
    <definedName name="住宅用途" localSheetId="27">'比较法-住宅'!$B$63:$M$63</definedName>
    <definedName name="住宅用途">'比较法-租金'!$B$63:$M$63</definedName>
    <definedName name="住宅主力户型面积" localSheetId="27">'比较法-住宅'!$B$120:$M$120</definedName>
    <definedName name="住宅主力户型面积">'比较法-租金'!$B$120:$M$120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N25" i="1" l="1"/>
  <c r="D90" i="85"/>
  <c r="C90" i="85"/>
  <c r="G33" i="85" l="1"/>
  <c r="E33" i="85"/>
  <c r="C33" i="85"/>
  <c r="F128" i="84"/>
  <c r="I47" i="85" s="1"/>
  <c r="G54" i="85" s="1"/>
  <c r="H54" i="85" s="1"/>
  <c r="G47" i="85"/>
  <c r="E47" i="85"/>
  <c r="P59" i="85"/>
  <c r="O59" i="85"/>
  <c r="M59" i="85"/>
  <c r="L59" i="85"/>
  <c r="J59" i="85"/>
  <c r="I59" i="85"/>
  <c r="G59" i="85"/>
  <c r="F59" i="85"/>
  <c r="Q60" i="85"/>
  <c r="N60" i="85"/>
  <c r="K60" i="85"/>
  <c r="H60" i="85"/>
  <c r="E60" i="85"/>
  <c r="P58" i="85"/>
  <c r="Q58" i="85" s="1"/>
  <c r="G7" i="85"/>
  <c r="E7" i="85"/>
  <c r="G5" i="85"/>
  <c r="E5" i="85"/>
  <c r="D5" i="9"/>
  <c r="U23" i="1"/>
  <c r="U22" i="1"/>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G119" i="85"/>
  <c r="H119" i="85" s="1"/>
  <c r="I119" i="85" s="1"/>
  <c r="J119" i="85" s="1"/>
  <c r="K119" i="85" s="1"/>
  <c r="L119" i="85" s="1"/>
  <c r="M119" i="85" s="1"/>
  <c r="D119" i="85"/>
  <c r="E119" i="85" s="1"/>
  <c r="F119" i="85" s="1"/>
  <c r="D117" i="85"/>
  <c r="E117" i="85" s="1"/>
  <c r="F117" i="85" s="1"/>
  <c r="G117" i="85" s="1"/>
  <c r="E115" i="85"/>
  <c r="F115" i="85" s="1"/>
  <c r="G115" i="85" s="1"/>
  <c r="H115" i="85" s="1"/>
  <c r="I115" i="85" s="1"/>
  <c r="J115" i="85" s="1"/>
  <c r="K115" i="85" s="1"/>
  <c r="L115" i="85" s="1"/>
  <c r="M115" i="85" s="1"/>
  <c r="D115" i="85"/>
  <c r="D113" i="85"/>
  <c r="E113" i="85" s="1"/>
  <c r="L111" i="85"/>
  <c r="K111" i="85"/>
  <c r="J111" i="85"/>
  <c r="I111" i="85"/>
  <c r="H111" i="85"/>
  <c r="G111" i="85"/>
  <c r="F111" i="85"/>
  <c r="E111" i="85"/>
  <c r="D111" i="85"/>
  <c r="C111" i="85"/>
  <c r="D110" i="85"/>
  <c r="E110" i="85" s="1"/>
  <c r="F110" i="85" s="1"/>
  <c r="G110" i="85" s="1"/>
  <c r="H110" i="85" s="1"/>
  <c r="I110" i="85" s="1"/>
  <c r="J110" i="85" s="1"/>
  <c r="K110" i="85" s="1"/>
  <c r="L110" i="85" s="1"/>
  <c r="M110" i="85" s="1"/>
  <c r="E108" i="85"/>
  <c r="F108" i="85" s="1"/>
  <c r="G108" i="85" s="1"/>
  <c r="H108" i="85" s="1"/>
  <c r="I108" i="85" s="1"/>
  <c r="J108" i="85" s="1"/>
  <c r="K108" i="85" s="1"/>
  <c r="L108" i="85" s="1"/>
  <c r="M108" i="85" s="1"/>
  <c r="D108" i="85"/>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H101" i="85"/>
  <c r="I101" i="85" s="1"/>
  <c r="J101" i="85" s="1"/>
  <c r="K101" i="85" s="1"/>
  <c r="L101" i="85" s="1"/>
  <c r="M101" i="85" s="1"/>
  <c r="D101" i="85"/>
  <c r="E101" i="85" s="1"/>
  <c r="F101" i="85" s="1"/>
  <c r="G101" i="85" s="1"/>
  <c r="B98" i="85"/>
  <c r="B96" i="85"/>
  <c r="B94" i="85"/>
  <c r="B92" i="85"/>
  <c r="F28" i="85" s="1"/>
  <c r="B90" i="85"/>
  <c r="G89" i="85"/>
  <c r="H89" i="85" s="1"/>
  <c r="I89" i="85" s="1"/>
  <c r="J89" i="85" s="1"/>
  <c r="K89" i="85" s="1"/>
  <c r="L89" i="85" s="1"/>
  <c r="M89" i="85" s="1"/>
  <c r="D89" i="85"/>
  <c r="E89" i="85" s="1"/>
  <c r="F89" i="85" s="1"/>
  <c r="M87" i="85"/>
  <c r="L87" i="85"/>
  <c r="K87" i="85"/>
  <c r="J87" i="85"/>
  <c r="I87" i="85"/>
  <c r="H87" i="85"/>
  <c r="G87" i="85"/>
  <c r="F87" i="85"/>
  <c r="E87" i="85"/>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W45" i="85"/>
  <c r="Q45" i="85"/>
  <c r="Z45" i="85" s="1"/>
  <c r="J45" i="85"/>
  <c r="AC45" i="85" s="1"/>
  <c r="H45" i="85"/>
  <c r="AB45" i="85" s="1"/>
  <c r="F45" i="85"/>
  <c r="AA45" i="85" s="1"/>
  <c r="Q44" i="85"/>
  <c r="Z44" i="85" s="1"/>
  <c r="J44" i="85"/>
  <c r="AC44" i="85" s="1"/>
  <c r="H44" i="85"/>
  <c r="U44" i="85" s="1"/>
  <c r="F44" i="85"/>
  <c r="AA44" i="85" s="1"/>
  <c r="Q43" i="85"/>
  <c r="Z43" i="85" s="1"/>
  <c r="J43" i="85"/>
  <c r="AC43" i="85" s="1"/>
  <c r="H43" i="85"/>
  <c r="AB43" i="85" s="1"/>
  <c r="F43" i="85"/>
  <c r="AA43" i="85" s="1"/>
  <c r="Z42" i="85"/>
  <c r="Q42" i="85"/>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Z38" i="85"/>
  <c r="Q38" i="85"/>
  <c r="J38" i="85"/>
  <c r="AC38" i="85" s="1"/>
  <c r="H38" i="85"/>
  <c r="AB38" i="85" s="1"/>
  <c r="F38" i="85"/>
  <c r="AA38" i="85" s="1"/>
  <c r="Q37" i="85"/>
  <c r="Z37" i="85" s="1"/>
  <c r="Q36" i="85"/>
  <c r="Z36" i="85" s="1"/>
  <c r="J36" i="85"/>
  <c r="AC36" i="85" s="1"/>
  <c r="H36" i="85"/>
  <c r="U36" i="85" s="1"/>
  <c r="F36" i="85"/>
  <c r="AA36" i="85" s="1"/>
  <c r="Q35" i="85"/>
  <c r="Z35" i="85" s="1"/>
  <c r="J35" i="85"/>
  <c r="AC35" i="85" s="1"/>
  <c r="H35" i="85"/>
  <c r="AB35" i="85" s="1"/>
  <c r="F35" i="85"/>
  <c r="AA35" i="85" s="1"/>
  <c r="Z34" i="85"/>
  <c r="Q34" i="85"/>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W29" i="85" s="1"/>
  <c r="H29" i="85"/>
  <c r="AB29" i="85" s="1"/>
  <c r="F29" i="85"/>
  <c r="AA29" i="85" s="1"/>
  <c r="AC28" i="85"/>
  <c r="AB28" i="85"/>
  <c r="U28" i="85"/>
  <c r="Q28" i="85"/>
  <c r="Z28" i="85" s="1"/>
  <c r="J28" i="85"/>
  <c r="W28" i="85" s="1"/>
  <c r="H28" i="85"/>
  <c r="Q27" i="85"/>
  <c r="Z27" i="85" s="1"/>
  <c r="J27" i="85"/>
  <c r="AC27" i="85" s="1"/>
  <c r="H27" i="85"/>
  <c r="AB27" i="85" s="1"/>
  <c r="F27" i="85"/>
  <c r="S27" i="85" s="1"/>
  <c r="Z26" i="85"/>
  <c r="Q26" i="85"/>
  <c r="J26" i="85"/>
  <c r="AC26" i="85" s="1"/>
  <c r="H26" i="85"/>
  <c r="AB26" i="85" s="1"/>
  <c r="F26" i="85"/>
  <c r="AA26" i="85" s="1"/>
  <c r="W25" i="85"/>
  <c r="Q25" i="85"/>
  <c r="Z25" i="85" s="1"/>
  <c r="J25" i="85"/>
  <c r="AC25" i="85" s="1"/>
  <c r="H25" i="85"/>
  <c r="AB25" i="85" s="1"/>
  <c r="F25" i="85"/>
  <c r="AA25" i="85" s="1"/>
  <c r="U23" i="85"/>
  <c r="Q23" i="85"/>
  <c r="Z23" i="85" s="1"/>
  <c r="J23" i="85"/>
  <c r="W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C7" i="85"/>
  <c r="C58" i="85" s="1"/>
  <c r="D58" i="85" s="1"/>
  <c r="E58" i="85" s="1"/>
  <c r="F58" i="85" s="1"/>
  <c r="F3" i="85"/>
  <c r="D3" i="85"/>
  <c r="K88" i="84"/>
  <c r="K89" i="84"/>
  <c r="K90" i="84"/>
  <c r="K86" i="84"/>
  <c r="K87" i="84"/>
  <c r="K77" i="84"/>
  <c r="K78" i="84"/>
  <c r="K79" i="84"/>
  <c r="K80" i="84"/>
  <c r="K81" i="84"/>
  <c r="K82" i="84"/>
  <c r="K83" i="84"/>
  <c r="K84" i="84"/>
  <c r="K85" i="84"/>
  <c r="I47" i="21"/>
  <c r="G47" i="21"/>
  <c r="E47" i="21"/>
  <c r="I5" i="21"/>
  <c r="G5" i="21"/>
  <c r="E33" i="84"/>
  <c r="E31" i="84"/>
  <c r="E30" i="84"/>
  <c r="J58" i="81"/>
  <c r="AH6" i="1"/>
  <c r="Y6" i="1"/>
  <c r="O21" i="1"/>
  <c r="N23" i="1"/>
  <c r="N20" i="1"/>
  <c r="F2" i="85"/>
  <c r="AA27" i="85" l="1"/>
  <c r="W8" i="85"/>
  <c r="U8" i="85"/>
  <c r="G58" i="85"/>
  <c r="H58" i="85" s="1"/>
  <c r="I58" i="85" s="1"/>
  <c r="J58" i="85" s="1"/>
  <c r="K58" i="85" s="1"/>
  <c r="L58" i="85" s="1"/>
  <c r="M58" i="85" s="1"/>
  <c r="N58" i="85" s="1"/>
  <c r="O58" i="85" s="1"/>
  <c r="J7" i="85"/>
  <c r="H7" i="85"/>
  <c r="S15" i="85"/>
  <c r="U10" i="85"/>
  <c r="W15" i="85"/>
  <c r="W19" i="85"/>
  <c r="F7" i="85"/>
  <c r="S8" i="85"/>
  <c r="W9" i="85"/>
  <c r="S11" i="85"/>
  <c r="U12" i="85"/>
  <c r="W13" i="85"/>
  <c r="AC23" i="85"/>
  <c r="S26" i="85"/>
  <c r="U27" i="85"/>
  <c r="AC29" i="85"/>
  <c r="S31" i="85"/>
  <c r="U32" i="85"/>
  <c r="AB36" i="85"/>
  <c r="U40" i="85"/>
  <c r="AB44" i="85"/>
  <c r="E54" i="85"/>
  <c r="F54" i="85" s="1"/>
  <c r="R47" i="85"/>
  <c r="AA28" i="85"/>
  <c r="S28" i="85"/>
  <c r="U11" i="85"/>
  <c r="W12" i="85"/>
  <c r="S14" i="85"/>
  <c r="S17" i="85"/>
  <c r="S19" i="85"/>
  <c r="S21" i="85"/>
  <c r="S30" i="85"/>
  <c r="U31" i="85"/>
  <c r="S35" i="85"/>
  <c r="S43" i="85"/>
  <c r="U15" i="85"/>
  <c r="U17" i="85"/>
  <c r="U19" i="85"/>
  <c r="U21" i="85"/>
  <c r="W33" i="85"/>
  <c r="S39" i="85"/>
  <c r="W41" i="85"/>
  <c r="I54" i="85"/>
  <c r="J54" i="85" s="1"/>
  <c r="F113" i="85"/>
  <c r="G113" i="85" s="1"/>
  <c r="S10" i="85"/>
  <c r="S9" i="85"/>
  <c r="W11" i="85"/>
  <c r="S13" i="85"/>
  <c r="U14" i="85"/>
  <c r="U9" i="85"/>
  <c r="W10" i="85"/>
  <c r="S12" i="85"/>
  <c r="U13" i="85"/>
  <c r="W14" i="85"/>
  <c r="W17" i="85"/>
  <c r="W21" i="85"/>
  <c r="W32" i="85"/>
  <c r="S34" i="85"/>
  <c r="U35" i="85"/>
  <c r="W36" i="85"/>
  <c r="S38" i="85"/>
  <c r="U39" i="85"/>
  <c r="W40" i="85"/>
  <c r="S42" i="85"/>
  <c r="U43" i="85"/>
  <c r="W44" i="85"/>
  <c r="S46" i="85"/>
  <c r="T47" i="85"/>
  <c r="K144" i="85"/>
  <c r="S25" i="85"/>
  <c r="U26" i="85"/>
  <c r="W27" i="85"/>
  <c r="S29" i="85"/>
  <c r="U30" i="85"/>
  <c r="W31" i="85"/>
  <c r="S33" i="85"/>
  <c r="U34" i="85"/>
  <c r="W35" i="85"/>
  <c r="U38" i="85"/>
  <c r="W39" i="85"/>
  <c r="S41" i="85"/>
  <c r="U42" i="85"/>
  <c r="W43" i="85"/>
  <c r="S45" i="85"/>
  <c r="U46" i="85"/>
  <c r="V47" i="85"/>
  <c r="K141" i="85"/>
  <c r="S23" i="85"/>
  <c r="U25" i="85"/>
  <c r="W26" i="85"/>
  <c r="U29" i="85"/>
  <c r="W30" i="85"/>
  <c r="S32" i="85"/>
  <c r="U33" i="85"/>
  <c r="W34" i="85"/>
  <c r="S36" i="85"/>
  <c r="W38" i="85"/>
  <c r="S40" i="85"/>
  <c r="U41" i="85"/>
  <c r="W42" i="85"/>
  <c r="S44" i="85"/>
  <c r="U45" i="85"/>
  <c r="W46" i="85"/>
  <c r="D33" i="43"/>
  <c r="D3" i="4"/>
  <c r="AA7" i="85" l="1"/>
  <c r="S7" i="85"/>
  <c r="U7" i="85"/>
  <c r="AB7" i="85"/>
  <c r="W7" i="85"/>
  <c r="AC7" i="85"/>
  <c r="H113" i="85"/>
  <c r="F37" i="85" s="1"/>
  <c r="AA37" i="85" s="1"/>
  <c r="O6" i="79"/>
  <c r="N6" i="79"/>
  <c r="M6" i="79"/>
  <c r="P6" i="79" s="1"/>
  <c r="L6" i="79"/>
  <c r="K6" i="79"/>
  <c r="N41" i="79"/>
  <c r="M41" i="79"/>
  <c r="P41" i="79" s="1"/>
  <c r="L41" i="79"/>
  <c r="N40" i="79"/>
  <c r="M40" i="79"/>
  <c r="P40" i="79" s="1"/>
  <c r="L40" i="79"/>
  <c r="N39" i="79"/>
  <c r="M39" i="79"/>
  <c r="P39" i="79" s="1"/>
  <c r="L39" i="79"/>
  <c r="N38" i="79"/>
  <c r="M38" i="79"/>
  <c r="P38" i="79" s="1"/>
  <c r="L38" i="79"/>
  <c r="S37" i="85" l="1"/>
  <c r="H37" i="85"/>
  <c r="U37" i="85" s="1"/>
  <c r="R48" i="85"/>
  <c r="E48" i="85" s="1"/>
  <c r="I113" i="85"/>
  <c r="J113" i="85" s="1"/>
  <c r="K113" i="85" s="1"/>
  <c r="L113" i="85" s="1"/>
  <c r="M113" i="85" s="1"/>
  <c r="J37" i="85"/>
  <c r="G110" i="34"/>
  <c r="H110" i="34"/>
  <c r="I110" i="34"/>
  <c r="J110" i="34"/>
  <c r="K110" i="34"/>
  <c r="G111" i="21"/>
  <c r="H111" i="21"/>
  <c r="I111" i="21"/>
  <c r="J111" i="21"/>
  <c r="K111" i="21"/>
  <c r="AB37" i="85" l="1"/>
  <c r="T48" i="85" s="1"/>
  <c r="G48" i="85" s="1"/>
  <c r="E53" i="85" s="1"/>
  <c r="F53" i="85" s="1"/>
  <c r="E52" i="85"/>
  <c r="F52" i="85" s="1"/>
  <c r="W37" i="85"/>
  <c r="AC37" i="85"/>
  <c r="V48" i="85" s="1"/>
  <c r="I48" i="85" s="1"/>
  <c r="B11" i="15"/>
  <c r="B63" i="81"/>
  <c r="B11" i="81"/>
  <c r="B63" i="15"/>
  <c r="I11" i="81"/>
  <c r="I11" i="15"/>
  <c r="I53" i="85" l="1"/>
  <c r="J53" i="85" s="1"/>
  <c r="I52" i="85"/>
  <c r="J52" i="85" s="1"/>
  <c r="R49" i="85"/>
  <c r="G53" i="85"/>
  <c r="H53" i="85" s="1"/>
  <c r="G52" i="85"/>
  <c r="H52" i="85" s="1"/>
  <c r="F19" i="81"/>
  <c r="C48" i="85" l="1"/>
  <c r="C49" i="85"/>
  <c r="D2" i="85" s="1"/>
  <c r="B2" i="85" s="1"/>
  <c r="B3" i="85" s="1"/>
  <c r="G79" i="36"/>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E14" i="81" l="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N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2" i="79"/>
  <c r="AD45" i="79"/>
  <c r="AD46" i="79"/>
  <c r="AD44" i="79"/>
  <c r="AD43" i="79"/>
  <c r="AR48" i="79"/>
  <c r="AR49" i="79" s="1"/>
  <c r="AR50" i="79" s="1"/>
  <c r="AR51" i="79" s="1"/>
  <c r="AR52" i="79" s="1"/>
  <c r="AR53" i="79" s="1"/>
  <c r="AR54" i="79" s="1"/>
  <c r="AR55" i="79" s="1"/>
  <c r="AR56" i="79" s="1"/>
  <c r="AR57" i="79" s="1"/>
  <c r="AR58" i="79" s="1"/>
  <c r="AR59" i="79" s="1"/>
  <c r="AR60" i="79" s="1"/>
  <c r="Z3" i="79"/>
  <c r="S41" i="79"/>
  <c r="AG41" i="79" s="1"/>
  <c r="S43" i="79"/>
  <c r="AG43" i="79" s="1"/>
  <c r="S42" i="79"/>
  <c r="AG42" i="79" s="1"/>
  <c r="S40" i="79"/>
  <c r="AG40" i="79" s="1"/>
  <c r="S37" i="79"/>
  <c r="AG37" i="79" s="1"/>
  <c r="S39" i="79"/>
  <c r="AG39" i="79" s="1"/>
  <c r="S38" i="79"/>
  <c r="AG38" i="79" s="1"/>
  <c r="AA35" i="79"/>
  <c r="AD35" i="79" s="1"/>
  <c r="T48" i="79"/>
  <c r="U54" i="79"/>
  <c r="AI54" i="79" s="1"/>
  <c r="AD55" i="79"/>
  <c r="S56" i="79"/>
  <c r="AG56" i="79" s="1"/>
  <c r="U58" i="79"/>
  <c r="AI58" i="79" s="1"/>
  <c r="AD59" i="79"/>
  <c r="T43" i="79"/>
  <c r="T39" i="79"/>
  <c r="T41" i="79"/>
  <c r="T38" i="79"/>
  <c r="T37" i="79"/>
  <c r="T42" i="79"/>
  <c r="T40" i="79"/>
  <c r="U41" i="79"/>
  <c r="AI41" i="79" s="1"/>
  <c r="U40" i="79"/>
  <c r="AI40" i="79" s="1"/>
  <c r="U37" i="79"/>
  <c r="AI37" i="79" s="1"/>
  <c r="U43" i="79"/>
  <c r="AI43" i="79" s="1"/>
  <c r="U38" i="79"/>
  <c r="AI38" i="79" s="1"/>
  <c r="U42" i="79"/>
  <c r="AI42"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37" i="79"/>
  <c r="W37" i="79"/>
  <c r="AK37" i="79" s="1"/>
  <c r="W43" i="79"/>
  <c r="AK43" i="79" s="1"/>
  <c r="AH43" i="79"/>
  <c r="W47" i="79"/>
  <c r="AK47" i="79" s="1"/>
  <c r="AH38" i="79"/>
  <c r="W38" i="79"/>
  <c r="AK38" i="79" s="1"/>
  <c r="AH40" i="79"/>
  <c r="W40" i="79"/>
  <c r="AK40" i="79" s="1"/>
  <c r="W41" i="79"/>
  <c r="AK41" i="79" s="1"/>
  <c r="AH41" i="79"/>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U68" i="71"/>
  <c r="E67" i="71"/>
  <c r="E66" i="71" s="1"/>
  <c r="Q28" i="71"/>
  <c r="C59" i="71"/>
  <c r="D59" i="71" s="1"/>
  <c r="D62"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G83" i="21" s="1"/>
  <c r="H1" i="69"/>
  <c r="AC27" i="40"/>
  <c r="W27"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H5" i="3" s="1"/>
  <c r="BI493" i="3"/>
  <c r="BJ493" i="3"/>
  <c r="BK493" i="3"/>
  <c r="BM493" i="3"/>
  <c r="BL493" i="3" s="1"/>
  <c r="BN493" i="3"/>
  <c r="BO493" i="3"/>
  <c r="BP493" i="3"/>
  <c r="BR493" i="3"/>
  <c r="BS493" i="3"/>
  <c r="BT493" i="3"/>
  <c r="H494" i="3"/>
  <c r="AC494" i="3"/>
  <c r="AC5" i="3" s="1"/>
  <c r="BB494" i="3"/>
  <c r="BC494" i="3"/>
  <c r="BD494" i="3"/>
  <c r="BE494" i="3"/>
  <c r="BF494" i="3"/>
  <c r="BG494" i="3"/>
  <c r="BH494" i="3"/>
  <c r="BI494" i="3"/>
  <c r="BI5"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F5" i="3" s="1"/>
  <c r="BG496" i="3"/>
  <c r="BH496" i="3"/>
  <c r="BI496" i="3"/>
  <c r="BJ496" i="3"/>
  <c r="BJ5" i="3" s="1"/>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A498" i="3" s="1"/>
  <c r="AZ498" i="3" s="1"/>
  <c r="BD498" i="3"/>
  <c r="BE498" i="3"/>
  <c r="BF498" i="3"/>
  <c r="BG498" i="3"/>
  <c r="BH498" i="3"/>
  <c r="BI498" i="3"/>
  <c r="BJ498" i="3"/>
  <c r="BK498" i="3"/>
  <c r="BK5" i="3" s="1"/>
  <c r="BM498" i="3"/>
  <c r="BN498" i="3"/>
  <c r="BO498" i="3"/>
  <c r="BP498" i="3"/>
  <c r="BL498" i="3" s="1"/>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G549" i="3" s="1"/>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F25" i="37" s="1"/>
  <c r="AA25" i="37" s="1"/>
  <c r="H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c r="Q26" i="36"/>
  <c r="Z26" i="36" s="1"/>
  <c r="H26" i="36"/>
  <c r="AB26" i="36" s="1"/>
  <c r="Q25" i="36"/>
  <c r="Z25" i="36" s="1"/>
  <c r="Q24" i="36"/>
  <c r="Z24" i="36"/>
  <c r="H24" i="36"/>
  <c r="AB24" i="36" s="1"/>
  <c r="Q23" i="36"/>
  <c r="Z23" i="36" s="1"/>
  <c r="Q22" i="36"/>
  <c r="Z22" i="36"/>
  <c r="J22" i="36"/>
  <c r="AC22" i="36" s="1"/>
  <c r="Q20" i="36"/>
  <c r="Z20" i="36"/>
  <c r="Q16" i="36"/>
  <c r="Z16" i="36" s="1"/>
  <c r="Q14" i="36"/>
  <c r="Z14" i="36" s="1"/>
  <c r="Q13" i="36"/>
  <c r="Z13" i="36" s="1"/>
  <c r="Q12" i="36"/>
  <c r="Z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9" i="39" s="1"/>
  <c r="C15" i="20"/>
  <c r="B72" i="43" s="1"/>
  <c r="E54" i="21"/>
  <c r="F54" i="21" s="1"/>
  <c r="I54" i="21"/>
  <c r="J54" i="21" s="1"/>
  <c r="G54" i="21"/>
  <c r="H54" i="21" s="1"/>
  <c r="D125" i="21"/>
  <c r="E125" i="21" s="1"/>
  <c r="F125" i="21" s="1"/>
  <c r="G125" i="21" s="1"/>
  <c r="D123" i="21"/>
  <c r="E123" i="21"/>
  <c r="F123" i="21" s="1"/>
  <c r="G123" i="21" s="1"/>
  <c r="H123" i="21" s="1"/>
  <c r="F42" i="21"/>
  <c r="D119" i="21"/>
  <c r="F40" i="21"/>
  <c r="AA40" i="21"/>
  <c r="D117" i="21"/>
  <c r="E117" i="21"/>
  <c r="F117" i="21" s="1"/>
  <c r="G117" i="21" s="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U46" i="21" s="1"/>
  <c r="B128" i="21"/>
  <c r="J45" i="21"/>
  <c r="W45" i="21" s="1"/>
  <c r="B126" i="21"/>
  <c r="B98" i="21"/>
  <c r="B96" i="21"/>
  <c r="B94" i="21"/>
  <c r="J29" i="21"/>
  <c r="AC29" i="21" s="1"/>
  <c r="B92" i="21"/>
  <c r="B90" i="21"/>
  <c r="J27" i="2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7" i="39"/>
  <c r="W47" i="39" s="1"/>
  <c r="J46" i="39"/>
  <c r="AC46" i="39"/>
  <c r="F38" i="39"/>
  <c r="S38" i="39" s="1"/>
  <c r="H38" i="39"/>
  <c r="AB38" i="39" s="1"/>
  <c r="J37" i="39"/>
  <c r="AC37" i="39" s="1"/>
  <c r="F37" i="39"/>
  <c r="J38" i="39"/>
  <c r="AC38" i="39" s="1"/>
  <c r="W25" i="37"/>
  <c r="U30" i="37"/>
  <c r="W31" i="37"/>
  <c r="E103" i="37"/>
  <c r="F103" i="37"/>
  <c r="G103" i="37" s="1"/>
  <c r="H103" i="37" s="1"/>
  <c r="I103" i="37" s="1"/>
  <c r="J103" i="37" s="1"/>
  <c r="K103" i="37" s="1"/>
  <c r="L103" i="37" s="1"/>
  <c r="M103" i="37" s="1"/>
  <c r="F29" i="36"/>
  <c r="AA29" i="36" s="1"/>
  <c r="F16" i="36"/>
  <c r="AA16" i="36" s="1"/>
  <c r="J33" i="36"/>
  <c r="AC33" i="36" s="1"/>
  <c r="H22" i="35"/>
  <c r="AB22" i="35" s="1"/>
  <c r="AC27" i="35"/>
  <c r="W28" i="35"/>
  <c r="U31" i="35"/>
  <c r="W22" i="35"/>
  <c r="U34" i="35"/>
  <c r="F36" i="34"/>
  <c r="J35" i="34"/>
  <c r="U34" i="34"/>
  <c r="H39" i="33"/>
  <c r="AB39" i="33"/>
  <c r="F26" i="33"/>
  <c r="U33" i="33"/>
  <c r="U35" i="33"/>
  <c r="S40" i="33"/>
  <c r="W39" i="33"/>
  <c r="H39" i="37"/>
  <c r="AB39" i="37"/>
  <c r="F13" i="40"/>
  <c r="AA13" i="40" s="1"/>
  <c r="H13" i="40"/>
  <c r="AB13" i="40" s="1"/>
  <c r="W10" i="40"/>
  <c r="AA11" i="40"/>
  <c r="U11" i="40"/>
  <c r="S36" i="40"/>
  <c r="U36" i="40"/>
  <c r="S40"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H32" i="33"/>
  <c r="AB32" i="33"/>
  <c r="H11" i="21"/>
  <c r="U11" i="21" s="1"/>
  <c r="J11" i="21"/>
  <c r="W11" i="21" s="1"/>
  <c r="H39" i="40"/>
  <c r="U39" i="40" s="1"/>
  <c r="H38" i="40"/>
  <c r="AB38" i="40" s="1"/>
  <c r="F37" i="40"/>
  <c r="AA37" i="40"/>
  <c r="H25" i="40"/>
  <c r="AB25" i="40" s="1"/>
  <c r="H19" i="40"/>
  <c r="U19" i="40" s="1"/>
  <c r="J17" i="40"/>
  <c r="W17" i="40" s="1"/>
  <c r="J13" i="40"/>
  <c r="AB10" i="39"/>
  <c r="AB12" i="35"/>
  <c r="W34" i="40"/>
  <c r="F39" i="39"/>
  <c r="AA39"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AB40" i="34" s="1"/>
  <c r="E114" i="34"/>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c r="F41" i="33"/>
  <c r="S41" i="33" s="1"/>
  <c r="E113" i="33"/>
  <c r="F113" i="33" s="1"/>
  <c r="F32" i="33"/>
  <c r="AA32" i="33"/>
  <c r="J19" i="33"/>
  <c r="AC19" i="33"/>
  <c r="J15" i="33"/>
  <c r="AC15" i="33"/>
  <c r="F11" i="33"/>
  <c r="AA11" i="33" s="1"/>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W14" i="21"/>
  <c r="F14" i="21"/>
  <c r="S14" i="21" s="1"/>
  <c r="H14" i="21"/>
  <c r="U14"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c r="F45" i="21"/>
  <c r="AA45" i="21" s="1"/>
  <c r="F27" i="33"/>
  <c r="AA27" i="33"/>
  <c r="J13" i="33"/>
  <c r="H13" i="33"/>
  <c r="U13" i="33" s="1"/>
  <c r="F13" i="33"/>
  <c r="AA13" i="33" s="1"/>
  <c r="S13" i="33"/>
  <c r="J29" i="33"/>
  <c r="H29" i="33"/>
  <c r="U29" i="33"/>
  <c r="F29" i="33"/>
  <c r="S29" i="33" s="1"/>
  <c r="J31" i="33"/>
  <c r="H31" i="33"/>
  <c r="F31" i="33"/>
  <c r="AA31" i="33" s="1"/>
  <c r="H45" i="33"/>
  <c r="U45" i="33" s="1"/>
  <c r="J45" i="33"/>
  <c r="W45" i="33" s="1"/>
  <c r="F45" i="33"/>
  <c r="S45" i="33" s="1"/>
  <c r="AA45" i="33"/>
  <c r="J14" i="34"/>
  <c r="W14" i="34" s="1"/>
  <c r="F14" i="34"/>
  <c r="AA14" i="34" s="1"/>
  <c r="S14" i="34"/>
  <c r="H14" i="34"/>
  <c r="U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AA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4" i="40"/>
  <c r="W14" i="40"/>
  <c r="H14" i="33"/>
  <c r="U14" i="33" s="1"/>
  <c r="F14" i="33"/>
  <c r="S14" i="33"/>
  <c r="J14" i="33"/>
  <c r="H30" i="33"/>
  <c r="AB30" i="33" s="1"/>
  <c r="F30" i="33"/>
  <c r="J30" i="33"/>
  <c r="H44" i="33"/>
  <c r="J44" i="33"/>
  <c r="AC44" i="33"/>
  <c r="F44" i="33"/>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5" i="39"/>
  <c r="AA45" i="39" s="1"/>
  <c r="H45" i="39"/>
  <c r="AB45" i="39" s="1"/>
  <c r="J16" i="39"/>
  <c r="AC16" i="39" s="1"/>
  <c r="F16" i="39"/>
  <c r="H16" i="39"/>
  <c r="AB16" i="39" s="1"/>
  <c r="F14" i="40"/>
  <c r="AA14" i="40" s="1"/>
  <c r="H14" i="40"/>
  <c r="AB14" i="40"/>
  <c r="H32" i="40"/>
  <c r="AB32" i="40" s="1"/>
  <c r="F35" i="40"/>
  <c r="AA35" i="40"/>
  <c r="H35" i="40"/>
  <c r="AB35" i="40" s="1"/>
  <c r="J37" i="40"/>
  <c r="AC37" i="40"/>
  <c r="J39" i="40"/>
  <c r="W39" i="40" s="1"/>
  <c r="H15" i="40"/>
  <c r="U15" i="40"/>
  <c r="J15" i="40"/>
  <c r="AC15" i="40" s="1"/>
  <c r="F15" i="40"/>
  <c r="AA15" i="40"/>
  <c r="F14" i="37"/>
  <c r="AA14" i="37" s="1"/>
  <c r="F27" i="37"/>
  <c r="AA27" i="37"/>
  <c r="F15" i="39"/>
  <c r="S15" i="39" s="1"/>
  <c r="J15" i="39"/>
  <c r="W15" i="39" s="1"/>
  <c r="H15" i="39"/>
  <c r="H16" i="40"/>
  <c r="U16" i="40" s="1"/>
  <c r="J16" i="40"/>
  <c r="W16" i="40" s="1"/>
  <c r="F16" i="40"/>
  <c r="J14" i="37"/>
  <c r="J27" i="37"/>
  <c r="AC27" i="37"/>
  <c r="AA14" i="33"/>
  <c r="J36" i="37"/>
  <c r="AC36" i="37" s="1"/>
  <c r="J10" i="36"/>
  <c r="AC10" i="36" s="1"/>
  <c r="AB26" i="33"/>
  <c r="W31" i="34"/>
  <c r="S11" i="36"/>
  <c r="AB46" i="34"/>
  <c r="AB45" i="33"/>
  <c r="BA585" i="3"/>
  <c r="F17" i="21"/>
  <c r="AA17" i="21" s="1"/>
  <c r="H17" i="21"/>
  <c r="AB17" i="21" s="1"/>
  <c r="F15" i="21"/>
  <c r="S15" i="21" s="1"/>
  <c r="J43" i="39"/>
  <c r="W43" i="39" s="1"/>
  <c r="W46" i="39"/>
  <c r="U38" i="39"/>
  <c r="G540" i="3"/>
  <c r="G535" i="3"/>
  <c r="G532" i="3"/>
  <c r="G527" i="3"/>
  <c r="G523" i="3"/>
  <c r="G518" i="3"/>
  <c r="G504" i="3"/>
  <c r="G584" i="3"/>
  <c r="G580" i="3"/>
  <c r="G576" i="3"/>
  <c r="G572" i="3"/>
  <c r="G568" i="3"/>
  <c r="G564" i="3"/>
  <c r="G560" i="3"/>
  <c r="G550" i="3"/>
  <c r="BL584" i="3"/>
  <c r="BL580" i="3"/>
  <c r="BL576" i="3"/>
  <c r="BL572" i="3"/>
  <c r="BL568" i="3"/>
  <c r="BL564" i="3"/>
  <c r="BL560" i="3"/>
  <c r="BL554" i="3"/>
  <c r="BL546" i="3"/>
  <c r="BL512" i="3"/>
  <c r="BL582" i="3"/>
  <c r="BL578" i="3"/>
  <c r="BL574" i="3"/>
  <c r="BL570" i="3"/>
  <c r="BL566" i="3"/>
  <c r="BL562" i="3"/>
  <c r="BL556" i="3"/>
  <c r="BL552" i="3"/>
  <c r="G533" i="3"/>
  <c r="G525" i="3"/>
  <c r="BL510" i="3"/>
  <c r="BA584" i="3"/>
  <c r="BA582" i="3"/>
  <c r="AZ582" i="3" s="1"/>
  <c r="BA580" i="3"/>
  <c r="AZ580" i="3" s="1"/>
  <c r="BA578" i="3"/>
  <c r="BA576" i="3"/>
  <c r="BA574" i="3"/>
  <c r="BA572" i="3"/>
  <c r="BA570" i="3"/>
  <c r="AZ570" i="3" s="1"/>
  <c r="BA568" i="3"/>
  <c r="BA566" i="3"/>
  <c r="AZ566" i="3" s="1"/>
  <c r="BA564" i="3"/>
  <c r="AZ564" i="3" s="1"/>
  <c r="BA562" i="3"/>
  <c r="BA560" i="3"/>
  <c r="BA558" i="3"/>
  <c r="AZ558" i="3"/>
  <c r="BA556" i="3"/>
  <c r="AZ556" i="3" s="1"/>
  <c r="BA552" i="3"/>
  <c r="AZ552" i="3" s="1"/>
  <c r="BA540" i="3"/>
  <c r="BA516" i="3"/>
  <c r="BA504" i="3"/>
  <c r="BA587" i="3"/>
  <c r="BA583" i="3"/>
  <c r="BA581" i="3"/>
  <c r="BA579" i="3"/>
  <c r="AZ579" i="3" s="1"/>
  <c r="BA577" i="3"/>
  <c r="BA575" i="3"/>
  <c r="BA573" i="3"/>
  <c r="BA571" i="3"/>
  <c r="BA569" i="3"/>
  <c r="BA567" i="3"/>
  <c r="BA565" i="3"/>
  <c r="BA563" i="3"/>
  <c r="BA561" i="3"/>
  <c r="BA559" i="3"/>
  <c r="BA555" i="3"/>
  <c r="BA553" i="3"/>
  <c r="AZ553" i="3" s="1"/>
  <c r="BA545" i="3"/>
  <c r="BA529" i="3"/>
  <c r="BA511"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3"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9" i="3"/>
  <c r="G513" i="3"/>
  <c r="G511" i="3"/>
  <c r="BQ519" i="3"/>
  <c r="BQ517" i="3"/>
  <c r="BQ515" i="3"/>
  <c r="BQ513" i="3"/>
  <c r="BQ511" i="3"/>
  <c r="AC509" i="3"/>
  <c r="BQ509" i="3"/>
  <c r="G507" i="3"/>
  <c r="G505" i="3"/>
  <c r="G499" i="3"/>
  <c r="G497"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B27" i="37"/>
  <c r="U32" i="33"/>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c r="S28" i="31"/>
  <c r="S27" i="31"/>
  <c r="S26" i="31"/>
  <c r="W23" i="35"/>
  <c r="U39" i="37"/>
  <c r="U26" i="37"/>
  <c r="W47" i="34"/>
  <c r="AC36" i="34"/>
  <c r="AC45" i="33"/>
  <c r="W44" i="33"/>
  <c r="U11" i="33"/>
  <c r="U19" i="21"/>
  <c r="W44" i="21"/>
  <c r="AB38" i="21"/>
  <c r="F43" i="33"/>
  <c r="AA43" i="33"/>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84" i="3"/>
  <c r="AZ105"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41" i="3"/>
  <c r="BA379" i="3"/>
  <c r="AZ379" i="3" s="1"/>
  <c r="BL380" i="3"/>
  <c r="G381" i="3"/>
  <c r="BA383" i="3"/>
  <c r="BL384" i="3"/>
  <c r="AZ384" i="3" s="1"/>
  <c r="G385" i="3"/>
  <c r="BA387" i="3"/>
  <c r="AZ387" i="3" s="1"/>
  <c r="BL388" i="3"/>
  <c r="G389" i="3"/>
  <c r="BA391" i="3"/>
  <c r="BL392" i="3"/>
  <c r="G393" i="3"/>
  <c r="BO5" i="3"/>
  <c r="AZ325" i="3"/>
  <c r="G548" i="3"/>
  <c r="G520" i="3"/>
  <c r="BS5" i="3"/>
  <c r="BG5" i="3"/>
  <c r="G17" i="3"/>
  <c r="BA17" i="3"/>
  <c r="AZ350" i="3"/>
  <c r="AZ356" i="3"/>
  <c r="BA15" i="3"/>
  <c r="BR5" i="3"/>
  <c r="AZ380" i="3"/>
  <c r="G509" i="3"/>
  <c r="U38" i="40"/>
  <c r="F83" i="43"/>
  <c r="H85" i="43" s="1"/>
  <c r="F50" i="43"/>
  <c r="H54" i="43" s="1"/>
  <c r="F72" i="43"/>
  <c r="H75" i="43" s="1"/>
  <c r="U19" i="39"/>
  <c r="S14" i="35"/>
  <c r="U43" i="21"/>
  <c r="U35" i="21"/>
  <c r="AC35" i="21"/>
  <c r="AZ563" i="3"/>
  <c r="W44" i="34"/>
  <c r="AC44" i="34"/>
  <c r="U13" i="37"/>
  <c r="U14" i="40"/>
  <c r="J37" i="33"/>
  <c r="W37" i="33"/>
  <c r="AC17" i="34"/>
  <c r="J34" i="33"/>
  <c r="W34" i="33" s="1"/>
  <c r="F33" i="34"/>
  <c r="S33" i="34" s="1"/>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U33" i="36"/>
  <c r="AC14" i="39"/>
  <c r="W14" i="39"/>
  <c r="AC41" i="40"/>
  <c r="W41" i="40"/>
  <c r="W12" i="33"/>
  <c r="AC12" i="33"/>
  <c r="AA32" i="36"/>
  <c r="S32" i="36"/>
  <c r="BL14" i="3"/>
  <c r="U30" i="33"/>
  <c r="AC13" i="34"/>
  <c r="W28" i="37"/>
  <c r="S21" i="39"/>
  <c r="F12" i="33"/>
  <c r="AA12" i="33" s="1"/>
  <c r="H14" i="39"/>
  <c r="AB14" i="39" s="1"/>
  <c r="F41" i="40"/>
  <c r="AA41" i="40" s="1"/>
  <c r="BA14" i="3"/>
  <c r="AZ254" i="3"/>
  <c r="AZ189" i="3"/>
  <c r="B12" i="1"/>
  <c r="E12" i="1" s="1"/>
  <c r="B10" i="1"/>
  <c r="E10" i="1" s="1"/>
  <c r="K12" i="1"/>
  <c r="M12" i="1" s="1"/>
  <c r="S13" i="1"/>
  <c r="AR13" i="1" s="1"/>
  <c r="R13" i="1"/>
  <c r="J51" i="67"/>
  <c r="AC34" i="33"/>
  <c r="AA34" i="33"/>
  <c r="AB39" i="40"/>
  <c r="S37" i="40"/>
  <c r="AC38" i="40"/>
  <c r="W40" i="40"/>
  <c r="AA34" i="40"/>
  <c r="S25" i="40"/>
  <c r="AC19" i="40"/>
  <c r="AC17"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AA38" i="37"/>
  <c r="U32" i="37"/>
  <c r="W38" i="37"/>
  <c r="AC35" i="37"/>
  <c r="S30" i="37"/>
  <c r="AC15" i="37"/>
  <c r="J17" i="37"/>
  <c r="W17" i="37"/>
  <c r="G73" i="37"/>
  <c r="F17" i="37"/>
  <c r="AA17" i="37" s="1"/>
  <c r="F75" i="37"/>
  <c r="F19" i="37"/>
  <c r="S19" i="37" s="1"/>
  <c r="F79" i="37"/>
  <c r="G79" i="37" s="1"/>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F34" i="67"/>
  <c r="F62" i="67" s="1"/>
  <c r="M20" i="67"/>
  <c r="F20" i="15"/>
  <c r="F72" i="15" s="1"/>
  <c r="G13" i="3"/>
  <c r="BL17" i="3"/>
  <c r="AZ17" i="3" s="1"/>
  <c r="BL13" i="3"/>
  <c r="J56" i="9"/>
  <c r="J57" i="9" s="1"/>
  <c r="J59" i="9" s="1"/>
  <c r="J61" i="9" s="1"/>
  <c r="U29" i="34"/>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15" i="40"/>
  <c r="S35" i="40"/>
  <c r="AA17" i="40"/>
  <c r="U13" i="40"/>
  <c r="S33" i="40"/>
  <c r="AB15" i="40"/>
  <c r="U17" i="40"/>
  <c r="AB19" i="40"/>
  <c r="U10" i="40"/>
  <c r="S10" i="40"/>
  <c r="U44" i="39"/>
  <c r="W27" i="39"/>
  <c r="AC27" i="39"/>
  <c r="U15" i="39"/>
  <c r="AB15" i="39"/>
  <c r="AA15" i="39"/>
  <c r="S16" i="39"/>
  <c r="AA16" i="39"/>
  <c r="U45" i="39"/>
  <c r="W19" i="39"/>
  <c r="AC19" i="39"/>
  <c r="W33" i="39"/>
  <c r="AC33" i="39"/>
  <c r="S25" i="39"/>
  <c r="W36" i="39"/>
  <c r="U40" i="39"/>
  <c r="S10" i="39"/>
  <c r="S20" i="36"/>
  <c r="AC25" i="36"/>
  <c r="U32" i="36"/>
  <c r="W29" i="36"/>
  <c r="U25" i="36"/>
  <c r="AB28" i="36"/>
  <c r="W9" i="36"/>
  <c r="W22" i="36"/>
  <c r="AB20" i="35"/>
  <c r="AC25" i="35"/>
  <c r="U25" i="35"/>
  <c r="S24" i="35"/>
  <c r="U24" i="35"/>
  <c r="S35" i="35"/>
  <c r="W35" i="35"/>
  <c r="AA16" i="35"/>
  <c r="AA35" i="37"/>
  <c r="W36" i="37"/>
  <c r="S27" i="37"/>
  <c r="S28" i="37"/>
  <c r="W32" i="37"/>
  <c r="U36" i="37"/>
  <c r="S40" i="37"/>
  <c r="U38" i="37"/>
  <c r="AC34" i="37"/>
  <c r="AB35" i="37"/>
  <c r="AA31" i="37"/>
  <c r="U19" i="37"/>
  <c r="AA29" i="37"/>
  <c r="U8" i="37"/>
  <c r="AA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AA26" i="21"/>
  <c r="AB14" i="21"/>
  <c r="AB46" i="21"/>
  <c r="U40" i="21"/>
  <c r="U13" i="21"/>
  <c r="AB13" i="21"/>
  <c r="S35" i="21"/>
  <c r="H15" i="21"/>
  <c r="AB15" i="21" s="1"/>
  <c r="U15" i="2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42" i="21"/>
  <c r="AC45" i="21"/>
  <c r="F10" i="21"/>
  <c r="AA10" i="21" s="1"/>
  <c r="K145" i="21"/>
  <c r="W17" i="21"/>
  <c r="W25" i="21"/>
  <c r="S27" i="21"/>
  <c r="AA15" i="21"/>
  <c r="AC27" i="21"/>
  <c r="AC26" i="21"/>
  <c r="AC34" i="21"/>
  <c r="AB36" i="21"/>
  <c r="C21" i="39"/>
  <c r="C17" i="40"/>
  <c r="C19" i="40"/>
  <c r="C25" i="40"/>
  <c r="C23" i="40"/>
  <c r="U32" i="40"/>
  <c r="B56" i="43"/>
  <c r="B67" i="43"/>
  <c r="B51" i="43"/>
  <c r="B54" i="43"/>
  <c r="B58" i="43"/>
  <c r="B62" i="43"/>
  <c r="B65" i="43"/>
  <c r="B69" i="43"/>
  <c r="D45" i="15"/>
  <c r="E4" i="4"/>
  <c r="B5" i="62" s="1"/>
  <c r="B73" i="72" s="1"/>
  <c r="C4" i="4"/>
  <c r="S41" i="40"/>
  <c r="J34" i="39"/>
  <c r="AC34" i="39" s="1"/>
  <c r="H34" i="39"/>
  <c r="AB34" i="39" s="1"/>
  <c r="AC17" i="37"/>
  <c r="J19" i="37"/>
  <c r="W19" i="37" s="1"/>
  <c r="G75" i="37"/>
  <c r="AA19" i="37"/>
  <c r="AA23" i="37"/>
  <c r="J23" i="37"/>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AC32" i="33"/>
  <c r="U27" i="33"/>
  <c r="AB27" i="33"/>
  <c r="G91" i="33"/>
  <c r="H91" i="33" s="1"/>
  <c r="I91" i="33" s="1"/>
  <c r="J91" i="33" s="1"/>
  <c r="K91" i="33" s="1"/>
  <c r="L91" i="33" s="1"/>
  <c r="M91" i="33" s="1"/>
  <c r="J27" i="33"/>
  <c r="W27" i="33" s="1"/>
  <c r="AA25" i="33"/>
  <c r="G87" i="33"/>
  <c r="H87" i="33" s="1"/>
  <c r="I87" i="33" s="1"/>
  <c r="J87" i="33" s="1"/>
  <c r="K87" i="33" s="1"/>
  <c r="L87" i="33" s="1"/>
  <c r="M87" i="33" s="1"/>
  <c r="J25" i="33"/>
  <c r="W25" i="33" s="1"/>
  <c r="F23" i="33"/>
  <c r="G85" i="33"/>
  <c r="AA19" i="33"/>
  <c r="H19" i="33"/>
  <c r="H17" i="33"/>
  <c r="U17" i="33" s="1"/>
  <c r="F17" i="33"/>
  <c r="S17" i="33" s="1"/>
  <c r="AC17" i="33"/>
  <c r="AA23" i="21"/>
  <c r="J23" i="21"/>
  <c r="AC23" i="21" s="1"/>
  <c r="F85" i="21"/>
  <c r="G85" i="21" s="1"/>
  <c r="H23" i="21"/>
  <c r="AB23" i="21" s="1"/>
  <c r="S13" i="21"/>
  <c r="AP7" i="1"/>
  <c r="AB45" i="21"/>
  <c r="AB9" i="21"/>
  <c r="S32" i="21"/>
  <c r="W9" i="21"/>
  <c r="AC9" i="21"/>
  <c r="U32" i="21"/>
  <c r="W23" i="37"/>
  <c r="AC23" i="37"/>
  <c r="J11" i="37"/>
  <c r="AC11" i="37" s="1"/>
  <c r="J11" i="34"/>
  <c r="W11" i="34" s="1"/>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71" i="15"/>
  <c r="B7" i="76"/>
  <c r="E12" i="76"/>
  <c r="F24" i="15"/>
  <c r="M28" i="15"/>
  <c r="F26" i="67"/>
  <c r="M36" i="15"/>
  <c r="F26" i="15"/>
  <c r="B8" i="76"/>
  <c r="B10" i="76"/>
  <c r="B12" i="76"/>
  <c r="F5" i="73"/>
  <c r="E13" i="76"/>
  <c r="E9" i="76"/>
  <c r="F36" i="67"/>
  <c r="M24" i="15"/>
  <c r="F8" i="67"/>
  <c r="M22" i="67"/>
  <c r="M9" i="67"/>
  <c r="E11" i="76"/>
  <c r="M31" i="15"/>
  <c r="F20" i="31"/>
  <c r="F42" i="67"/>
  <c r="D35" i="9"/>
  <c r="M8" i="67"/>
  <c r="M23" i="67"/>
  <c r="D34" i="9"/>
  <c r="F6" i="73"/>
  <c r="F6" i="67"/>
  <c r="F38" i="67"/>
  <c r="F22" i="15"/>
  <c r="D6" i="73"/>
  <c r="F8" i="15"/>
  <c r="F43" i="67"/>
  <c r="F7" i="15"/>
  <c r="F40" i="67"/>
  <c r="F7" i="73"/>
  <c r="F4" i="73"/>
  <c r="M8" i="15"/>
  <c r="B13" i="76"/>
  <c r="M29" i="67"/>
  <c r="M30" i="15"/>
  <c r="C88" i="15"/>
  <c r="M22" i="15"/>
  <c r="J15" i="67"/>
  <c r="M24" i="67"/>
  <c r="F3" i="73"/>
  <c r="M26" i="67"/>
  <c r="L47" i="67"/>
  <c r="F7" i="67"/>
  <c r="L56" i="15"/>
  <c r="B11" i="76"/>
  <c r="E10" i="76"/>
  <c r="AO13" i="1"/>
  <c r="M28" i="67"/>
  <c r="C76" i="67"/>
  <c r="F6" i="15"/>
  <c r="F37" i="67"/>
  <c r="E7" i="76"/>
  <c r="F16" i="67"/>
  <c r="E8" i="76"/>
  <c r="E2" i="69"/>
  <c r="M6" i="67"/>
  <c r="M6" i="15"/>
  <c r="F9" i="67"/>
  <c r="B9" i="76"/>
  <c r="F38" i="15"/>
  <c r="F30" i="15"/>
  <c r="F13" i="67"/>
  <c r="A24" i="51" l="1"/>
  <c r="B18" i="72" s="1"/>
  <c r="F113" i="21"/>
  <c r="G113" i="21" s="1"/>
  <c r="F37" i="21"/>
  <c r="AA37" i="21" s="1"/>
  <c r="G30" i="12"/>
  <c r="G23" i="68"/>
  <c r="BA13" i="3"/>
  <c r="AZ509" i="3"/>
  <c r="AZ501" i="3"/>
  <c r="AZ536" i="3"/>
  <c r="S25" i="21"/>
  <c r="AA25" i="21"/>
  <c r="AZ529" i="3"/>
  <c r="AZ516" i="3"/>
  <c r="BL521" i="3"/>
  <c r="BA497" i="3"/>
  <c r="AZ497" i="3" s="1"/>
  <c r="BA496" i="3"/>
  <c r="AZ496" i="3" s="1"/>
  <c r="BB5" i="3"/>
  <c r="E5" i="6" s="1"/>
  <c r="D22" i="83" s="1"/>
  <c r="C22" i="83" s="1"/>
  <c r="BE5" i="3"/>
  <c r="AC27" i="33"/>
  <c r="AB29" i="21"/>
  <c r="S17" i="21"/>
  <c r="AC25" i="33"/>
  <c r="U34" i="39"/>
  <c r="AB23" i="33"/>
  <c r="U25" i="33"/>
  <c r="AA34" i="39"/>
  <c r="S12" i="33"/>
  <c r="W33" i="34"/>
  <c r="AB33" i="34"/>
  <c r="S39" i="33"/>
  <c r="AA35" i="33"/>
  <c r="AB17" i="37"/>
  <c r="S32" i="37"/>
  <c r="W13" i="35"/>
  <c r="S20" i="35"/>
  <c r="AA36" i="35"/>
  <c r="AA47" i="34"/>
  <c r="W37" i="37"/>
  <c r="BP5" i="3"/>
  <c r="AZ369" i="3"/>
  <c r="AZ347" i="3"/>
  <c r="AZ344" i="3"/>
  <c r="AZ336" i="3"/>
  <c r="AZ305" i="3"/>
  <c r="G494" i="3"/>
  <c r="AZ360" i="3"/>
  <c r="BL511" i="3"/>
  <c r="AZ511" i="3" s="1"/>
  <c r="BL527" i="3"/>
  <c r="AZ527" i="3" s="1"/>
  <c r="BL539" i="3"/>
  <c r="AZ572" i="3"/>
  <c r="AB30" i="21"/>
  <c r="S16" i="40"/>
  <c r="AA16" i="40"/>
  <c r="S14" i="37"/>
  <c r="W15" i="40"/>
  <c r="AC39" i="40"/>
  <c r="U35" i="40"/>
  <c r="S14" i="40"/>
  <c r="AB46" i="33"/>
  <c r="S44" i="33"/>
  <c r="AA44" i="33"/>
  <c r="S13" i="36"/>
  <c r="AA44" i="34"/>
  <c r="AB23" i="34"/>
  <c r="AA41" i="33"/>
  <c r="U17" i="34"/>
  <c r="U40" i="34"/>
  <c r="B97" i="43"/>
  <c r="B75" i="43"/>
  <c r="AC28" i="36"/>
  <c r="W28" i="36"/>
  <c r="H23" i="36"/>
  <c r="F23" i="36"/>
  <c r="J23" i="36"/>
  <c r="AB31" i="36"/>
  <c r="U31" i="36"/>
  <c r="BL545" i="3"/>
  <c r="BA525" i="3"/>
  <c r="AZ525" i="3" s="1"/>
  <c r="BD5" i="3"/>
  <c r="S17" i="37"/>
  <c r="AA15" i="37"/>
  <c r="S15" i="37"/>
  <c r="BA505" i="3"/>
  <c r="AZ505" i="3" s="1"/>
  <c r="BL500" i="3"/>
  <c r="AZ500" i="3" s="1"/>
  <c r="BN5" i="3"/>
  <c r="BM5" i="3"/>
  <c r="S46" i="21"/>
  <c r="S37" i="37"/>
  <c r="AZ334" i="3"/>
  <c r="AZ364" i="3"/>
  <c r="BL515" i="3"/>
  <c r="AZ515" i="3" s="1"/>
  <c r="AZ571" i="3"/>
  <c r="BA494" i="3"/>
  <c r="AA23" i="40"/>
  <c r="S23" i="40"/>
  <c r="AA26" i="33"/>
  <c r="S26" i="33"/>
  <c r="BA586" i="3"/>
  <c r="BL585" i="3"/>
  <c r="AZ585" i="3" s="1"/>
  <c r="AA42" i="21"/>
  <c r="S42" i="21"/>
  <c r="U25" i="37"/>
  <c r="AB25" i="37"/>
  <c r="AB11" i="39"/>
  <c r="U11" i="39"/>
  <c r="AC33" i="40"/>
  <c r="W33" i="40"/>
  <c r="BL555" i="3"/>
  <c r="BA554" i="3"/>
  <c r="AZ554" i="3" s="1"/>
  <c r="BL551" i="3"/>
  <c r="BA551" i="3"/>
  <c r="BA550" i="3"/>
  <c r="BL548" i="3"/>
  <c r="AZ548" i="3" s="1"/>
  <c r="BA547" i="3"/>
  <c r="AZ547" i="3" s="1"/>
  <c r="G546" i="3"/>
  <c r="BL542" i="3"/>
  <c r="BA542" i="3"/>
  <c r="BL541" i="3"/>
  <c r="AZ541" i="3" s="1"/>
  <c r="BL540" i="3"/>
  <c r="AZ540" i="3" s="1"/>
  <c r="BA539" i="3"/>
  <c r="BL538" i="3"/>
  <c r="BA538" i="3"/>
  <c r="AZ538" i="3" s="1"/>
  <c r="BA534" i="3"/>
  <c r="AZ534" i="3" s="1"/>
  <c r="BL532" i="3"/>
  <c r="AZ532" i="3" s="1"/>
  <c r="BA531" i="3"/>
  <c r="BA530" i="3"/>
  <c r="AZ530" i="3" s="1"/>
  <c r="G530" i="3"/>
  <c r="BA528" i="3"/>
  <c r="AZ528" i="3" s="1"/>
  <c r="BL526" i="3"/>
  <c r="AZ526" i="3" s="1"/>
  <c r="BL524" i="3"/>
  <c r="AZ524" i="3" s="1"/>
  <c r="BA523" i="3"/>
  <c r="AZ523" i="3" s="1"/>
  <c r="BL522" i="3"/>
  <c r="BA522" i="3"/>
  <c r="BA521" i="3"/>
  <c r="BL520" i="3"/>
  <c r="BA520" i="3"/>
  <c r="AZ520" i="3" s="1"/>
  <c r="BL518" i="3"/>
  <c r="AZ518" i="3" s="1"/>
  <c r="G517" i="3"/>
  <c r="BA515" i="3"/>
  <c r="BA514" i="3"/>
  <c r="AZ514" i="3" s="1"/>
  <c r="BL513" i="3"/>
  <c r="BA513" i="3"/>
  <c r="AZ513" i="3" s="1"/>
  <c r="BA512" i="3"/>
  <c r="AZ512" i="3" s="1"/>
  <c r="BA508" i="3"/>
  <c r="AZ508" i="3" s="1"/>
  <c r="BL506" i="3"/>
  <c r="AZ506" i="3" s="1"/>
  <c r="BL504" i="3"/>
  <c r="AZ504" i="3" s="1"/>
  <c r="BA503" i="3"/>
  <c r="AZ503" i="3" s="1"/>
  <c r="BL502" i="3"/>
  <c r="AZ502" i="3" s="1"/>
  <c r="BA502" i="3"/>
  <c r="BL499" i="3"/>
  <c r="AZ499" i="3" s="1"/>
  <c r="BL495" i="3"/>
  <c r="BA495" i="3"/>
  <c r="AC20" i="36"/>
  <c r="U15" i="34"/>
  <c r="AA33" i="34"/>
  <c r="W34" i="39"/>
  <c r="W13" i="21"/>
  <c r="AC15" i="21"/>
  <c r="AB37" i="37"/>
  <c r="S43" i="34"/>
  <c r="AA14" i="39"/>
  <c r="S32" i="40"/>
  <c r="AC12" i="37"/>
  <c r="BL543" i="3"/>
  <c r="AZ543" i="3" s="1"/>
  <c r="BL494" i="3"/>
  <c r="AC31" i="33"/>
  <c r="W31" i="33"/>
  <c r="W13" i="40"/>
  <c r="AC13" i="40"/>
  <c r="C17" i="39"/>
  <c r="AA37" i="39"/>
  <c r="S37" i="39"/>
  <c r="J28" i="21"/>
  <c r="F28" i="21"/>
  <c r="H28" i="21"/>
  <c r="H31" i="21"/>
  <c r="J31" i="21"/>
  <c r="J12" i="36"/>
  <c r="H12" i="36"/>
  <c r="F12" i="36"/>
  <c r="AZ391" i="3"/>
  <c r="AZ313" i="3"/>
  <c r="AZ394" i="3"/>
  <c r="BL519" i="3"/>
  <c r="AZ519" i="3" s="1"/>
  <c r="BL531" i="3"/>
  <c r="AZ531" i="3" s="1"/>
  <c r="AZ573" i="3"/>
  <c r="AZ583" i="3"/>
  <c r="AZ568" i="3"/>
  <c r="AZ576" i="3"/>
  <c r="J39" i="37"/>
  <c r="F39" i="37"/>
  <c r="S39" i="37" s="1"/>
  <c r="H46" i="39"/>
  <c r="F46" i="39"/>
  <c r="AA36" i="39"/>
  <c r="S36" i="39"/>
  <c r="AA31" i="35"/>
  <c r="S31" i="35"/>
  <c r="BL535" i="3"/>
  <c r="AZ535" i="3" s="1"/>
  <c r="AZ557" i="3"/>
  <c r="AZ575" i="3"/>
  <c r="AZ574" i="3"/>
  <c r="AA27" i="35"/>
  <c r="S27" i="35"/>
  <c r="U41" i="40"/>
  <c r="AB41" i="40"/>
  <c r="G556" i="3"/>
  <c r="J29" i="39"/>
  <c r="W29" i="39" s="1"/>
  <c r="S40" i="39"/>
  <c r="U40" i="40"/>
  <c r="W33" i="33"/>
  <c r="G558" i="3"/>
  <c r="AZ458" i="3"/>
  <c r="F9" i="34"/>
  <c r="AA9" i="34" s="1"/>
  <c r="J9" i="34"/>
  <c r="J12" i="34"/>
  <c r="H12" i="34"/>
  <c r="H47" i="39"/>
  <c r="F47" i="39"/>
  <c r="AZ487" i="3"/>
  <c r="B13" i="1"/>
  <c r="E13" i="1" s="1"/>
  <c r="K13" i="1"/>
  <c r="M13" i="1" s="1"/>
  <c r="O13" i="1" s="1"/>
  <c r="P13" i="1" s="1"/>
  <c r="C32" i="71"/>
  <c r="D31"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L455" i="3"/>
  <c r="BA457" i="3"/>
  <c r="BA459" i="3"/>
  <c r="AZ459" i="3" s="1"/>
  <c r="BA460" i="3"/>
  <c r="BA461" i="3"/>
  <c r="AZ461" i="3" s="1"/>
  <c r="BA464" i="3"/>
  <c r="AZ464" i="3" s="1"/>
  <c r="BA467" i="3"/>
  <c r="BA468" i="3"/>
  <c r="AZ483" i="3"/>
  <c r="BA491" i="3"/>
  <c r="AZ491" i="3" s="1"/>
  <c r="BA319" i="3"/>
  <c r="AZ319" i="3" s="1"/>
  <c r="BA248" i="3"/>
  <c r="AZ248"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L456" i="3"/>
  <c r="BA465" i="3"/>
  <c r="AZ465" i="3" s="1"/>
  <c r="BL469" i="3"/>
  <c r="AZ469" i="3" s="1"/>
  <c r="BL476" i="3"/>
  <c r="AZ476" i="3" s="1"/>
  <c r="BL477" i="3"/>
  <c r="BL478" i="3"/>
  <c r="BA482" i="3"/>
  <c r="BA484" i="3"/>
  <c r="AZ484" i="3" s="1"/>
  <c r="BA488" i="3"/>
  <c r="AZ488" i="3" s="1"/>
  <c r="BL316" i="3"/>
  <c r="BL324" i="3"/>
  <c r="AZ324" i="3" s="1"/>
  <c r="BL328" i="3"/>
  <c r="AZ328" i="3" s="1"/>
  <c r="BL340" i="3"/>
  <c r="AZ340" i="3" s="1"/>
  <c r="BL346" i="3"/>
  <c r="AZ346" i="3" s="1"/>
  <c r="BA366" i="3"/>
  <c r="AZ366" i="3" s="1"/>
  <c r="BL385" i="3"/>
  <c r="BA392" i="3"/>
  <c r="AZ392" i="3" s="1"/>
  <c r="BA397" i="3"/>
  <c r="BL397" i="3"/>
  <c r="BA214" i="3"/>
  <c r="AZ214" i="3" s="1"/>
  <c r="BL215" i="3"/>
  <c r="BL219" i="3"/>
  <c r="BL230" i="3"/>
  <c r="G585" i="3"/>
  <c r="BL587" i="3"/>
  <c r="AZ587" i="3" s="1"/>
  <c r="BL586" i="3"/>
  <c r="G551" i="3"/>
  <c r="BL550" i="3"/>
  <c r="G542" i="3"/>
  <c r="BA401" i="3"/>
  <c r="AZ401" i="3" s="1"/>
  <c r="BA403" i="3"/>
  <c r="BA404" i="3"/>
  <c r="BA405" i="3"/>
  <c r="AZ405" i="3" s="1"/>
  <c r="BL410" i="3"/>
  <c r="G412" i="3"/>
  <c r="G418" i="3"/>
  <c r="BA422" i="3"/>
  <c r="AZ422" i="3" s="1"/>
  <c r="G429" i="3"/>
  <c r="BL431" i="3"/>
  <c r="G433" i="3"/>
  <c r="BL434" i="3"/>
  <c r="G436" i="3"/>
  <c r="BL438" i="3"/>
  <c r="BL439" i="3"/>
  <c r="BA441" i="3"/>
  <c r="AZ441" i="3" s="1"/>
  <c r="BL445" i="3"/>
  <c r="BL446" i="3"/>
  <c r="BL449" i="3"/>
  <c r="BL450" i="3"/>
  <c r="BL452" i="3"/>
  <c r="G454" i="3"/>
  <c r="G466" i="3"/>
  <c r="BL466" i="3"/>
  <c r="AZ466" i="3" s="1"/>
  <c r="G468" i="3"/>
  <c r="BL470" i="3"/>
  <c r="G472" i="3"/>
  <c r="G473" i="3"/>
  <c r="BL473" i="3"/>
  <c r="AZ473" i="3" s="1"/>
  <c r="BL474" i="3"/>
  <c r="G475" i="3"/>
  <c r="BA481" i="3"/>
  <c r="G489" i="3"/>
  <c r="BL489" i="3"/>
  <c r="BL491" i="3"/>
  <c r="BL492" i="3"/>
  <c r="G307" i="3"/>
  <c r="BA315" i="3"/>
  <c r="AZ315" i="3" s="1"/>
  <c r="BA333" i="3"/>
  <c r="BA354" i="3"/>
  <c r="BL383" i="3"/>
  <c r="AZ383" i="3" s="1"/>
  <c r="BA208" i="3"/>
  <c r="AZ208" i="3" s="1"/>
  <c r="BA212" i="3"/>
  <c r="BL213" i="3"/>
  <c r="BL216" i="3"/>
  <c r="BA225" i="3"/>
  <c r="G241" i="3"/>
  <c r="BA250" i="3"/>
  <c r="AZ250" i="3" s="1"/>
  <c r="BL259" i="3"/>
  <c r="G268"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G250" i="3"/>
  <c r="BL250" i="3"/>
  <c r="G252" i="3"/>
  <c r="G254" i="3"/>
  <c r="BA259" i="3"/>
  <c r="AZ259" i="3" s="1"/>
  <c r="BL261" i="3"/>
  <c r="BA263" i="3"/>
  <c r="AZ263" i="3" s="1"/>
  <c r="BA267" i="3"/>
  <c r="AZ267" i="3" s="1"/>
  <c r="BA269" i="3"/>
  <c r="AZ269" i="3" s="1"/>
  <c r="BA271" i="3"/>
  <c r="AZ271" i="3" s="1"/>
  <c r="BL271" i="3"/>
  <c r="BA274" i="3"/>
  <c r="BL274" i="3"/>
  <c r="BA276" i="3"/>
  <c r="BA279" i="3"/>
  <c r="BA291" i="3"/>
  <c r="AZ291" i="3" s="1"/>
  <c r="BA162" i="3"/>
  <c r="AZ162" i="3" s="1"/>
  <c r="G202"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G284" i="3"/>
  <c r="BL285" i="3"/>
  <c r="BL293" i="3"/>
  <c r="BL294" i="3"/>
  <c r="BA297" i="3"/>
  <c r="AZ297" i="3" s="1"/>
  <c r="BL297" i="3"/>
  <c r="G155" i="3"/>
  <c r="BL158" i="3"/>
  <c r="BA168" i="3"/>
  <c r="AZ168" i="3" s="1"/>
  <c r="G178" i="3"/>
  <c r="BA22" i="3"/>
  <c r="BA43" i="3"/>
  <c r="AZ62" i="3"/>
  <c r="AZ100"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G287" i="3"/>
  <c r="BA288" i="3"/>
  <c r="BA290" i="3"/>
  <c r="G158" i="3"/>
  <c r="G164" i="3"/>
  <c r="AZ27" i="3"/>
  <c r="BA40" i="3"/>
  <c r="G51" i="3"/>
  <c r="BA78" i="3"/>
  <c r="G89" i="3"/>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G27" i="3"/>
  <c r="BA27" i="3"/>
  <c r="BL30" i="3"/>
  <c r="BL31" i="3"/>
  <c r="AZ31" i="3" s="1"/>
  <c r="G37" i="3"/>
  <c r="BL40" i="3"/>
  <c r="BL41" i="3"/>
  <c r="AZ41" i="3" s="1"/>
  <c r="BL45" i="3"/>
  <c r="BA48" i="3"/>
  <c r="BA49" i="3"/>
  <c r="BA51" i="3"/>
  <c r="BL57" i="3"/>
  <c r="AZ57" i="3" s="1"/>
  <c r="G59" i="3"/>
  <c r="BL62" i="3"/>
  <c r="BL63" i="3"/>
  <c r="AZ63" i="3" s="1"/>
  <c r="BL65" i="3"/>
  <c r="AZ65" i="3" s="1"/>
  <c r="BL66" i="3"/>
  <c r="AZ66" i="3" s="1"/>
  <c r="BL67" i="3"/>
  <c r="AZ67" i="3" s="1"/>
  <c r="BL70" i="3"/>
  <c r="AZ70" i="3" s="1"/>
  <c r="BL71" i="3"/>
  <c r="AZ71" i="3" s="1"/>
  <c r="BL72" i="3"/>
  <c r="AZ72" i="3" s="1"/>
  <c r="BL75" i="3"/>
  <c r="G81" i="3"/>
  <c r="BL97" i="3"/>
  <c r="BL101" i="3"/>
  <c r="BL102" i="3"/>
  <c r="AZ102" i="3" s="1"/>
  <c r="G105" i="3"/>
  <c r="BL106" i="3"/>
  <c r="BA108" i="3"/>
  <c r="D46" i="71"/>
  <c r="C47" i="71"/>
  <c r="D47" i="71" s="1"/>
  <c r="C52" i="71"/>
  <c r="D51" i="71"/>
  <c r="C64" i="71"/>
  <c r="D63" i="71"/>
  <c r="N67" i="71"/>
  <c r="B66" i="71"/>
  <c r="BA281" i="3"/>
  <c r="G286"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G83" i="3"/>
  <c r="BA84" i="3"/>
  <c r="BL88" i="3"/>
  <c r="AZ88" i="3" s="1"/>
  <c r="G90" i="3"/>
  <c r="BL90" i="3"/>
  <c r="BL94" i="3"/>
  <c r="AZ94" i="3" s="1"/>
  <c r="BA111" i="3"/>
  <c r="C55" i="71"/>
  <c r="D54" i="71"/>
  <c r="BL283" i="3"/>
  <c r="AZ283" i="3" s="1"/>
  <c r="BL284" i="3"/>
  <c r="AZ284" i="3" s="1"/>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L54" i="3"/>
  <c r="BL76" i="3"/>
  <c r="BL77" i="3"/>
  <c r="AZ77" i="3" s="1"/>
  <c r="BA79" i="3"/>
  <c r="AZ79" i="3" s="1"/>
  <c r="G82" i="3"/>
  <c r="BL83" i="3"/>
  <c r="G86" i="3"/>
  <c r="G87" i="3"/>
  <c r="BA90" i="3"/>
  <c r="BA97" i="3"/>
  <c r="AZ97" i="3" s="1"/>
  <c r="BA101" i="3"/>
  <c r="AZ101" i="3" s="1"/>
  <c r="BA109" i="3"/>
  <c r="P65" i="71"/>
  <c r="P66" i="71"/>
  <c r="T40" i="71"/>
  <c r="D40" i="71"/>
  <c r="V24" i="71"/>
  <c r="E23" i="71"/>
  <c r="E22" i="71" s="1"/>
  <c r="E21" i="71" s="1"/>
  <c r="E20" i="71" s="1"/>
  <c r="B68" i="43"/>
  <c r="B88" i="43"/>
  <c r="D39" i="71"/>
  <c r="C74" i="71"/>
  <c r="D74" i="71" s="1"/>
  <c r="AA3" i="71"/>
  <c r="C27" i="71"/>
  <c r="D30" i="71"/>
  <c r="Y27" i="71"/>
  <c r="Z27" i="71" s="1"/>
  <c r="AA34" i="71"/>
  <c r="AB35" i="71"/>
  <c r="B51" i="71"/>
  <c r="B52" i="71" s="1"/>
  <c r="S52" i="71" s="1"/>
  <c r="B71" i="71"/>
  <c r="B70" i="71" s="1"/>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S18" i="36"/>
  <c r="B77" i="43"/>
  <c r="AA18" i="35"/>
  <c r="O66" i="71"/>
  <c r="O67" i="71"/>
  <c r="AA28" i="71"/>
  <c r="AB27" i="71"/>
  <c r="C87" i="71"/>
  <c r="AB25" i="71"/>
  <c r="C43" i="71"/>
  <c r="C35" i="71"/>
  <c r="E38" i="71"/>
  <c r="E39" i="71" s="1"/>
  <c r="E40" i="71" s="1"/>
  <c r="U40" i="71" s="1"/>
  <c r="X33" i="71"/>
  <c r="AB37" i="71"/>
  <c r="G108" i="3"/>
  <c r="BL112" i="3"/>
  <c r="X28" i="71"/>
  <c r="L8" i="15"/>
  <c r="E8" i="15"/>
  <c r="M14" i="15"/>
  <c r="F14" i="15"/>
  <c r="E14" i="15"/>
  <c r="F66" i="15"/>
  <c r="U13" i="39"/>
  <c r="U29" i="35"/>
  <c r="AB36" i="33"/>
  <c r="S36" i="33"/>
  <c r="S37" i="34"/>
  <c r="C7" i="15"/>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F59" i="15"/>
  <c r="F60" i="15"/>
  <c r="E60" i="15" s="1"/>
  <c r="F66" i="67"/>
  <c r="L68" i="15"/>
  <c r="N68" i="15"/>
  <c r="M68" i="15"/>
  <c r="F78" i="15"/>
  <c r="Q71" i="67"/>
  <c r="F75" i="15"/>
  <c r="C27" i="67"/>
  <c r="F71" i="67"/>
  <c r="F77" i="15"/>
  <c r="N59" i="67"/>
  <c r="L59" i="67"/>
  <c r="M59" i="67"/>
  <c r="B13" i="70"/>
  <c r="M7" i="67"/>
  <c r="J6" i="67" s="1"/>
  <c r="F50" i="67"/>
  <c r="F68" i="67"/>
  <c r="F64" i="67"/>
  <c r="D9" i="69"/>
  <c r="D21" i="12"/>
  <c r="D15" i="68"/>
  <c r="C19" i="81"/>
  <c r="C71" i="81"/>
  <c r="L57" i="15"/>
  <c r="M9" i="81"/>
  <c r="F30" i="81"/>
  <c r="M30" i="81"/>
  <c r="L48" i="67"/>
  <c r="F8" i="81"/>
  <c r="F32" i="81"/>
  <c r="F9" i="15"/>
  <c r="D4" i="73"/>
  <c r="M26" i="81"/>
  <c r="F26" i="81"/>
  <c r="M28" i="81"/>
  <c r="M9" i="15"/>
  <c r="M31" i="81"/>
  <c r="F22" i="81"/>
  <c r="F38" i="81"/>
  <c r="L57" i="81"/>
  <c r="L56" i="81"/>
  <c r="F52" i="81"/>
  <c r="F48" i="15"/>
  <c r="D3" i="73"/>
  <c r="F7" i="81"/>
  <c r="D7" i="73"/>
  <c r="M6" i="81"/>
  <c r="F9" i="81"/>
  <c r="M8" i="81"/>
  <c r="F48" i="81"/>
  <c r="D5" i="73"/>
  <c r="D15" i="80"/>
  <c r="C88" i="81"/>
  <c r="F28" i="81"/>
  <c r="F52" i="15"/>
  <c r="F32" i="15"/>
  <c r="M36" i="81"/>
  <c r="F24" i="81"/>
  <c r="M26" i="15"/>
  <c r="C16" i="67"/>
  <c r="F28" i="15"/>
  <c r="M24" i="81"/>
  <c r="C38" i="15"/>
  <c r="M22" i="81"/>
  <c r="S37" i="21" l="1"/>
  <c r="H113" i="21"/>
  <c r="H37" i="21"/>
  <c r="E12" i="6"/>
  <c r="E59" i="40" s="1"/>
  <c r="Q16" i="1"/>
  <c r="F27" i="69" s="1"/>
  <c r="F45" i="69" s="1"/>
  <c r="H16" i="1"/>
  <c r="F80" i="15"/>
  <c r="C49" i="15"/>
  <c r="F84" i="15"/>
  <c r="J9" i="15"/>
  <c r="C44" i="71"/>
  <c r="D43" i="71"/>
  <c r="B27" i="71"/>
  <c r="B26" i="71" s="1"/>
  <c r="S28" i="71"/>
  <c r="C56" i="71"/>
  <c r="D55" i="71"/>
  <c r="AZ51" i="3"/>
  <c r="AB47" i="39"/>
  <c r="U47" i="39"/>
  <c r="AA46" i="39"/>
  <c r="S46" i="39"/>
  <c r="U12" i="36"/>
  <c r="AB12" i="36"/>
  <c r="AB28" i="21"/>
  <c r="U28" i="21"/>
  <c r="AZ586" i="3"/>
  <c r="AC23" i="36"/>
  <c r="W23" i="36"/>
  <c r="J7" i="36"/>
  <c r="G5" i="3"/>
  <c r="B3" i="3" s="1"/>
  <c r="AT6" i="3" s="1"/>
  <c r="C9" i="15"/>
  <c r="C6" i="15" s="1"/>
  <c r="C26" i="71"/>
  <c r="D26" i="71" s="1"/>
  <c r="D27" i="71"/>
  <c r="AZ294" i="3"/>
  <c r="AZ111" i="3"/>
  <c r="AZ49" i="3"/>
  <c r="AZ332" i="3"/>
  <c r="AZ274" i="3"/>
  <c r="AZ223" i="3"/>
  <c r="AZ404" i="3"/>
  <c r="AZ397" i="3"/>
  <c r="AZ460" i="3"/>
  <c r="U12" i="34"/>
  <c r="AB12" i="34"/>
  <c r="AB46" i="39"/>
  <c r="U46" i="39"/>
  <c r="AC12" i="36"/>
  <c r="W12" i="36"/>
  <c r="AA28" i="21"/>
  <c r="S28" i="21"/>
  <c r="AZ522" i="3"/>
  <c r="AZ542" i="3"/>
  <c r="AA23" i="36"/>
  <c r="S23" i="36"/>
  <c r="AZ539" i="3"/>
  <c r="C86" i="71"/>
  <c r="D86" i="71" s="1"/>
  <c r="D87" i="71"/>
  <c r="AZ84" i="3"/>
  <c r="N65" i="71"/>
  <c r="N66" i="71"/>
  <c r="AZ108" i="3"/>
  <c r="AZ182" i="3"/>
  <c r="AZ137" i="3"/>
  <c r="AZ243" i="3"/>
  <c r="AZ403" i="3"/>
  <c r="AZ425" i="3"/>
  <c r="W12" i="34"/>
  <c r="AC12" i="34"/>
  <c r="AC31" i="21"/>
  <c r="W31" i="21"/>
  <c r="W28" i="21"/>
  <c r="AC28" i="21"/>
  <c r="AZ550" i="3"/>
  <c r="AZ494" i="3"/>
  <c r="AB23" i="36"/>
  <c r="U23" i="36"/>
  <c r="G29" i="6"/>
  <c r="C36" i="71"/>
  <c r="D35" i="71"/>
  <c r="AZ29" i="3"/>
  <c r="AZ59" i="3"/>
  <c r="T52" i="71"/>
  <c r="D52" i="71"/>
  <c r="AZ415" i="3"/>
  <c r="AZ457" i="3"/>
  <c r="T32" i="71"/>
  <c r="D32" i="71"/>
  <c r="S47" i="39"/>
  <c r="AA47" i="39"/>
  <c r="AC9" i="34"/>
  <c r="W9" i="34"/>
  <c r="AC39" i="37"/>
  <c r="W39" i="37"/>
  <c r="S12" i="36"/>
  <c r="AA12" i="36"/>
  <c r="AB31" i="21"/>
  <c r="U31" i="21"/>
  <c r="AZ551" i="3"/>
  <c r="AZ521" i="3"/>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5"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E574" i="3"/>
  <c r="E359" i="3"/>
  <c r="E285" i="3"/>
  <c r="E390" i="3"/>
  <c r="S6" i="3"/>
  <c r="E523" i="3"/>
  <c r="E418" i="3"/>
  <c r="E338" i="3"/>
  <c r="E321" i="3"/>
  <c r="E169"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AC6" i="3" s="1"/>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C38" i="81"/>
  <c r="G1" i="73"/>
  <c r="C19" i="15"/>
  <c r="U37" i="21" l="1"/>
  <c r="AB37" i="21"/>
  <c r="I113" i="21"/>
  <c r="J113" i="21" s="1"/>
  <c r="K113" i="21" s="1"/>
  <c r="L113" i="21" s="1"/>
  <c r="M113" i="21" s="1"/>
  <c r="J37" i="21"/>
  <c r="F66" i="81"/>
  <c r="C29" i="69"/>
  <c r="D27" i="69" s="1"/>
  <c r="C47" i="69"/>
  <c r="D45" i="69" s="1"/>
  <c r="M14" i="81"/>
  <c r="F52" i="80"/>
  <c r="D36" i="71"/>
  <c r="T36" i="71"/>
  <c r="G16" i="1"/>
  <c r="H12" i="40" s="1"/>
  <c r="AB12" i="40" s="1"/>
  <c r="E29" i="6"/>
  <c r="G30" i="6"/>
  <c r="G31" i="6" s="1"/>
  <c r="U7" i="36"/>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T44" i="71"/>
  <c r="D44" i="71"/>
  <c r="Q61" i="15"/>
  <c r="F1" i="15"/>
  <c r="J9" i="81"/>
  <c r="C10" i="15"/>
  <c r="C5" i="15" s="1"/>
  <c r="C62" i="15"/>
  <c r="C54" i="80"/>
  <c r="Q84" i="15"/>
  <c r="C29" i="80"/>
  <c r="E53" i="40"/>
  <c r="E58" i="39"/>
  <c r="F69" i="39"/>
  <c r="L68" i="81"/>
  <c r="Q85" i="81" s="1"/>
  <c r="F1" i="67"/>
  <c r="Q73" i="67"/>
  <c r="C52" i="12"/>
  <c r="E3" i="6"/>
  <c r="M18" i="9" s="1"/>
  <c r="B118" i="9" s="1"/>
  <c r="B1" i="74" s="1"/>
  <c r="AS16" i="1"/>
  <c r="F34" i="83" s="1"/>
  <c r="Q69" i="81"/>
  <c r="J10" i="81"/>
  <c r="C59" i="81"/>
  <c r="C61" i="81" s="1"/>
  <c r="C58" i="81" s="1"/>
  <c r="C62" i="81" s="1"/>
  <c r="C57" i="81" s="1"/>
  <c r="C78" i="81" s="1"/>
  <c r="D26" i="43"/>
  <c r="C25" i="43" s="1"/>
  <c r="C33" i="43" s="1"/>
  <c r="C7" i="80" s="1"/>
  <c r="C8" i="80" s="1"/>
  <c r="C6" i="8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81"/>
  <c r="M29" i="81"/>
  <c r="M27" i="67"/>
  <c r="C10" i="80"/>
  <c r="F41" i="67"/>
  <c r="M29" i="15"/>
  <c r="F29" i="15"/>
  <c r="W37" i="21" l="1"/>
  <c r="AC37" i="21"/>
  <c r="AA12" i="40"/>
  <c r="K15" i="1"/>
  <c r="K16" i="1" s="1"/>
  <c r="E30" i="6"/>
  <c r="E31" i="6" s="1"/>
  <c r="J6" i="81"/>
  <c r="J16" i="81" s="1"/>
  <c r="C57" i="15"/>
  <c r="C26" i="15"/>
  <c r="C28"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D16" i="80"/>
  <c r="C17" i="67"/>
  <c r="C14" i="67"/>
  <c r="C36" i="81"/>
  <c r="C39" i="15"/>
  <c r="C16" i="80" l="1"/>
  <c r="C14" i="80" s="1"/>
  <c r="D17" i="80"/>
  <c r="C30" i="43"/>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F10" i="80"/>
  <c r="E6" i="76"/>
  <c r="C36" i="15"/>
  <c r="C18" i="80" l="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13" i="80" l="1"/>
  <c r="C9" i="80" s="1"/>
  <c r="C21" i="80" s="1"/>
  <c r="C28" i="80" s="1"/>
  <c r="C27" i="80" s="1"/>
  <c r="C43" i="80"/>
  <c r="C40" i="80" s="1"/>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15"/>
  <c r="M21" i="67"/>
  <c r="F35" i="67"/>
  <c r="F21" i="15"/>
  <c r="M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U6" i="1" s="1"/>
  <c r="C48" i="21"/>
  <c r="E53" i="21"/>
  <c r="F53" i="21" s="1"/>
  <c r="G42" i="35"/>
  <c r="H42" i="35" s="1"/>
  <c r="K67" i="40"/>
  <c r="L65" i="40"/>
  <c r="F6" i="81"/>
  <c r="C32" i="80" l="1"/>
  <c r="C33" i="80" s="1"/>
  <c r="D3" i="80" s="1"/>
  <c r="F14" i="81"/>
  <c r="C7" i="81"/>
  <c r="C9" i="81" s="1"/>
  <c r="C6" i="81" s="1"/>
  <c r="F25" i="81"/>
  <c r="C87" i="81"/>
  <c r="J36" i="81"/>
  <c r="J37" i="81" s="1"/>
  <c r="J22" i="81"/>
  <c r="C59" i="80"/>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B2" i="80"/>
  <c r="C16" i="81"/>
  <c r="C10" i="81"/>
  <c r="C5" i="81" s="1"/>
  <c r="C26" i="81" s="1"/>
  <c r="C17" i="81"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L51" i="67"/>
  <c r="F2" i="33"/>
  <c r="C18" i="81" l="1"/>
  <c r="C15" i="81" s="1"/>
  <c r="C14" i="81" s="1"/>
  <c r="C13" i="81" s="1"/>
  <c r="C27"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7"/>
  <c r="F2" i="35"/>
  <c r="F2" i="36"/>
  <c r="F2" i="34"/>
  <c r="C20" i="9"/>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L60" i="15"/>
  <c r="J32" i="15" l="1"/>
  <c r="Q56" i="15"/>
  <c r="Q62" i="15" s="1"/>
  <c r="Q74" i="15"/>
  <c r="Q65" i="15"/>
  <c r="L66" i="15"/>
  <c r="L69" i="15" s="1"/>
  <c r="Q77" i="15"/>
  <c r="Q80" i="15"/>
  <c r="Q79" i="15" s="1"/>
  <c r="C92" i="15"/>
  <c r="C91" i="15" s="1"/>
  <c r="F33" i="15"/>
  <c r="D102" i="9"/>
  <c r="I19" i="9"/>
  <c r="B7" i="70"/>
  <c r="D103" i="9"/>
  <c r="G20" i="9"/>
  <c r="D22" i="9"/>
  <c r="G19" i="9"/>
  <c r="F67" i="39"/>
  <c r="B2" i="39" s="1"/>
  <c r="C32" i="15"/>
  <c r="C55" i="15"/>
  <c r="D6" i="71"/>
  <c r="C5" i="71"/>
  <c r="D5" i="71" s="1"/>
  <c r="M24" i="43" s="1"/>
  <c r="C44" i="40"/>
  <c r="C45" i="40"/>
  <c r="E49" i="40"/>
  <c r="F49" i="40" s="1"/>
  <c r="E48" i="40"/>
  <c r="F48" i="40" s="1"/>
  <c r="I49" i="40"/>
  <c r="J49" i="40" s="1"/>
  <c r="G22" i="9" l="1"/>
  <c r="D14" i="74"/>
  <c r="C32" i="9"/>
  <c r="N119" i="9" s="1"/>
  <c r="H118" i="9" s="1"/>
  <c r="E14" i="74"/>
  <c r="N117" i="9"/>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C34" i="9"/>
  <c r="M117" i="9"/>
  <c r="M119" i="9"/>
  <c r="F118" i="9" s="1"/>
  <c r="G118" i="9" s="1"/>
  <c r="B3" i="40"/>
  <c r="B4" i="40"/>
  <c r="B5" i="40"/>
  <c r="C95" i="15"/>
  <c r="C94" i="15" s="1"/>
  <c r="F14" i="74"/>
  <c r="B5" i="74"/>
  <c r="AO6" i="1"/>
  <c r="AO9" i="1"/>
  <c r="AO8"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<sst xmlns="http://schemas.openxmlformats.org/spreadsheetml/2006/main" count="9544" uniqueCount="4137">
  <si>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</si>
  <si>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</si>
  <si>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</si>
  <si>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</si>
  <si>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</si>
  <si>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</si>
  <si>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</si>
  <si>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</si>
  <si>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</si>
  <si>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</si>
  <si>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</si>
  <si>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</si>
  <si>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</si>
  <si>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</si>
  <si>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</si>
  <si>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</si>
  <si>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</si>
  <si>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</si>
  <si>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</si>
  <si>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</si>
  <si>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</si>
  <si>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</si>
  <si>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</si>
  <si>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</si>
  <si>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</si>
  <si>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</si>
  <si>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</si>
  <si>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</si>
  <si>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</si>
  <si>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</si>
  <si>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</si>
  <si>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</si>
  <si>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</si>
  <si>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</si>
  <si>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</si>
  <si>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</si>
  <si>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</si>
  <si>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</si>
  <si>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</si>
  <si>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</si>
  <si>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</si>
  <si>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</si>
  <si>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</si>
  <si>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</si>
  <si>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</si>
  <si>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</si>
  <si>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</si>
  <si>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</si>
  <si>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</si>
  <si>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</si>
  <si>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</si>
  <si>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</si>
  <si>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</si>
  <si>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</si>
  <si>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</si>
  <si>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</si>
  <si>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</si>
  <si>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</si>
  <si>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</si>
  <si>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</si>
  <si>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</si>
  <si>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</si>
  <si>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</si>
  <si>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</si>
  <si>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</si>
  <si>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</si>
  <si>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</si>
  <si>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</si>
  <si>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</si>
  <si>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</si>
  <si>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</si>
  <si>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</si>
  <si>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</si>
  <si>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</si>
  <si>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</si>
  <si>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</si>
  <si>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</si>
  <si>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</si>
  <si>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</si>
  <si>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</si>
  <si>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</si>
  <si>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</si>
  <si>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</si>
  <si>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</si>
  <si>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</si>
  <si>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</si>
  <si>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</si>
  <si>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</si>
  <si>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</si>
  <si>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</si>
  <si>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</si>
  <si>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</si>
  <si>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</si>
  <si>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</si>
  <si>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</si>
  <si>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</si>
  <si>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</si>
  <si>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</si>
  <si>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</si>
  <si>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</si>
  <si>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</si>
  <si>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</si>
  <si>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</si>
  <si>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</si>
  <si>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</si>
  <si>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</si>
  <si>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</si>
  <si>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</si>
  <si>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</si>
  <si>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</si>
  <si>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</si>
  <si>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</si>
  <si>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</si>
  <si>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</si>
  <si>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</si>
  <si>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</si>
  <si>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</si>
  <si>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</si>
  <si>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</si>
  <si>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</si>
  <si>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</si>
  <si>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</si>
  <si>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</si>
  <si>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</si>
  <si>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</si>
  <si>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</si>
  <si>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</si>
  <si>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</si>
  <si>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</si>
  <si>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</si>
  <si>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</si>
  <si>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</si>
  <si>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</si>
  <si>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</si>
  <si>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</si>
  <si>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</si>
  <si>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</si>
  <si>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</si>
  <si>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</si>
  <si>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</si>
  <si>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</si>
  <si>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</si>
  <si>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</si>
  <si>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</si>
  <si>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</si>
  <si>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</si>
  <si>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</si>
  <si>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</si>
  <si>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</si>
  <si>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</si>
  <si>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</si>
  <si>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</si>
  <si>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</si>
  <si>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</si>
  <si>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</si>
  <si>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</si>
  <si>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</si>
  <si>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</si>
  <si>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</si>
  <si>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</si>
  <si>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</si>
  <si>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</si>
  <si>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</si>
  <si>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</si>
  <si>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</si>
  <si>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</si>
  <si>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</si>
  <si>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</si>
  <si>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</si>
  <si>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</si>
  <si>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</si>
  <si>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</si>
  <si>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</si>
  <si>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</si>
  <si>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</si>
  <si>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</si>
  <si>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</si>
  <si>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</si>
  <si>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</si>
  <si>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</si>
  <si>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</si>
  <si>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</si>
  <si>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</si>
  <si>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</si>
  <si>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</si>
  <si>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</si>
  <si>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</si>
  <si>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</si>
  <si>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</si>
  <si>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</si>
  <si>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</si>
  <si>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</si>
  <si>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</si>
  <si>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</si>
  <si>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</si>
  <si>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</si>
  <si>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</si>
  <si>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</si>
  <si>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</si>
  <si>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</si>
  <si>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</si>
  <si>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</si>
  <si>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</si>
  <si>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</si>
  <si>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</si>
  <si>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</si>
  <si>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</si>
  <si>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</si>
  <si>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</si>
  <si>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</si>
  <si>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</si>
  <si>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</si>
  <si>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</si>
  <si>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</si>
  <si>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</si>
  <si>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</si>
  <si>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</si>
  <si>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</si>
  <si>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</si>
  <si>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</si>
  <si>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</si>
  <si>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</si>
  <si>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</si>
  <si>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</si>
  <si>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</si>
  <si>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</si>
  <si>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</si>
  <si>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</si>
  <si>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</si>
  <si>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</si>
  <si>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</si>
  <si>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</si>
  <si>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</si>
  <si>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</si>
  <si>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</si>
  <si>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</si>
  <si>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</si>
  <si>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</si>
  <si>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</si>
  <si>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</si>
  <si>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</si>
  <si>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</si>
  <si>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</si>
  <si>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</si>
  <si>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</si>
  <si>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</si>
  <si>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</si>
  <si>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</si>
  <si>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</si>
  <si>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</si>
  <si>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</si>
  <si>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</si>
  <si>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</si>
  <si>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</si>
  <si>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</si>
  <si>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</si>
  <si>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</si>
  <si>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</si>
  <si>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</si>
  <si>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</si>
  <si>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</si>
  <si>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</si>
  <si>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</si>
  <si>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</si>
  <si>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</si>
  <si>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</si>
  <si>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</si>
  <si>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</si>
  <si>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</si>
  <si>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</si>
  <si>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</si>
  <si>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</si>
  <si>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</si>
  <si>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</si>
  <si>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</si>
  <si>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</si>
  <si>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</si>
  <si>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</si>
  <si>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</si>
  <si>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</si>
  <si>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</si>
  <si>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</si>
  <si>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</si>
  <si>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</si>
  <si>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</si>
  <si>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</si>
  <si>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</si>
  <si>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</si>
  <si>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</si>
  <si>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</si>
  <si>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</si>
  <si>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</si>
  <si>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</si>
  <si>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</si>
  <si>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</si>
  <si>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</si>
  <si>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</si>
  <si>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</si>
  <si>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</si>
  <si>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</si>
  <si>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</si>
  <si>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</si>
  <si>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</si>
  <si>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</si>
  <si>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</si>
  <si>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</si>
  <si>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</si>
  <si>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</si>
  <si>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</si>
  <si>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</si>
  <si>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</si>
  <si>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</si>
  <si>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</si>
  <si>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</si>
  <si>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</si>
  <si>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</si>
  <si>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</si>
  <si>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</si>
  <si>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</si>
  <si>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</si>
  <si>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</si>
  <si>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</si>
  <si>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</si>
  <si>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</si>
  <si>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</si>
  <si>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</si>
  <si>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</si>
  <si>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</si>
  <si>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</si>
  <si>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</si>
  <si>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</si>
  <si>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</si>
  <si>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</si>
  <si>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</si>
  <si>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</si>
  <si>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</si>
  <si>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</si>
  <si>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</si>
  <si>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</si>
  <si>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</si>
  <si>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</si>
  <si>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</si>
  <si>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</si>
  <si>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</si>
  <si>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</si>
  <si>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</si>
  <si>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</si>
  <si>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</si>
  <si>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</si>
  <si>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</si>
  <si>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</si>
  <si>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</si>
  <si>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</si>
  <si>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</si>
  <si>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</si>
  <si>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</si>
  <si>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</si>
  <si>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</si>
  <si>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</si>
  <si>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</si>
  <si>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</si>
  <si>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</si>
  <si>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</si>
  <si>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</si>
  <si>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</si>
  <si>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</si>
  <si>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</si>
  <si>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</si>
  <si>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</si>
  <si>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</si>
  <si>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</si>
  <si>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</si>
  <si>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</si>
  <si>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</si>
  <si>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</si>
  <si>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</si>
  <si>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</si>
  <si>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</si>
  <si>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</si>
  <si>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</si>
  <si>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</si>
  <si>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</si>
  <si>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</si>
  <si>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</si>
  <si>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</si>
  <si>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</si>
  <si>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</si>
  <si>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</si>
  <si>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</si>
  <si>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</si>
  <si>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</si>
  <si>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</si>
  <si>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</si>
  <si>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</si>
  <si>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</si>
  <si>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</si>
  <si>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</si>
  <si>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</si>
  <si>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</si>
  <si>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</si>
  <si>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</si>
  <si>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</si>
  <si>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</si>
  <si>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</si>
  <si>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</si>
  <si>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</si>
  <si>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</si>
  <si>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</si>
  <si>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</si>
  <si>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</si>
  <si>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</si>
  <si>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</si>
  <si>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</si>
  <si>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</si>
  <si>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</si>
  <si>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</si>
  <si>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</si>
  <si>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</si>
  <si>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</si>
  <si>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</si>
  <si>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</si>
  <si>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</si>
  <si>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</si>
  <si>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</si>
  <si>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</si>
  <si>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</si>
  <si>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</si>
  <si>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</si>
  <si>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</si>
  <si>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</si>
  <si>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</si>
  <si>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</si>
  <si>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</si>
  <si>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</si>
  <si>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</si>
  <si>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</si>
  <si>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</si>
  <si>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</si>
  <si>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</si>
  <si>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</si>
  <si>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</si>
  <si>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</si>
  <si>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</si>
  <si>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</si>
  <si>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</si>
  <si>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</si>
  <si>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</si>
  <si>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</si>
  <si>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</si>
  <si>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</si>
  <si>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</si>
  <si>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</si>
  <si>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</si>
  <si>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</si>
  <si>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</si>
  <si>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</si>
  <si>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</si>
  <si>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</si>
  <si>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</si>
  <si>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</si>
  <si>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</si>
  <si>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</si>
  <si>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</si>
  <si>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</si>
  <si>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</si>
  <si>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</si>
  <si>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</si>
  <si>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</si>
  <si>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</si>
  <si>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</si>
  <si>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</si>
  <si>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</si>
  <si>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</si>
  <si>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</si>
  <si>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</si>
  <si>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</si>
  <si>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</si>
  <si>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</si>
  <si>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</si>
  <si>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</si>
  <si>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</si>
  <si>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</si>
  <si>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</si>
  <si>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</si>
  <si>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</si>
  <si>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</si>
  <si>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</si>
  <si>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</si>
  <si>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</si>
  <si>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</si>
  <si>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</si>
  <si>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</si>
  <si>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</si>
  <si>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</si>
  <si>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</si>
  <si>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</si>
  <si>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</si>
  <si>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</si>
  <si>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</si>
  <si>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</si>
  <si>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</si>
  <si>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</si>
  <si>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</si>
  <si>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</si>
  <si>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</si>
  <si>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</si>
  <si>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</si>
  <si>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</si>
  <si>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</si>
  <si>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</si>
  <si>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</si>
  <si>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</si>
  <si>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</si>
  <si>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</si>
  <si>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</si>
  <si>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</si>
  <si>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</si>
  <si>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</si>
  <si>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</si>
  <si>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</si>
  <si>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</si>
  <si>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</si>
  <si>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</si>
  <si>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</si>
  <si>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</si>
  <si>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</si>
  <si>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</si>
  <si>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</si>
  <si>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</si>
  <si>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</si>
  <si>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</si>
  <si>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</si>
  <si>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</si>
  <si>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</si>
  <si>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</si>
  <si>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</si>
  <si>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</si>
  <si>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</si>
  <si>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</si>
  <si>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</si>
  <si>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</si>
  <si>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</si>
  <si>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</si>
  <si>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</si>
  <si>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</si>
  <si>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</si>
  <si>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</si>
  <si>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</si>
  <si>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</si>
  <si>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</si>
  <si>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</si>
  <si>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</si>
  <si>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</si>
  <si>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</si>
  <si>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</si>
  <si>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</si>
  <si>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</si>
  <si>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</si>
  <si>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</si>
  <si>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</si>
  <si>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</si>
  <si>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</si>
  <si>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</si>
  <si>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</si>
  <si>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</si>
  <si>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</si>
  <si>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</si>
  <si>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</si>
  <si>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</si>
  <si>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</si>
  <si>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</si>
  <si>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</si>
  <si>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</si>
  <si>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</si>
  <si>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</si>
  <si>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</si>
  <si>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</si>
  <si>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</si>
  <si>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</si>
  <si>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</si>
  <si>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</si>
  <si>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</si>
  <si>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</si>
  <si>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</si>
  <si>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</si>
  <si>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</si>
  <si>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</si>
  <si>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</si>
  <si>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</si>
  <si>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</si>
  <si>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</si>
  <si>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</si>
  <si>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</si>
  <si>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</si>
  <si>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</si>
  <si>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</si>
  <si>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</si>
  <si>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</si>
  <si>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</si>
  <si>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</si>
  <si>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</si>
  <si>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</si>
  <si>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</si>
  <si>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</si>
  <si>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</si>
  <si>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</si>
  <si>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</si>
  <si>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</si>
  <si>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</si>
  <si>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</si>
  <si>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</si>
  <si>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</si>
  <si>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</si>
  <si>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</si>
  <si>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</si>
  <si>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</si>
  <si>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</si>
  <si>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</si>
  <si>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</si>
  <si>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</si>
  <si>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</si>
  <si>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</si>
  <si>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</si>
  <si>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</si>
  <si>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</si>
  <si>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</si>
  <si>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</si>
  <si>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</si>
  <si>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</si>
  <si>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</si>
  <si>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</si>
  <si>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</si>
  <si>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</si>
  <si>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</si>
  <si>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</si>
  <si>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</si>
  <si>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</si>
  <si>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</si>
  <si>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</si>
  <si>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</si>
  <si>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</si>
  <si>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</si>
  <si>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</si>
  <si>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</si>
  <si>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</si>
  <si>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</si>
  <si>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</si>
  <si>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</si>
  <si>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</si>
  <si>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</si>
  <si>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</si>
  <si>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</si>
  <si>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</si>
  <si>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</si>
  <si>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</si>
  <si>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</si>
  <si>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</si>
  <si>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</si>
  <si>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</si>
  <si>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</si>
  <si>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</si>
  <si>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</si>
  <si>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</si>
  <si>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</si>
  <si>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</si>
  <si>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</si>
  <si>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</si>
  <si>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</si>
  <si>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</si>
  <si>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</si>
  <si>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</si>
  <si>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</si>
  <si>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</si>
  <si>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</si>
  <si>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</si>
  <si>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</si>
  <si>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</si>
  <si>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</si>
  <si>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</si>
  <si>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</si>
  <si>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</si>
  <si>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</si>
  <si>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</si>
  <si>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</si>
  <si>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</si>
  <si>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</si>
  <si>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</si>
  <si>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</si>
  <si>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</si>
  <si>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</si>
  <si>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</si>
  <si>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</si>
  <si>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</si>
  <si>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</si>
  <si>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</si>
  <si>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</si>
  <si>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</si>
  <si>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</si>
  <si>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</si>
  <si>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</si>
  <si>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</si>
  <si>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</si>
  <si>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</si>
  <si>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</si>
  <si>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</si>
  <si>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</si>
  <si>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</si>
  <si>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</si>
  <si>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</si>
  <si>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</si>
  <si>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</si>
  <si>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</si>
  <si>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</si>
  <si>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</si>
  <si>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</si>
  <si>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</si>
  <si>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</si>
  <si>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</si>
  <si>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</si>
  <si>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</si>
  <si>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</si>
  <si>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</si>
  <si>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</si>
  <si>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</si>
  <si>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</si>
  <si>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</si>
  <si>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</si>
  <si>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</si>
  <si>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</si>
  <si>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</si>
  <si>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</si>
  <si>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</si>
  <si>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</si>
  <si>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</si>
  <si>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</si>
  <si>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</si>
  <si>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</si>
  <si>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</si>
  <si>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</si>
  <si>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</si>
  <si>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</si>
  <si>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</si>
  <si>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</si>
  <si>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</si>
  <si>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</si>
  <si>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</si>
  <si>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</si>
  <si>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</si>
  <si>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</si>
  <si>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</si>
  <si>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</si>
  <si>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</si>
  <si>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</si>
  <si>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</si>
  <si>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</si>
  <si>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</si>
  <si>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</si>
  <si>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</si>
  <si>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</si>
  <si>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</si>
  <si>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</si>
  <si>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</si>
  <si>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</si>
  <si>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</si>
  <si>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</si>
  <si>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</si>
  <si>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</si>
  <si>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</si>
  <si>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</si>
  <si>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</si>
  <si>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</si>
  <si>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</si>
  <si>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</si>
  <si>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</si>
  <si>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</si>
  <si>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</si>
  <si>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</si>
  <si>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</si>
  <si>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</si>
  <si>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</si>
  <si>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</si>
  <si>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</si>
  <si>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</si>
  <si>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</si>
  <si>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</si>
  <si>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</si>
  <si>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</si>
  <si>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</si>
  <si>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</si>
  <si>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</si>
  <si>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</si>
  <si>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</si>
  <si>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</si>
  <si>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</si>
  <si>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</si>
  <si>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</si>
  <si>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</si>
  <si>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</si>
  <si>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</si>
  <si>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</si>
  <si>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</si>
  <si>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</si>
  <si>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</si>
  <si>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</si>
  <si>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</si>
  <si>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</si>
  <si>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</si>
  <si>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</si>
  <si>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</si>
  <si>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</si>
  <si>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</si>
  <si>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</si>
  <si>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</si>
  <si>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</si>
  <si>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</si>
  <si>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</si>
  <si>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</si>
  <si>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</si>
  <si>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</si>
  <si>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</si>
  <si>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</si>
  <si>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</si>
  <si>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</si>
  <si>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</si>
  <si>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</si>
  <si>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</si>
  <si>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</si>
  <si>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</si>
  <si>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</si>
  <si>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</si>
  <si>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</si>
  <si>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</si>
  <si>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</si>
  <si>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</si>
  <si>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</si>
  <si>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</si>
  <si>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</si>
  <si>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</si>
  <si>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</si>
  <si>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</si>
  <si>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</si>
  <si>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</si>
  <si>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</si>
  <si>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</si>
  <si>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</si>
  <si>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</si>
  <si>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</si>
  <si>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</si>
  <si>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</si>
  <si>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</si>
  <si>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</si>
  <si>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</si>
  <si>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</si>
  <si>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</si>
  <si>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</si>
  <si>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</si>
  <si>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</si>
  <si>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</si>
  <si>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</si>
  <si>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</si>
  <si>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</si>
  <si>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</si>
  <si>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</si>
  <si>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</si>
  <si>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</si>
  <si>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</si>
  <si>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</si>
  <si>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</si>
  <si>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</si>
  <si>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</si>
  <si>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</si>
  <si>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</si>
  <si>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</si>
  <si>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</si>
  <si>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</si>
  <si>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</si>
  <si>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</si>
  <si>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</si>
  <si>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</si>
  <si>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</si>
  <si>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</si>
  <si>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</si>
  <si>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</si>
  <si>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</si>
  <si>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</si>
  <si>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</si>
  <si>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</si>
  <si>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</si>
  <si>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</si>
  <si>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</si>
  <si>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</si>
  <si>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</si>
  <si>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</si>
  <si>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</si>
  <si>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</si>
  <si>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</si>
  <si>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</si>
  <si>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</si>
  <si>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</si>
  <si>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</si>
  <si>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</si>
  <si>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</si>
  <si>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</si>
  <si>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</si>
  <si>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</si>
  <si>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</si>
  <si>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</si>
  <si>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</si>
  <si>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</si>
  <si>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</si>
  <si>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</si>
  <si>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</si>
  <si>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</si>
  <si>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</si>
  <si>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</si>
  <si>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</si>
  <si>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</si>
  <si>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</si>
  <si>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</si>
  <si>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</si>
  <si>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</si>
  <si>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</si>
  <si>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</si>
  <si>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</si>
  <si>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</si>
  <si>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</si>
  <si>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</si>
  <si>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</si>
  <si>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</si>
  <si>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</si>
  <si>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</si>
  <si>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</si>
  <si>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</si>
  <si>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</si>
  <si>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</si>
  <si>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</si>
  <si>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</si>
  <si>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</si>
  <si>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</si>
  <si>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</si>
  <si>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</si>
  <si>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</si>
  <si>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</si>
  <si>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</si>
  <si>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</si>
  <si>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</si>
  <si>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</si>
  <si>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</si>
  <si>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</si>
  <si>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</si>
  <si>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</si>
  <si>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</si>
  <si>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</si>
  <si>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</si>
  <si>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</si>
  <si>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</si>
  <si>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</si>
  <si>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</si>
  <si>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</si>
  <si>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</si>
  <si>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</si>
  <si>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</si>
  <si>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</si>
  <si>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</si>
  <si>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</si>
  <si>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</si>
  <si>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</si>
  <si>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</si>
  <si>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</si>
  <si>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</si>
  <si>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</si>
  <si>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</si>
  <si>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</si>
  <si>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</si>
  <si>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</si>
  <si>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</si>
  <si>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</si>
  <si>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</si>
  <si>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</si>
  <si>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</si>
  <si>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</si>
  <si>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</si>
  <si>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</si>
  <si>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</si>
  <si>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</si>
  <si>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</si>
  <si>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</si>
  <si>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</si>
  <si>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</si>
  <si>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</si>
  <si>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</si>
  <si>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</si>
  <si>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</si>
  <si>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</si>
  <si>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</si>
  <si>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</si>
  <si>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</si>
  <si>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</si>
  <si>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</si>
  <si>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</si>
  <si>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</si>
  <si>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</si>
  <si>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</si>
  <si>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</si>
  <si>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</si>
  <si>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</si>
  <si>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</si>
  <si>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</si>
  <si>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</si>
  <si>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</si>
  <si>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</si>
  <si>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</si>
  <si>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</si>
  <si>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</si>
  <si>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</si>
  <si>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</si>
  <si>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</si>
  <si>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</si>
  <si>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</si>
  <si>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</si>
  <si>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</si>
  <si>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</si>
  <si>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</si>
  <si>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</si>
  <si>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</si>
  <si>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</si>
  <si>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</si>
  <si>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</si>
  <si>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</si>
  <si>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</si>
  <si>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</si>
  <si>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</si>
  <si>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</si>
  <si>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</si>
  <si>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</si>
  <si>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</si>
  <si>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</si>
  <si>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</si>
  <si>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</si>
  <si>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</si>
  <si>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</si>
  <si>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</si>
  <si>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</si>
  <si>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</si>
  <si>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</si>
  <si>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</si>
  <si>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</si>
  <si>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</si>
  <si>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</si>
  <si>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</si>
  <si>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</si>
  <si>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</si>
  <si>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</si>
  <si>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</si>
  <si>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</si>
  <si>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</si>
  <si>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</si>
  <si>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</si>
  <si>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</si>
  <si>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</si>
  <si>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</si>
  <si>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</si>
  <si>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</si>
  <si>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</si>
  <si>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</si>
  <si>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</si>
  <si>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</si>
  <si>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</si>
  <si>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</si>
  <si>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</si>
  <si>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</si>
  <si>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</si>
  <si>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</si>
  <si>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</si>
  <si>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</si>
  <si>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</si>
  <si>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</si>
  <si>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</si>
  <si>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</si>
  <si>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</si>
  <si>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</si>
  <si>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</si>
  <si>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</si>
  <si>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</si>
  <si>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</si>
  <si>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</si>
  <si>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</si>
  <si>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</si>
  <si>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</si>
  <si>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</si>
  <si>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</si>
  <si>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</si>
  <si>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</si>
  <si>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</si>
  <si>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</si>
  <si>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</si>
  <si>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</si>
  <si>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</si>
  <si>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</si>
  <si>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</si>
  <si>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</si>
  <si>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</si>
  <si>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</si>
  <si>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</si>
  <si>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</si>
  <si>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</si>
  <si>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</si>
  <si>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</si>
  <si>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</si>
  <si>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</si>
  <si>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</si>
  <si>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</si>
  <si>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</si>
  <si>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</si>
  <si>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</si>
  <si>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</si>
  <si>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</si>
  <si>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</si>
  <si>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</si>
  <si>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</si>
  <si>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</si>
  <si>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</si>
  <si>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</si>
  <si>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</si>
  <si>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</si>
  <si>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</si>
  <si>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</si>
  <si>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</si>
  <si>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</si>
  <si>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</si>
  <si>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</si>
  <si>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</si>
  <si>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</si>
  <si>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</si>
  <si>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</si>
  <si>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</si>
  <si>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</si>
  <si>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</si>
  <si>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</si>
  <si>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</si>
  <si>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</si>
  <si>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</si>
  <si>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</si>
  <si>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</si>
  <si>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</si>
  <si>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</si>
  <si>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</si>
  <si>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</si>
  <si>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</si>
  <si>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</si>
  <si>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</si>
  <si>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</si>
  <si>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</si>
  <si>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</si>
  <si>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</si>
  <si>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</si>
  <si>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</si>
  <si>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</si>
  <si>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</si>
  <si>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</si>
  <si>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</si>
  <si>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</si>
  <si>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</si>
  <si>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</si>
  <si>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</si>
  <si>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</si>
  <si>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</si>
  <si>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</si>
  <si>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</si>
  <si>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</si>
  <si>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</si>
  <si>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</si>
  <si>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</si>
  <si>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</si>
  <si>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</si>
  <si>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</si>
  <si>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</si>
  <si>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</si>
  <si>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</si>
  <si>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</si>
  <si>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</si>
  <si>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</si>
  <si>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</si>
  <si>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</si>
  <si>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</si>
  <si>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</si>
  <si>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</si>
  <si>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</si>
  <si>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</si>
  <si>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</si>
  <si>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</si>
  <si>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</si>
  <si>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</si>
  <si>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</si>
  <si>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</si>
  <si>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</si>
  <si>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</si>
  <si>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</si>
  <si>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</si>
  <si>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</si>
  <si>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</si>
  <si>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</si>
  <si>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</si>
  <si>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</si>
  <si>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</si>
  <si>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</si>
  <si>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</si>
  <si>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</si>
  <si>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</si>
  <si>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</si>
  <si>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</si>
  <si>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</si>
  <si>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</si>
  <si>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</si>
  <si>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</si>
  <si>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</si>
  <si>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</si>
  <si>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</si>
  <si>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</si>
  <si>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</si>
  <si>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</si>
  <si>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</si>
  <si>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</si>
  <si>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</si>
  <si>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</si>
  <si>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</si>
  <si>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</si>
  <si>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</si>
  <si>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</si>
  <si>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</si>
  <si>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</si>
  <si>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</si>
  <si>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</si>
  <si>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</si>
  <si>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</si>
  <si>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</si>
  <si>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</si>
  <si>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</si>
  <si>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</si>
  <si>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</si>
  <si>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</si>
  <si>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</si>
  <si>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</si>
  <si>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</si>
  <si>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</si>
  <si>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</si>
  <si>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</si>
  <si>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</si>
  <si>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</si>
  <si>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</si>
  <si>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</si>
  <si>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</si>
  <si>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</si>
  <si>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</si>
  <si>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</si>
  <si>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</si>
  <si>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</si>
  <si>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</si>
  <si>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</si>
  <si>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</si>
  <si>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</si>
  <si>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</si>
  <si>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</si>
  <si>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</si>
  <si>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</si>
  <si>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</si>
  <si>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</si>
  <si>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</si>
  <si>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</si>
  <si>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</si>
  <si>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</si>
  <si>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</si>
  <si>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</si>
  <si>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</si>
  <si>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</si>
  <si>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</si>
  <si>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</si>
  <si>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</si>
  <si>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</si>
  <si>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</si>
  <si>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</si>
  <si>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</si>
  <si>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</si>
  <si>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</si>
  <si>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</si>
  <si>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</si>
  <si>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</si>
  <si>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</si>
  <si>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</si>
  <si>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</si>
  <si>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</si>
  <si>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</si>
  <si>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</si>
  <si>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</si>
  <si>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</si>
  <si>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</si>
  <si>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</si>
  <si>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</si>
  <si>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</si>
  <si>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</si>
  <si>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</si>
  <si>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</si>
  <si>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</si>
  <si>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</si>
  <si>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</si>
  <si>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</si>
  <si>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</si>
  <si>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</si>
  <si>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</si>
  <si>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</si>
  <si>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</si>
  <si>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</si>
  <si>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</si>
  <si>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</si>
  <si>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</si>
  <si>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</si>
  <si>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</si>
  <si>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</si>
  <si>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</si>
  <si>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</si>
  <si>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</si>
  <si>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</si>
  <si>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</si>
  <si>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</si>
  <si>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</si>
  <si>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</si>
  <si>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</si>
  <si>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</si>
  <si>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</si>
  <si>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</si>
  <si>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</si>
  <si>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</si>
  <si>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</si>
  <si>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</si>
  <si>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</si>
  <si>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</si>
  <si>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</si>
  <si>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</si>
  <si>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</si>
  <si>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</si>
  <si>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</si>
  <si>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</si>
  <si>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</si>
  <si>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</si>
  <si>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</si>
  <si>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</si>
  <si>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</si>
  <si>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</si>
  <si>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</si>
  <si>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</si>
  <si>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</si>
  <si>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</si>
  <si>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</si>
  <si>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</si>
  <si>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</si>
  <si>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</si>
  <si>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</si>
  <si>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</si>
  <si>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</si>
  <si>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</si>
  <si>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</si>
  <si>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</si>
  <si>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</si>
  <si>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</si>
  <si>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</si>
  <si>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</si>
  <si>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</si>
  <si>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</si>
  <si>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</si>
  <si>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</si>
  <si>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</si>
  <si>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</si>
  <si>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</si>
  <si>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</si>
  <si>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</si>
  <si>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</si>
  <si>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</si>
  <si>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</si>
  <si>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</si>
  <si>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</si>
  <si>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</si>
  <si>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</si>
  <si>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</si>
  <si>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</si>
  <si>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</si>
  <si>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</si>
  <si>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</si>
  <si>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</si>
  <si>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</si>
  <si>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</si>
  <si>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</si>
  <si>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</si>
  <si>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</si>
  <si>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</si>
  <si>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</si>
  <si>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</si>
  <si>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</si>
  <si>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</si>
  <si>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</si>
  <si>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</si>
  <si>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</si>
  <si>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</si>
  <si>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</si>
  <si>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</si>
  <si>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</si>
  <si>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</si>
  <si>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</si>
  <si>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</si>
  <si>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</si>
  <si>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</si>
  <si>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</si>
  <si>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</si>
  <si>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</si>
  <si>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</si>
  <si>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</si>
  <si>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</si>
  <si>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</si>
  <si>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</si>
  <si>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</si>
  <si>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</si>
  <si>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</si>
  <si>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</si>
  <si>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</si>
  <si>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</si>
  <si>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</si>
  <si>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</si>
  <si>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</si>
  <si>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</si>
  <si>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</si>
  <si>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</si>
  <si>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</si>
  <si>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</si>
  <si>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</si>
  <si>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</si>
  <si>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</si>
  <si>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</si>
  <si>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</si>
  <si>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</si>
  <si>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</si>
  <si>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</si>
  <si>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</si>
  <si>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</si>
  <si>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</si>
  <si>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</si>
  <si>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</si>
  <si>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</si>
  <si>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</si>
  <si>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</si>
  <si>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</si>
  <si>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</si>
  <si>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</si>
  <si>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</si>
  <si>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</si>
  <si>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</si>
  <si>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</si>
  <si>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</si>
  <si>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</si>
  <si>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</si>
  <si>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</si>
  <si>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</si>
  <si>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</si>
  <si>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</si>
  <si>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</si>
  <si>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</si>
  <si>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</si>
  <si>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</si>
  <si>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</si>
  <si>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</si>
  <si>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</si>
  <si>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</si>
  <si>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</si>
  <si>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</si>
  <si>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</si>
  <si>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</si>
  <si>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</si>
  <si>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</si>
  <si>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</si>
  <si>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</si>
  <si>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</si>
  <si>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</si>
  <si>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</si>
  <si>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</si>
  <si>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</si>
  <si>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</si>
  <si>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</si>
  <si>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</si>
  <si>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</si>
  <si>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</si>
  <si>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</si>
  <si>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</si>
  <si>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</si>
  <si>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</si>
  <si>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</si>
  <si>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</si>
  <si>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</si>
  <si>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</si>
  <si>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</si>
  <si>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</si>
  <si>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</si>
  <si>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</si>
  <si>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</si>
  <si>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</si>
  <si>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</si>
  <si>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</si>
  <si>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</si>
  <si>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</si>
  <si>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</si>
  <si>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</si>
  <si>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</si>
  <si>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</si>
  <si>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</si>
  <si>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</si>
  <si>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</si>
  <si>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</si>
  <si>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</si>
  <si>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</si>
  <si>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</si>
  <si>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</si>
  <si>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</si>
  <si>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</si>
  <si>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</si>
  <si>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</si>
  <si>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</si>
  <si>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</si>
  <si>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</si>
  <si>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</si>
  <si>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</si>
  <si>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</si>
  <si>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</si>
  <si>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</si>
  <si>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</si>
  <si>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</si>
  <si>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</si>
  <si>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</si>
  <si>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</si>
  <si>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</si>
  <si>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</si>
  <si>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</si>
  <si>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</si>
  <si>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</si>
  <si>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</si>
  <si>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</si>
  <si>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</si>
  <si>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</si>
  <si>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</si>
  <si>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</si>
  <si>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</si>
  <si>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</si>
  <si>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</si>
  <si>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</si>
  <si>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</si>
  <si>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</si>
  <si>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</si>
  <si>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</si>
  <si>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</si>
  <si>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</si>
  <si>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</si>
  <si>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</si>
  <si>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</si>
  <si>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</si>
  <si>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</si>
  <si>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</si>
  <si>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</si>
  <si>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</si>
  <si>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</si>
  <si>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</si>
  <si>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</si>
  <si>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</si>
  <si>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</si>
  <si>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</si>
  <si>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</si>
  <si>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</si>
  <si>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</si>
  <si>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</si>
  <si>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</si>
  <si>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</si>
  <si>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</si>
  <si>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</si>
  <si>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</si>
  <si>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</si>
  <si>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</si>
  <si>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</si>
  <si>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</si>
  <si>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</si>
  <si>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</si>
  <si>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</si>
  <si>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</si>
  <si>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</si>
  <si>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</si>
  <si>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</si>
  <si>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</si>
  <si>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</si>
  <si>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</si>
  <si>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</si>
  <si>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</si>
  <si>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</si>
  <si>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</si>
  <si>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</si>
  <si>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</si>
  <si>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</si>
  <si>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</si>
  <si>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</si>
  <si>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</si>
  <si>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</si>
  <si>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</si>
  <si>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</si>
  <si>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</si>
  <si>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</si>
  <si>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</si>
  <si>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</si>
  <si>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</si>
  <si>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</si>
  <si>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</si>
  <si>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</si>
  <si>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</si>
  <si>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</si>
  <si>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</si>
  <si>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</si>
  <si>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</si>
  <si>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</si>
  <si>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</si>
  <si>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</si>
  <si>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</si>
  <si>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</si>
  <si>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</si>
  <si>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</si>
  <si>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</si>
  <si>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</si>
  <si>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</si>
  <si>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</si>
  <si>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</si>
  <si>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</si>
  <si>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</si>
  <si>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</si>
  <si>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</si>
  <si>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</si>
  <si>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</si>
  <si>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</si>
  <si>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</si>
  <si>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</si>
  <si>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</si>
  <si>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</si>
  <si>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</si>
  <si>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</si>
  <si>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</si>
  <si>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</si>
  <si>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</si>
  <si>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</si>
  <si>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</si>
  <si>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</si>
  <si>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</si>
  <si>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</si>
  <si>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</si>
  <si>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</si>
  <si>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</si>
  <si>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</si>
  <si>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</si>
  <si>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</si>
  <si>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</si>
  <si>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</si>
  <si>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</si>
  <si>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</si>
  <si>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</si>
  <si>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</si>
  <si>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</si>
  <si>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</si>
  <si>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</si>
  <si>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</si>
  <si>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</si>
  <si>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</si>
  <si>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</si>
  <si>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</si>
  <si>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</si>
  <si>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</si>
  <si>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</si>
  <si>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</si>
  <si>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</si>
  <si>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</si>
  <si>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</si>
  <si>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</si>
  <si>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</si>
  <si>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</si>
  <si>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</si>
  <si>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</si>
  <si>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</si>
  <si>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</si>
  <si>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</si>
  <si>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</si>
  <si>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</si>
  <si>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</si>
  <si>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</si>
  <si>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</si>
  <si>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</si>
  <si>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</si>
  <si>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</si>
  <si>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</si>
  <si>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</si>
  <si>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</si>
  <si>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</si>
  <si>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</si>
  <si>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</si>
  <si>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</si>
  <si>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</si>
  <si>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</si>
  <si>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</si>
  <si>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</si>
  <si>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</si>
  <si>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</si>
  <si>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</si>
  <si>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</si>
  <si>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</si>
  <si>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</si>
  <si>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</si>
  <si>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</si>
  <si>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</si>
  <si>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</si>
  <si>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</si>
  <si>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</si>
  <si>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</si>
  <si>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</si>
  <si>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</si>
  <si>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</si>
  <si>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</si>
  <si>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</si>
  <si>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</si>
  <si>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</si>
  <si>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</si>
  <si>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</si>
  <si>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</si>
  <si>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</si>
  <si>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</si>
  <si>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</si>
  <si>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</si>
  <si>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</si>
  <si>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</si>
  <si>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</si>
  <si>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</si>
  <si>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</si>
  <si>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</si>
  <si>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</si>
  <si>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</si>
  <si>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</si>
  <si>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</si>
  <si>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</si>
  <si>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</si>
  <si>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</si>
  <si>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</si>
  <si>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</si>
  <si>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</si>
  <si>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</si>
  <si>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</si>
  <si>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</si>
  <si>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</si>
  <si>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</si>
  <si>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</si>
  <si>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</si>
  <si>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</si>
  <si>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</si>
  <si>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</si>
  <si>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</si>
  <si>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</si>
  <si>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</si>
  <si>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</si>
  <si>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</si>
  <si>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</si>
  <si>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</si>
  <si>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</si>
  <si>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</si>
  <si>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</si>
  <si>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</si>
  <si>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</si>
  <si>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</si>
  <si>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</si>
  <si>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</si>
  <si>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</si>
  <si>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</si>
  <si>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</si>
  <si>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</si>
  <si>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</si>
  <si>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</si>
  <si>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</si>
  <si>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</si>
  <si>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</si>
  <si>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</si>
  <si>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</si>
  <si>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</si>
  <si>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</si>
  <si>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</si>
  <si>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</si>
  <si>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</si>
  <si>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</si>
  <si>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</si>
  <si>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</si>
  <si>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</si>
  <si>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</si>
  <si>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</si>
  <si>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</si>
  <si>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</si>
  <si>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</si>
  <si>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</si>
  <si>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</si>
  <si>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</si>
  <si>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</si>
  <si>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</si>
  <si>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</si>
  <si>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</si>
  <si>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</si>
  <si>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</si>
  <si>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</si>
  <si>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</si>
  <si>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</si>
  <si>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</si>
  <si>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</si>
  <si>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</si>
  <si>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</si>
  <si>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</si>
  <si>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</si>
  <si>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</si>
  <si>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</si>
  <si>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</si>
  <si>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</si>
  <si>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</si>
  <si>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</si>
  <si>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</si>
  <si>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</si>
  <si>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</si>
  <si>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</si>
  <si>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</si>
  <si>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</si>
  <si>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</si>
  <si>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</si>
  <si>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</si>
  <si>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</si>
  <si>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</si>
  <si>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</si>
  <si>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</si>
  <si>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</si>
  <si>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</si>
  <si>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</si>
  <si>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</si>
  <si>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</si>
  <si>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</si>
  <si>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</si>
  <si>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</si>
  <si>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</si>
  <si>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</si>
  <si>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</si>
  <si>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</si>
  <si>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</si>
  <si>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</si>
  <si>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</si>
  <si>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</si>
  <si>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</si>
  <si>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</si>
  <si>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</si>
  <si>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</si>
  <si>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</si>
  <si>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</si>
  <si>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</si>
  <si>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</si>
  <si>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</si>
  <si>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</si>
  <si>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</si>
  <si>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</si>
  <si>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</si>
  <si>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</si>
  <si>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</si>
  <si>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</si>
  <si>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</si>
  <si>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</si>
  <si>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</si>
  <si>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</si>
  <si>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</si>
  <si>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</si>
  <si>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</si>
  <si>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</si>
  <si>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</si>
  <si>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</si>
  <si>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</si>
  <si>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</si>
  <si>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</si>
  <si>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</si>
  <si>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</si>
  <si>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</si>
  <si>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</si>
  <si>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</si>
  <si>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</si>
  <si>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</si>
  <si>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</si>
  <si>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</si>
  <si>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</si>
  <si>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</si>
  <si>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</si>
  <si>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</si>
  <si>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</si>
  <si>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</si>
  <si>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</si>
  <si>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</si>
  <si>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</si>
  <si>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</si>
  <si>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</si>
  <si>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</si>
  <si>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</si>
  <si>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</si>
  <si>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</si>
  <si>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</si>
  <si>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</si>
  <si>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</si>
  <si>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</si>
  <si>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</si>
  <si>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</si>
  <si>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</si>
  <si>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</si>
  <si>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</si>
  <si>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</si>
  <si>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</si>
  <si>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</si>
  <si>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</si>
  <si>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</si>
  <si>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</si>
  <si>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</si>
  <si>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</si>
  <si>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</si>
  <si>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</si>
  <si>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</si>
  <si>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</si>
  <si>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</si>
  <si>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</si>
  <si>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</si>
  <si>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</si>
  <si>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</si>
  <si>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</si>
  <si>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</si>
  <si>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</si>
  <si>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</si>
  <si>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</si>
  <si>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</si>
  <si>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</si>
  <si>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</si>
  <si>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</si>
  <si>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</si>
  <si>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</si>
  <si>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</si>
  <si>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</si>
  <si>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</si>
  <si>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</si>
  <si>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</si>
  <si>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</si>
  <si>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</si>
  <si>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</si>
  <si>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</si>
  <si>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</si>
  <si>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</si>
  <si>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</si>
  <si>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</si>
  <si>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</si>
  <si>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</si>
  <si>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</si>
  <si>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</si>
  <si>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</si>
  <si>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</si>
  <si>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</si>
  <si>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</si>
  <si>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</si>
  <si>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</si>
  <si>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</si>
  <si>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</si>
  <si>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</si>
  <si>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</si>
  <si>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</si>
  <si>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</si>
  <si>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</si>
  <si>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</si>
  <si>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</si>
  <si>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</si>
  <si>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</si>
  <si>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</si>
  <si>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</si>
  <si>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</si>
  <si>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</si>
  <si>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</si>
  <si>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</si>
  <si>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</si>
  <si>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</si>
  <si>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</si>
  <si>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</si>
  <si>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</si>
  <si>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</si>
  <si>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</si>
  <si>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</si>
  <si>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</si>
  <si>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</si>
  <si>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</si>
  <si>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</si>
  <si>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</si>
  <si>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</si>
  <si>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</si>
  <si>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</si>
  <si>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</si>
  <si>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</si>
  <si>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</si>
  <si>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</si>
  <si>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</si>
  <si>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</si>
  <si>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</si>
  <si>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</si>
  <si>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</si>
  <si>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</si>
  <si>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</si>
  <si>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</si>
  <si>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</si>
  <si>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</si>
  <si>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</si>
  <si>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</si>
  <si>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</si>
  <si>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</si>
  <si>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</si>
  <si>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</si>
  <si>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</si>
  <si>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</si>
  <si>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</si>
  <si>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</si>
  <si>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</si>
  <si>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</si>
  <si>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</si>
  <si>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</si>
  <si>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</si>
  <si>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</si>
  <si>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</si>
  <si>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</si>
  <si>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</si>
  <si>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</si>
  <si>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</si>
  <si>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</si>
  <si>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</si>
  <si>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</si>
  <si>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</si>
  <si>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</si>
  <si>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</si>
  <si>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</si>
  <si>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</si>
  <si>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</si>
  <si>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</si>
  <si>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</si>
  <si>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</si>
  <si>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</si>
  <si>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</si>
  <si>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</si>
  <si>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</si>
  <si>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</si>
  <si>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</si>
  <si>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</si>
  <si>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</si>
  <si>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</si>
  <si>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</si>
  <si>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</si>
  <si>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</si>
  <si>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</si>
  <si>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</si>
  <si>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</si>
  <si>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</si>
  <si>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</si>
  <si>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</si>
  <si>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</si>
  <si>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</si>
  <si>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</si>
  <si>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</si>
  <si>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</si>
  <si>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</si>
  <si>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</si>
  <si>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</si>
  <si>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</si>
  <si>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</si>
  <si>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</si>
  <si>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</si>
  <si>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</si>
  <si>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</si>
  <si>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</si>
  <si>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</si>
  <si>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</si>
  <si>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</si>
  <si>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</si>
  <si>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</si>
  <si>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</si>
  <si>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</si>
  <si>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</si>
  <si>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</si>
  <si>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</si>
  <si>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</si>
  <si>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</si>
  <si>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</si>
  <si>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</si>
  <si>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</si>
  <si>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</si>
  <si>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</si>
  <si>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</si>
  <si>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</si>
  <si>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</si>
  <si>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</si>
  <si>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</si>
  <si>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</si>
  <si>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</si>
  <si>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</si>
  <si>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</si>
  <si>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</si>
  <si>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</si>
  <si>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</si>
  <si>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</si>
  <si>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</si>
  <si>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</si>
  <si>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</si>
  <si>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</si>
  <si>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</si>
  <si>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</si>
  <si>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</si>
  <si>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</si>
  <si>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</si>
  <si>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</si>
  <si>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</si>
  <si>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</si>
  <si>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</si>
  <si>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</si>
  <si>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</si>
  <si>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</si>
  <si>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</si>
  <si>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</si>
  <si>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</si>
  <si>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</si>
  <si>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</si>
  <si>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</si>
  <si>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</si>
  <si>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</si>
  <si>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</si>
  <si>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</si>
  <si>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</si>
  <si>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</si>
  <si>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</si>
  <si>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</si>
  <si>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</si>
  <si>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</si>
  <si>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</si>
  <si>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</si>
  <si>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</si>
  <si>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</si>
  <si>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</si>
  <si>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</si>
  <si>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</si>
  <si>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</si>
  <si>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</si>
  <si>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</si>
  <si>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</si>
  <si>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</si>
  <si>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</si>
  <si>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</si>
  <si>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</si>
  <si>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</si>
  <si>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</si>
  <si>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</si>
  <si>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</si>
  <si>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</si>
  <si>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</si>
  <si>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</si>
  <si>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</si>
  <si>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</si>
  <si>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</si>
  <si>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</si>
  <si>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</si>
  <si>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</si>
  <si>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</si>
  <si>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</si>
  <si>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</si>
  <si>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</si>
  <si>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</si>
  <si>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</si>
  <si>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</si>
  <si>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</si>
  <si>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</si>
  <si>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</si>
  <si>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</si>
  <si>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</si>
  <si>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</si>
  <si>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</si>
  <si>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</si>
  <si>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</si>
  <si>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</si>
  <si>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</si>
  <si>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</si>
  <si>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</si>
  <si>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</si>
  <si>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</si>
  <si>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</si>
  <si>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</si>
  <si>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</si>
  <si>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</si>
  <si>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</si>
  <si>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</si>
  <si>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</si>
  <si>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</si>
  <si>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</si>
  <si>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</si>
  <si>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</si>
  <si>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</si>
  <si>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</si>
  <si>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</si>
  <si>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</si>
  <si>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</si>
  <si>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</si>
  <si>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</si>
  <si>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</si>
  <si>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</si>
  <si>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</si>
  <si>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</si>
  <si>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</si>
  <si>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</si>
  <si>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</si>
  <si>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</si>
  <si>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</si>
  <si>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</si>
  <si>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</si>
  <si>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</si>
  <si>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</si>
  <si>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</si>
  <si>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</si>
  <si>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</si>
  <si>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</si>
  <si>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</si>
  <si>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</si>
  <si>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</si>
  <si>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</si>
  <si>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</si>
  <si>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</si>
  <si>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</si>
  <si>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</si>
  <si>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</si>
  <si>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</si>
  <si>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</si>
  <si>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</si>
  <si>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</si>
  <si>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</si>
  <si>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</si>
  <si>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</si>
  <si>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</si>
  <si>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</si>
  <si>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</si>
  <si>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</si>
  <si>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</si>
  <si>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</si>
  <si>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</si>
  <si>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</si>
  <si>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</si>
  <si>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</si>
  <si>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</si>
  <si>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</si>
  <si>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</si>
  <si>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</si>
  <si>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</si>
  <si>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</si>
  <si>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</si>
  <si>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</si>
  <si>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</si>
  <si>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</si>
  <si>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</si>
  <si>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</si>
  <si>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</si>
  <si>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</si>
  <si>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</si>
  <si>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</si>
  <si>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</si>
  <si>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</si>
  <si>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</si>
  <si>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</si>
  <si>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</si>
  <si>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</si>
  <si>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</si>
  <si>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</si>
  <si>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</si>
  <si>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</si>
  <si>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</si>
  <si>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</si>
  <si>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</si>
  <si>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</si>
  <si>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</si>
  <si>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</si>
  <si>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</si>
  <si>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</si>
  <si>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</si>
  <si>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</si>
  <si>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</si>
  <si>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</si>
  <si>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</si>
  <si>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</si>
  <si>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</si>
  <si>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</si>
  <si>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</si>
  <si>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</si>
  <si>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</si>
  <si>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</si>
  <si>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</si>
  <si>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</si>
  <si>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</si>
  <si>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</si>
  <si>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</si>
  <si>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</si>
  <si>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</si>
  <si>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</si>
  <si>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</si>
  <si>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</si>
  <si>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</si>
  <si>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</si>
  <si>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</si>
  <si>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</si>
  <si>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</si>
  <si>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</si>
  <si>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</si>
  <si>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</si>
  <si>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</si>
  <si>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</si>
  <si>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</si>
  <si>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</si>
  <si>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</si>
  <si>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</si>
  <si>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</si>
  <si>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</si>
  <si>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</si>
  <si>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</si>
  <si>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</si>
  <si>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</si>
  <si>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</si>
  <si>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</si>
  <si>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</si>
  <si>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</si>
  <si>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</si>
  <si>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</si>
  <si>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</si>
  <si>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</si>
  <si>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</si>
  <si>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</si>
  <si>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</si>
  <si>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</si>
  <si>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</si>
  <si>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</si>
  <si>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</si>
  <si>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</si>
  <si>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</si>
  <si>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</si>
  <si>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</si>
  <si>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</si>
  <si>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</si>
  <si>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</si>
  <si>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</si>
  <si>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</si>
  <si>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</si>
  <si>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</si>
  <si>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</si>
  <si>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</si>
  <si>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</si>
  <si>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</si>
  <si>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</si>
  <si>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</si>
  <si>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</si>
  <si>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</si>
  <si>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</si>
  <si>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</si>
  <si>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</si>
  <si>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</si>
  <si>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</si>
  <si>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</si>
  <si>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</si>
  <si>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</si>
  <si>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</si>
  <si>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</si>
  <si>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</si>
  <si>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</si>
  <si>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</si>
  <si>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</si>
  <si>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</si>
  <si>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</si>
  <si>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</si>
  <si>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</si>
  <si>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</si>
  <si>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</si>
  <si>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</si>
  <si>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</si>
  <si>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</si>
  <si>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</si>
  <si>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</si>
  <si>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</si>
  <si>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</si>
  <si>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</si>
  <si>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</si>
  <si>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</si>
  <si>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</si>
  <si>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</si>
  <si>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</si>
  <si>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</si>
  <si>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</si>
  <si>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</si>
  <si>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</si>
  <si>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</si>
  <si>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</si>
  <si>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</si>
  <si>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</si>
  <si>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</si>
  <si>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</si>
  <si>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</si>
  <si>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</si>
  <si>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</si>
  <si>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</si>
  <si>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</si>
  <si>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</si>
  <si>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</si>
  <si>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</si>
  <si>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</si>
  <si>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</si>
  <si>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</si>
  <si>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</si>
  <si>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</si>
  <si>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</si>
  <si>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</si>
  <si>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</si>
  <si>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</si>
  <si>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</si>
  <si>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</si>
  <si>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</si>
  <si>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</si>
  <si>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</si>
  <si>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</si>
  <si>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</si>
  <si>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</si>
  <si>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</si>
  <si>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</si>
  <si>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</si>
  <si>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</si>
  <si>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</si>
  <si>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</si>
  <si>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</si>
  <si>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</si>
  <si>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</si>
  <si>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</si>
  <si>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</si>
  <si>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</si>
  <si>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</si>
  <si>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</si>
  <si>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</si>
  <si>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</si>
  <si>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</si>
  <si>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</si>
  <si>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</si>
  <si>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</si>
  <si>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</si>
  <si>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</si>
  <si>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</si>
  <si>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</si>
  <si>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</si>
  <si>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</si>
  <si>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</si>
  <si>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</si>
  <si>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</si>
  <si>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</si>
  <si>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</si>
  <si>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</si>
  <si>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</si>
  <si>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</si>
  <si>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</si>
  <si>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</si>
  <si>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</si>
  <si>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</si>
  <si>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</si>
  <si>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</si>
  <si>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</si>
  <si>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</si>
  <si>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</si>
  <si>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</si>
  <si>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</si>
  <si>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</si>
  <si>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</si>
  <si>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</si>
  <si>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</si>
  <si>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</si>
  <si>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</si>
  <si>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</si>
  <si>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</si>
  <si>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</si>
  <si>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</si>
  <si>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</si>
  <si>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</si>
  <si>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</si>
  <si>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</si>
  <si>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</si>
  <si>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</si>
  <si>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</si>
  <si>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</si>
  <si>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</si>
  <si>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</si>
  <si>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</si>
  <si>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</si>
  <si>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</si>
  <si>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</si>
  <si>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</si>
  <si>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</si>
  <si>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</si>
  <si>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</si>
  <si>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</si>
  <si>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</si>
  <si>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</si>
  <si>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</si>
  <si>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</si>
  <si>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</si>
  <si>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</si>
  <si>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</si>
  <si>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</si>
  <si>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</si>
  <si>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</si>
  <si>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</si>
  <si>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</si>
  <si>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</si>
  <si>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</si>
  <si>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</si>
  <si>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</si>
  <si>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</si>
  <si>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</si>
  <si>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</si>
  <si>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</si>
  <si>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</si>
  <si>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</si>
  <si>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</si>
  <si>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</si>
  <si>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</si>
  <si>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</si>
  <si>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</si>
  <si>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</si>
  <si>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</si>
  <si>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</si>
  <si>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</si>
  <si>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</si>
  <si>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</si>
  <si>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</si>
  <si>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</si>
  <si>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</si>
  <si>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</si>
  <si>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</si>
  <si>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</si>
  <si>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</si>
  <si>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</si>
  <si>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</si>
  <si>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</si>
  <si>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</si>
  <si>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</si>
  <si>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</si>
  <si>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</si>
  <si>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</si>
  <si>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</si>
  <si>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</si>
  <si>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</si>
  <si>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</si>
  <si>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</si>
  <si>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</si>
  <si>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</si>
  <si>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</si>
  <si>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</si>
  <si>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</si>
  <si>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</si>
  <si>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</si>
  <si>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</si>
  <si>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</si>
  <si>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</si>
  <si>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</si>
  <si>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</si>
  <si>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</si>
  <si>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</si>
  <si>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</si>
  <si>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</si>
  <si>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</si>
  <si>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</si>
  <si>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</si>
  <si>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</si>
  <si>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</si>
  <si>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</si>
  <si>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</si>
  <si>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</si>
  <si>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</si>
  <si>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</si>
  <si>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</si>
  <si>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</si>
  <si>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</si>
  <si>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</si>
  <si>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</si>
  <si>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</si>
  <si>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</si>
  <si>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</si>
  <si>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</si>
  <si>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</si>
  <si>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</si>
  <si>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</si>
  <si>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</si>
  <si>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</si>
  <si>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</si>
  <si>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</si>
  <si>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</si>
  <si>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</si>
  <si>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</si>
  <si>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</si>
  <si>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</si>
  <si>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</si>
  <si>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</si>
  <si>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</si>
  <si>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</si>
  <si>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</si>
  <si>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</si>
  <si>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</si>
  <si>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</si>
  <si>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</si>
  <si>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</si>
  <si>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</si>
  <si>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</si>
  <si>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</si>
  <si>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</si>
  <si>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</si>
  <si>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</si>
  <si>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</si>
  <si>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</si>
  <si>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</si>
  <si>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</si>
  <si>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</si>
  <si>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</si>
  <si>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</si>
  <si>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</si>
  <si>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</si>
  <si>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</si>
  <si>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</si>
  <si>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</si>
  <si>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</si>
  <si>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</si>
  <si>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</si>
  <si>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</si>
  <si>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</si>
  <si>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</si>
  <si>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</si>
  <si>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</si>
  <si>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</si>
  <si>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</si>
  <si>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</si>
  <si>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</si>
  <si>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</si>
  <si>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</si>
  <si>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</si>
  <si>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</si>
  <si>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</si>
  <si>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</si>
  <si>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</si>
  <si>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</si>
  <si>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</si>
  <si>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</si>
  <si>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</si>
  <si>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</si>
  <si>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</si>
  <si>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</si>
  <si>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</si>
  <si>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</si>
  <si>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</si>
  <si>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</si>
  <si>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</si>
  <si>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</si>
  <si>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</si>
  <si>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</si>
  <si>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</si>
  <si>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</si>
  <si>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</si>
  <si>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</si>
  <si>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</si>
  <si>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</si>
  <si>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</si>
  <si>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</si>
  <si>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</si>
  <si>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</si>
  <si>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</si>
  <si>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</si>
  <si>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</si>
  <si>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</si>
  <si>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</si>
  <si>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</si>
  <si>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</si>
  <si>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</si>
  <si>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</si>
  <si>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</si>
  <si>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</si>
  <si>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</si>
  <si>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</si>
  <si>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</si>
  <si>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</si>
  <si>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</si>
  <si>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</si>
  <si>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</si>
  <si>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</si>
  <si>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</si>
  <si>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</si>
  <si>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</si>
  <si>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</si>
  <si>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</si>
  <si>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</si>
  <si>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</si>
  <si>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</si>
  <si>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</si>
  <si>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</si>
  <si>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</si>
  <si>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</si>
  <si>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</si>
  <si>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</si>
  <si>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</si>
  <si>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</si>
  <si>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</si>
  <si>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</si>
  <si>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</si>
  <si>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</si>
  <si>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</si>
  <si>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</si>
  <si>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</si>
  <si>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</si>
  <si>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</si>
  <si>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</si>
  <si>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</si>
  <si>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</si>
  <si>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</si>
  <si>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</si>
  <si>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</si>
  <si>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</si>
  <si>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</si>
  <si>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</si>
  <si>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</si>
  <si>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</si>
  <si>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</si>
  <si>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</si>
  <si>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</si>
  <si>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</si>
  <si>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</si>
  <si>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</si>
  <si>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</si>
  <si>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</si>
  <si>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</si>
  <si>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</si>
  <si>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</si>
  <si>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</si>
  <si>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</si>
  <si>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</si>
  <si>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</si>
  <si>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</si>
  <si>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</si>
  <si>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</si>
  <si>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</si>
  <si>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</si>
  <si>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</si>
  <si>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</si>
  <si>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</si>
  <si>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</si>
  <si>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</si>
  <si>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</si>
  <si>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</si>
  <si>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</si>
  <si>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</si>
  <si>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</si>
  <si>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</si>
  <si>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</si>
  <si>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</si>
  <si>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</si>
  <si>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</si>
  <si>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</si>
  <si>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</si>
  <si>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</si>
  <si>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</si>
  <si>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</si>
  <si>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</si>
  <si>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</si>
  <si>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</si>
  <si>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</si>
  <si>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</si>
  <si>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</si>
  <si>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</si>
  <si>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</si>
  <si>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</si>
  <si>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</si>
  <si>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</si>
  <si>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</si>
  <si>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</si>
  <si>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</si>
  <si>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</si>
  <si>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</si>
  <si>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</si>
  <si>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</si>
  <si>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</si>
  <si>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</si>
  <si>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</si>
  <si>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</si>
  <si>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</si>
  <si>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</si>
  <si>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</si>
  <si>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</si>
  <si>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</si>
  <si>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</si>
  <si>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</si>
  <si>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</si>
  <si>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</si>
  <si>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</si>
  <si>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</si>
  <si>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</si>
  <si>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</si>
  <si>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</si>
  <si>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</si>
  <si>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</si>
  <si>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</si>
  <si>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</si>
  <si>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</si>
  <si>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</si>
  <si>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</si>
  <si>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</si>
  <si>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</si>
  <si>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</si>
  <si>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</si>
  <si>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</si>
  <si>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</si>
  <si>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</si>
  <si>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</si>
  <si>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</si>
  <si>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</si>
  <si>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</si>
  <si>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</si>
  <si>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</si>
  <si>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</si>
  <si>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</si>
  <si>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</si>
  <si>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</si>
  <si>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</si>
  <si>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</si>
  <si>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</si>
  <si>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</si>
  <si>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</si>
  <si>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</si>
  <si>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</si>
  <si>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</si>
  <si>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</si>
  <si>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</si>
  <si>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</si>
  <si>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</si>
  <si>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</si>
  <si>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</si>
  <si>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</si>
  <si>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</si>
  <si>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</si>
  <si>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</si>
  <si>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</si>
  <si>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</si>
  <si>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</si>
  <si>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</si>
  <si>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</si>
  <si>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</si>
  <si>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</si>
  <si>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</si>
  <si>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</si>
  <si>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</si>
  <si>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</si>
  <si>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</si>
  <si>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</si>
  <si>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</si>
  <si>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</si>
  <si>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</si>
  <si>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</si>
  <si>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</si>
  <si>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</si>
  <si>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</si>
  <si>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</si>
  <si>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</si>
  <si>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</si>
  <si>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</si>
  <si>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</si>
  <si>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</si>
  <si>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</si>
  <si>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</si>
  <si>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</si>
  <si>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</si>
  <si>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</si>
  <si>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</si>
  <si>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</si>
  <si>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</si>
  <si>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</si>
  <si>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</si>
  <si>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</si>
  <si>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</si>
  <si>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</si>
  <si>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</si>
  <si>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</si>
  <si>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</si>
  <si>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</si>
  <si>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</si>
  <si>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</si>
  <si>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</si>
  <si>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</si>
  <si>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</si>
  <si>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</si>
  <si>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</si>
  <si>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</si>
  <si>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</si>
  <si>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</si>
  <si>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</si>
  <si>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</si>
  <si>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</si>
  <si>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</si>
  <si>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</si>
  <si>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</si>
  <si>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</si>
  <si>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</si>
  <si>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</si>
  <si>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</si>
  <si>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</si>
  <si>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</si>
  <si>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</si>
  <si>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</si>
  <si>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</si>
  <si>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</si>
  <si>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</si>
  <si>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</si>
  <si>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</si>
  <si>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</si>
  <si>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</si>
  <si>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</si>
  <si>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</si>
  <si>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</si>
  <si>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</si>
  <si>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</si>
  <si>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</si>
  <si>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</si>
  <si>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</si>
  <si>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</si>
  <si>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</si>
  <si>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</si>
  <si>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</si>
  <si>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</si>
  <si>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</si>
  <si>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</si>
  <si>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</si>
  <si>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</si>
  <si>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</si>
  <si>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</si>
  <si>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</si>
  <si>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</si>
  <si>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</si>
  <si>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</si>
  <si>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</si>
  <si>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</si>
  <si>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</si>
  <si>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</si>
  <si>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</si>
  <si>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</si>
  <si>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</si>
  <si>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</si>
  <si>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</si>
  <si>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</si>
  <si>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</si>
  <si>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</si>
  <si>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</si>
  <si>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</si>
  <si>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</si>
  <si>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</si>
  <si>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</si>
  <si>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</si>
  <si>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</si>
  <si>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</si>
  <si>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</si>
  <si>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</si>
  <si>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</si>
  <si>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</si>
  <si>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</si>
  <si>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</si>
  <si>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</si>
  <si>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</si>
  <si>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</si>
  <si>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</si>
  <si>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</si>
  <si>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</si>
  <si>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</si>
  <si>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</si>
  <si>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</si>
  <si>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</si>
  <si>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</si>
  <si>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</si>
  <si>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</si>
  <si>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</si>
  <si>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</si>
  <si>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</si>
  <si>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</si>
  <si>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</si>
  <si>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</si>
  <si>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</si>
  <si>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</si>
  <si>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</si>
  <si>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</si>
  <si>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</si>
  <si>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</si>
  <si>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</si>
  <si>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</si>
  <si>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</si>
  <si>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</si>
  <si>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</si>
  <si>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</si>
  <si>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</si>
  <si>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</si>
  <si>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</si>
  <si>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</si>
  <si>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</si>
  <si>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</si>
  <si>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</si>
  <si>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</si>
  <si>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</si>
  <si>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</si>
  <si>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</si>
  <si>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</si>
  <si>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</si>
  <si>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</si>
  <si>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</si>
  <si>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</si>
  <si>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</si>
  <si>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</si>
  <si>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</si>
  <si>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</si>
  <si>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</si>
  <si>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</si>
  <si>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</si>
  <si>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</si>
  <si>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</si>
  <si>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</si>
  <si>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</si>
  <si>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</si>
  <si>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</si>
  <si>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</si>
  <si>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</si>
  <si>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</si>
  <si>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</si>
  <si>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</si>
  <si>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</si>
  <si>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</si>
  <si>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</si>
  <si>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</si>
  <si>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</si>
  <si>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</si>
  <si>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</si>
  <si>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</si>
  <si>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</si>
  <si>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</si>
  <si>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</si>
  <si>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</si>
  <si>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</si>
  <si>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</si>
  <si>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</si>
  <si>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</si>
  <si>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</si>
  <si>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</si>
  <si>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</si>
  <si>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</si>
  <si>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</si>
  <si>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</si>
  <si>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</si>
  <si>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</si>
  <si>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</si>
  <si>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</si>
  <si>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</si>
  <si>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</si>
  <si>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</si>
  <si>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</si>
  <si>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</si>
  <si>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</si>
  <si>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</si>
  <si>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</si>
  <si>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</si>
  <si>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</si>
  <si>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</si>
  <si>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</si>
  <si>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</si>
  <si>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</si>
  <si>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</si>
  <si>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</si>
  <si>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</si>
  <si>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</si>
  <si>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</si>
  <si>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</si>
  <si>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</si>
  <si>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</si>
  <si>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</si>
  <si>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</si>
  <si>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</si>
  <si>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</si>
  <si>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</si>
  <si>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</si>
  <si>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</si>
  <si>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</si>
  <si>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</si>
  <si>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</si>
  <si>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</si>
  <si>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</si>
  <si>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</si>
  <si>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</si>
  <si>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</si>
  <si>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</si>
  <si>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</si>
  <si>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</si>
  <si>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</si>
  <si>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</si>
  <si>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</si>
  <si>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</si>
  <si>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</si>
  <si>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</si>
  <si>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</si>
  <si>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</si>
  <si>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</si>
  <si>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</si>
  <si>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</si>
  <si>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</si>
  <si>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</si>
  <si>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</si>
  <si>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</si>
  <si>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</si>
  <si>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</si>
  <si>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</si>
  <si>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</si>
  <si>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</si>
  <si>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</si>
  <si>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</si>
  <si>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</si>
  <si>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</si>
  <si>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</si>
  <si>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</si>
  <si>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</si>
  <si>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</si>
  <si>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</si>
  <si>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</si>
  <si>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</si>
  <si>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</si>
  <si>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</si>
  <si>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</si>
  <si>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</si>
  <si>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</si>
  <si>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</si>
  <si>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</si>
  <si>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</si>
  <si>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</si>
  <si>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</si>
  <si>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</si>
  <si>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</si>
  <si>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</si>
  <si>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</si>
  <si>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</si>
  <si>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</si>
  <si>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</si>
  <si>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</si>
  <si>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</si>
  <si>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</si>
  <si>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</si>
  <si>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</si>
  <si>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</si>
  <si>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</si>
  <si>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</si>
  <si>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</si>
  <si>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</si>
  <si>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</si>
  <si>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</si>
  <si>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</si>
  <si>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</si>
  <si>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</si>
  <si>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</si>
  <si>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</si>
  <si>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</si>
  <si>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</si>
  <si>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</si>
  <si>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</si>
  <si>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</si>
  <si>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</si>
  <si>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</si>
  <si>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</si>
  <si>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</si>
  <si>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</si>
  <si>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</si>
  <si>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</si>
  <si>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</si>
  <si>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</si>
  <si>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</si>
  <si>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</si>
  <si>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</si>
  <si>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</si>
  <si>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</si>
  <si>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</si>
  <si>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</si>
  <si>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</si>
  <si>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</si>
  <si>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</si>
  <si>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</si>
  <si>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</si>
  <si>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</si>
  <si>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</si>
  <si>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</si>
  <si>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</si>
  <si>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</si>
  <si>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</si>
  <si>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</si>
  <si>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</si>
  <si>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</si>
  <si>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</si>
  <si>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</si>
  <si>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</si>
  <si>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</si>
  <si>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</si>
  <si>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</si>
  <si>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</si>
  <si>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</si>
  <si>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</si>
  <si>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</si>
  <si>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</si>
  <si>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</si>
  <si>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</si>
  <si>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</si>
  <si>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</si>
  <si>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</si>
  <si>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</si>
  <si>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</si>
  <si>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</si>
  <si>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</si>
  <si>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</si>
  <si>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</si>
  <si>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</si>
  <si>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</si>
  <si>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</si>
  <si>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</si>
  <si>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</si>
  <si>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</si>
  <si>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</si>
  <si>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</si>
  <si>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</si>
  <si>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</si>
  <si>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</si>
  <si>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</si>
  <si>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</si>
  <si>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</si>
  <si>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</si>
  <si>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</si>
  <si>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</si>
  <si>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</si>
  <si>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</si>
  <si>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</si>
  <si>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</si>
  <si>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</si>
  <si>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</si>
  <si>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</si>
  <si>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</si>
  <si>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</si>
  <si>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</si>
  <si>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</si>
  <si>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</si>
  <si>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</si>
  <si>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</si>
  <si>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</si>
  <si>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</si>
  <si>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</si>
  <si>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</si>
  <si>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</si>
  <si>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</si>
  <si>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</si>
  <si>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</si>
  <si>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</si>
  <si>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</si>
  <si>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</si>
  <si>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</si>
  <si>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</si>
  <si>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</si>
  <si>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</si>
  <si>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</si>
  <si>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</si>
  <si>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</si>
  <si>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</si>
  <si>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</si>
  <si>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</si>
  <si>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</si>
  <si>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</si>
  <si>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</si>
  <si>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</si>
  <si>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</si>
  <si>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</si>
  <si>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</si>
  <si>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</si>
  <si>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</si>
  <si>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</si>
  <si>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</si>
  <si>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</si>
  <si>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</si>
  <si>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</si>
  <si>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</si>
  <si>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</si>
  <si>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</si>
  <si>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</si>
  <si>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</si>
  <si>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</si>
  <si>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</si>
  <si>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</si>
  <si>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</si>
  <si>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</si>
  <si>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</si>
  <si>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</si>
  <si>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</si>
  <si>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</si>
  <si>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</si>
  <si>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</si>
  <si>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</si>
  <si>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</si>
  <si>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</si>
  <si>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</si>
  <si>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</si>
  <si>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</si>
  <si>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</si>
  <si>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</si>
  <si>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</si>
  <si>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</si>
  <si>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</si>
  <si>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</si>
  <si>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</si>
  <si>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</si>
  <si>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</si>
  <si>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</si>
  <si>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</si>
  <si>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</si>
  <si>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</si>
  <si>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</si>
  <si>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</si>
  <si>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</si>
  <si>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</si>
  <si>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</si>
  <si>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</si>
  <si>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</si>
  <si>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</si>
  <si>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</si>
  <si>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</si>
  <si>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</si>
  <si>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</si>
  <si>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</si>
  <si>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</si>
  <si>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</si>
  <si>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</si>
  <si>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</si>
  <si>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</si>
  <si>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</si>
  <si>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</si>
  <si>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</si>
  <si>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</si>
  <si>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</si>
  <si>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</si>
  <si>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</si>
  <si>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</si>
  <si>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</si>
  <si>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</si>
  <si>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</si>
  <si>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</si>
  <si>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</si>
  <si>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</si>
  <si>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</si>
  <si>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</si>
  <si>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</si>
  <si>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</si>
  <si>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</si>
  <si>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</si>
  <si>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</si>
  <si>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</si>
  <si>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</si>
  <si>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</si>
  <si>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</si>
  <si>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</si>
  <si>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</si>
  <si>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</si>
  <si>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</si>
  <si>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</si>
  <si>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</si>
  <si>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</si>
  <si>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</si>
  <si>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</si>
  <si>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</si>
  <si>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</si>
  <si>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</si>
  <si>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</si>
  <si>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</si>
  <si>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</si>
  <si>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</si>
  <si>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</si>
  <si>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</si>
  <si>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</si>
  <si>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</si>
  <si>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</si>
  <si>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</si>
  <si>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</si>
  <si>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</si>
  <si>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</si>
  <si>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</si>
  <si>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</si>
  <si>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</si>
  <si>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</si>
  <si>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</si>
  <si>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</si>
  <si>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</si>
  <si>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</si>
  <si>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</si>
  <si>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</si>
  <si>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</si>
  <si>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</si>
  <si>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</si>
  <si>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</si>
  <si>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</si>
  <si>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</si>
  <si>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</si>
  <si>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</si>
  <si>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</si>
  <si>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</si>
  <si>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</si>
  <si>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</si>
  <si>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</si>
  <si>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</si>
  <si>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</si>
  <si>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</si>
  <si>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</si>
  <si>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</si>
  <si>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</si>
  <si>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</si>
  <si>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</si>
  <si>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</si>
  <si>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</si>
  <si>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</si>
  <si>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</si>
  <si>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</si>
  <si>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</si>
  <si>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</si>
  <si>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</si>
  <si>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</si>
  <si>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</si>
  <si>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</si>
  <si>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</si>
  <si>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</si>
  <si>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</si>
  <si>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</si>
  <si>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</si>
  <si>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</si>
  <si>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</si>
  <si>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</si>
  <si>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</si>
  <si>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</si>
  <si>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</si>
  <si>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</si>
  <si>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</si>
  <si>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</si>
  <si>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</si>
  <si>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</si>
  <si>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</si>
  <si>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</si>
  <si>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</si>
  <si>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</si>
  <si>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</si>
  <si>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</si>
  <si>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</si>
  <si>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</si>
  <si>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</si>
  <si>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</si>
  <si>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</si>
  <si>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</si>
  <si>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</si>
  <si>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</si>
  <si>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</si>
  <si>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</si>
  <si>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</si>
  <si>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</si>
  <si>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</si>
  <si>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</si>
  <si>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</si>
  <si>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</si>
  <si>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</si>
  <si>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</si>
  <si>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</si>
  <si>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</si>
  <si>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</si>
  <si>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</si>
  <si>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</si>
  <si>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</si>
  <si>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</si>
  <si>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</si>
  <si>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</si>
  <si>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</si>
  <si>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</si>
  <si>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</si>
  <si>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</si>
  <si>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</si>
  <si>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</si>
  <si>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</si>
  <si>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</si>
  <si>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</si>
  <si>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</si>
  <si>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</si>
  <si>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</si>
  <si>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</si>
  <si>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</si>
  <si>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</si>
  <si>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</si>
  <si>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</si>
  <si>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</si>
  <si>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</si>
  <si>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</si>
  <si>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</si>
  <si>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</si>
  <si>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</si>
  <si>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</si>
  <si>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</si>
  <si>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</si>
  <si>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</si>
  <si>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</si>
  <si>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</si>
  <si>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</si>
  <si>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</si>
  <si>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</si>
  <si>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</si>
  <si>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</si>
  <si>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</si>
  <si>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</si>
  <si>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</si>
  <si>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</si>
  <si>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</si>
  <si>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</si>
  <si>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</si>
  <si>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</si>
  <si>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</si>
  <si>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</si>
  <si>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</si>
  <si>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</si>
  <si>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</si>
  <si>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</si>
  <si>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</si>
  <si>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</si>
  <si>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</si>
  <si>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</si>
  <si>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</si>
  <si>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</si>
  <si>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</si>
  <si>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</si>
  <si>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</si>
  <si>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</si>
  <si>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</si>
  <si>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</si>
  <si>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</si>
  <si>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</si>
  <si>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</si>
  <si>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</si>
  <si>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</si>
  <si>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</si>
  <si>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</si>
  <si>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</si>
  <si>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</si>
  <si>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</si>
  <si>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</si>
  <si>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</si>
  <si>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</si>
  <si>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</si>
  <si>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</si>
  <si>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</si>
  <si>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</si>
  <si>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</si>
  <si>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</si>
  <si>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</si>
  <si>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</si>
  <si>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</si>
  <si>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</si>
  <si>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</si>
  <si>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</si>
  <si>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</si>
  <si>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</si>
  <si>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</si>
  <si>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</si>
  <si>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</si>
  <si>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</si>
  <si>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</si>
  <si>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</si>
  <si>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</si>
  <si>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</si>
  <si>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</si>
  <si>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</si>
  <si>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</si>
  <si>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</si>
  <si>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</si>
  <si>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</si>
  <si>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</si>
  <si>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</si>
  <si>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</si>
  <si>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</si>
  <si>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</si>
  <si>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</si>
  <si>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</si>
  <si>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</si>
  <si>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</si>
  <si>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</si>
  <si>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</si>
  <si>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</si>
  <si>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</si>
  <si>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</si>
  <si>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</si>
  <si>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</si>
  <si>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</si>
  <si>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</si>
  <si>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</si>
  <si>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</si>
  <si>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</si>
  <si>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</si>
  <si>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</si>
  <si>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</si>
  <si>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</si>
  <si>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</si>
  <si>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</si>
  <si>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</si>
  <si>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</si>
  <si>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</si>
  <si>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</si>
  <si>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</si>
  <si>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</si>
  <si>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</si>
  <si>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</si>
  <si>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</si>
  <si>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</si>
  <si>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</si>
  <si>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</si>
  <si>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</si>
  <si>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</si>
  <si>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</si>
  <si>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</si>
  <si>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</si>
  <si>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</si>
  <si>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</si>
  <si>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</si>
  <si>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</si>
  <si>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</si>
  <si>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</si>
  <si>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</si>
  <si>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</si>
  <si>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</si>
  <si>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</si>
  <si>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</si>
  <si>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</si>
  <si>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</si>
  <si>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</si>
  <si>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</si>
  <si>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</si>
  <si>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</si>
  <si>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</si>
  <si>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</si>
  <si>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</si>
  <si>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</si>
  <si>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</si>
  <si>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</si>
  <si>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</si>
  <si>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</si>
  <si>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</si>
  <si>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</si>
  <si>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</si>
  <si>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</si>
  <si>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</si>
  <si>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</si>
  <si>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</si>
  <si>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</si>
  <si>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</si>
  <si>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</si>
  <si>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</si>
  <si>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</si>
  <si>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</si>
  <si>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</si>
  <si>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</si>
  <si>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</si>
  <si>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</si>
  <si>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</si>
  <si>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</si>
  <si>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</si>
  <si>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</si>
  <si>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</si>
  <si>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</si>
  <si>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</si>
  <si>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</si>
  <si>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</si>
  <si>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</si>
  <si>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</si>
  <si>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</si>
  <si>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</si>
  <si>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</si>
  <si>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</si>
  <si>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</si>
  <si>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</si>
  <si>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</si>
  <si>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</si>
  <si>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</si>
  <si>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</si>
  <si>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</si>
  <si>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</si>
  <si>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</si>
  <si>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</si>
  <si>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</si>
  <si>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</si>
  <si>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</si>
  <si>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</si>
  <si>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</si>
  <si>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</si>
  <si>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</si>
  <si>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</si>
  <si>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</si>
  <si>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</si>
  <si>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</si>
  <si>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</si>
  <si>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</si>
  <si>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</si>
  <si>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</si>
  <si>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</si>
  <si>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</si>
  <si>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</si>
  <si>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</si>
  <si>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</si>
  <si>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</si>
  <si>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</si>
  <si>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</si>
  <si>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</si>
  <si>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</si>
  <si>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</si>
  <si>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</si>
  <si>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</si>
  <si>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</si>
  <si>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</si>
  <si>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</si>
  <si>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</si>
  <si>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</si>
  <si>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</si>
  <si>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</si>
  <si>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</si>
  <si>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</si>
  <si>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</si>
  <si>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</si>
  <si>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</si>
  <si>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</si>
  <si>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</si>
  <si>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</si>
  <si>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</si>
  <si>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</si>
  <si>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</si>
  <si>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</si>
  <si>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</si>
  <si>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</si>
  <si>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</si>
  <si>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</si>
  <si>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</si>
  <si>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</si>
  <si>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</si>
  <si>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</si>
  <si>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</si>
  <si>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</si>
  <si>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</si>
  <si>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</si>
  <si>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</si>
  <si>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</si>
  <si>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</si>
  <si>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</si>
  <si>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</si>
  <si>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</si>
  <si>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</si>
  <si>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</si>
  <si>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</si>
  <si>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</si>
  <si>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</si>
  <si>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</si>
  <si>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</si>
  <si>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</si>
  <si>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</si>
  <si>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</si>
  <si>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</si>
  <si>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</si>
  <si>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</si>
  <si>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</si>
  <si>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</si>
  <si>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</si>
  <si>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</si>
  <si>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</si>
  <si>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</si>
  <si>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</si>
  <si>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</si>
  <si>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</si>
  <si>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</si>
  <si>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</si>
  <si>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</si>
  <si>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</si>
  <si>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</si>
  <si>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</si>
  <si>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</si>
  <si>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</si>
  <si>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</si>
  <si>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</si>
  <si>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</si>
  <si>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</si>
  <si>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</si>
  <si>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</si>
  <si>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</si>
  <si>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</si>
  <si>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</si>
  <si>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</si>
  <si>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</si>
  <si>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</si>
  <si>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</si>
  <si>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</si>
  <si>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</si>
  <si>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</si>
  <si>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</si>
  <si>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</si>
  <si>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</si>
  <si>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</si>
  <si>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</si>
  <si>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</si>
  <si>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</si>
  <si>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</si>
  <si>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</si>
  <si>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</si>
  <si>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</si>
  <si>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</si>
  <si>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</si>
  <si>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</si>
  <si>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</si>
  <si>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</si>
  <si>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</si>
  <si>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</si>
  <si>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</si>
  <si>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</si>
  <si>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</si>
  <si>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</si>
  <si>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</si>
  <si>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</si>
  <si>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</si>
  <si>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</si>
  <si>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</si>
  <si>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</si>
  <si>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</si>
  <si>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</si>
  <si>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</si>
  <si>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</si>
  <si>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</si>
  <si>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</si>
  <si>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</si>
  <si>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</si>
  <si>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</si>
  <si>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</si>
  <si>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</si>
  <si>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</si>
  <si>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</si>
  <si>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</si>
  <si>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</si>
  <si>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</si>
  <si>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</si>
  <si>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</si>
  <si>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</si>
  <si>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</si>
  <si>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</si>
  <si>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</si>
  <si>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</si>
  <si>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</si>
  <si>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</si>
  <si>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</si>
  <si>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</si>
  <si>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</si>
  <si>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</si>
  <si>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</si>
  <si>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</si>
  <si>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</si>
  <si>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</si>
  <si>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</si>
  <si>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</si>
  <si>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</si>
  <si>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</si>
  <si>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</si>
  <si>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</si>
  <si>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</si>
  <si>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</si>
  <si>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</si>
  <si>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</si>
  <si>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</si>
  <si>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</si>
  <si>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</si>
  <si>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</si>
  <si>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</si>
  <si>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</si>
  <si>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</si>
  <si>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</si>
  <si>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</si>
  <si>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</si>
  <si>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</si>
  <si>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</si>
  <si>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</si>
  <si>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</si>
  <si>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</si>
  <si>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</si>
  <si>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</si>
  <si>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</si>
  <si>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</si>
  <si>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</si>
  <si>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</si>
  <si>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</si>
  <si>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</si>
  <si>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</si>
  <si>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</si>
  <si>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</si>
  <si>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</si>
  <si>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</si>
  <si>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</si>
  <si>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</si>
  <si>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</si>
  <si>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</si>
  <si>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</si>
  <si>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</si>
  <si>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</si>
  <si>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</si>
  <si>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</si>
  <si>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</si>
  <si>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</si>
  <si>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</si>
  <si>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</si>
  <si>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</si>
  <si>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</si>
  <si>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</si>
  <si>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</si>
  <si>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</si>
  <si>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</si>
  <si>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</si>
  <si>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</si>
  <si>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</si>
  <si>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</si>
  <si>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</si>
  <si>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</si>
  <si>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</si>
  <si>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</si>
  <si>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</si>
  <si>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</si>
  <si>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</si>
  <si>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</si>
  <si>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</si>
  <si>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</si>
  <si>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</si>
  <si>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</si>
  <si>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</si>
  <si>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</si>
  <si>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</si>
  <si>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</si>
  <si>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</si>
  <si>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</si>
  <si>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</si>
  <si>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</si>
  <si>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</si>
  <si>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</si>
  <si>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</si>
  <si>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</si>
  <si>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</si>
  <si>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</si>
  <si>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</si>
  <si>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</si>
  <si>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</si>
  <si>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</si>
  <si>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</si>
  <si>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</si>
  <si>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</si>
  <si>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</si>
  <si>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</si>
  <si>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</si>
  <si>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</si>
  <si>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</si>
  <si>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</si>
  <si>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</si>
  <si>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</si>
  <si>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</si>
  <si>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</si>
  <si>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</si>
  <si>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</si>
  <si>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</si>
  <si>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</si>
  <si>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</si>
  <si>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</si>
  <si>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</si>
  <si>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</si>
  <si>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</si>
  <si>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</si>
  <si>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</si>
  <si>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</si>
  <si>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</si>
  <si>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</si>
  <si>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</si>
  <si>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</si>
  <si>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</si>
  <si>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</si>
  <si>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</si>
  <si>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</si>
  <si>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</si>
  <si>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</si>
  <si>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</si>
  <si>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</si>
  <si>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</si>
  <si>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</si>
  <si>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陈颖</t>
  </si>
  <si>
    <t>北京市</t>
  </si>
  <si>
    <t>自然人</t>
  </si>
  <si>
    <t>核定资产</t>
  </si>
  <si>
    <t>房地产市场价值</t>
  </si>
  <si>
    <t>地上</t>
  </si>
  <si>
    <t>是</t>
  </si>
  <si>
    <t>住宅</t>
    <phoneticPr fontId="7" type="noConversion"/>
  </si>
  <si>
    <t>Ⅶ-顺1</t>
  </si>
  <si>
    <t>不临65条商业街</t>
  </si>
  <si>
    <t>与级别开发程度不一致</t>
  </si>
  <si>
    <t>通路</t>
  </si>
  <si>
    <t>通电</t>
  </si>
  <si>
    <t>通讯</t>
  </si>
  <si>
    <t>通上水</t>
  </si>
  <si>
    <t>通下水</t>
  </si>
  <si>
    <t>燃气</t>
  </si>
  <si>
    <t>平整</t>
  </si>
  <si>
    <t>地价指数</t>
  </si>
  <si>
    <t>中心城区以外</t>
  </si>
  <si>
    <t>容积率修正</t>
  </si>
  <si>
    <t>好</t>
  </si>
  <si>
    <t>自定义容积率</t>
  </si>
  <si>
    <t>无</t>
  </si>
  <si>
    <t>1000米以外</t>
  </si>
  <si>
    <t>含税</t>
  </si>
  <si>
    <t>未包含在土地购买价格中</t>
  </si>
  <si>
    <t>全部缴纳</t>
  </si>
  <si>
    <t>已包含在土地取得成本中</t>
  </si>
  <si>
    <t>成新度</t>
  </si>
  <si>
    <t>收益法 (元)</t>
  </si>
  <si>
    <t>押一</t>
  </si>
  <si>
    <t>按不含税租金收入（有效毛租金收入）计税</t>
  </si>
  <si>
    <t>砖混</t>
  </si>
  <si>
    <t>非生产用房</t>
  </si>
  <si>
    <t>龙苑别墅</t>
  </si>
  <si>
    <t>龙苑别墅</t>
    <phoneticPr fontId="134" type="noConversion"/>
  </si>
  <si>
    <t>小区</t>
  </si>
  <si>
    <t>龙苑别墅</t>
    <phoneticPr fontId="134" type="noConversion"/>
  </si>
  <si>
    <t>富力湾(别墅)</t>
    <phoneticPr fontId="134" type="noConversion"/>
  </si>
  <si>
    <t>民生花园</t>
    <phoneticPr fontId="134" type="noConversion"/>
  </si>
  <si>
    <t>龙苑别墅</t>
    <phoneticPr fontId="3" type="noConversion"/>
  </si>
  <si>
    <t>阳光花园别墅</t>
    <phoneticPr fontId="134" type="noConversion"/>
  </si>
  <si>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</si>
  <si>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</si>
  <si>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</si>
  <si>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</si>
  <si>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</si>
  <si>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</si>
  <si>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</si>
  <si>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</si>
  <si>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</si>
  <si>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</si>
  <si>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</si>
  <si>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</si>
  <si>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</si>
  <si>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</si>
  <si>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</si>
  <si>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</si>
  <si>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</si>
  <si>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</si>
  <si>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</si>
  <si>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2026-3-03421-RA</t>
  </si>
  <si>
    <t>中国工商银行北京市分行</t>
  </si>
  <si>
    <t>北京市顺义区</t>
  </si>
  <si>
    <t>滨河路向阳村段8号61号楼-1至2层全部</t>
  </si>
  <si>
    <t>华润八号院</t>
  </si>
  <si>
    <t>朱光义</t>
  </si>
  <si>
    <t>商品房</t>
  </si>
  <si>
    <t>别墅</t>
  </si>
  <si>
    <t>2025-3-36341-RA</t>
  </si>
  <si>
    <t>滨河路向阳村段8号87号楼-1至2层全部</t>
  </si>
  <si>
    <t>2（-1）</t>
  </si>
  <si>
    <t>2025-3-29021-RA</t>
  </si>
  <si>
    <t>2025-3-06425-RA</t>
  </si>
  <si>
    <t>向阳南路8号第125幢-1至2层全部</t>
  </si>
  <si>
    <t>2025-3-04125-RE</t>
  </si>
  <si>
    <t>北京荣和世通汽车销售服务有限公司</t>
  </si>
  <si>
    <t>向阳南路8号125幢</t>
  </si>
  <si>
    <t>京市顺私国用（2005出）第0200275号</t>
  </si>
  <si>
    <t>2024-3-53215-RA</t>
  </si>
  <si>
    <t>滨河路向阳村段8号53号楼-1至2层全部</t>
  </si>
  <si>
    <t>2（-01）</t>
  </si>
  <si>
    <t>2024-3-52234-RA</t>
  </si>
  <si>
    <t>2024-3-22271-RB</t>
  </si>
  <si>
    <t>中信银行北京分行</t>
  </si>
  <si>
    <t>滨河路向阳村段8号86号楼-1至2层全部</t>
  </si>
  <si>
    <t>华中园别墅</t>
  </si>
  <si>
    <t>02（-01）</t>
  </si>
  <si>
    <t>2021-3-28531-RA</t>
  </si>
  <si>
    <t>北京荣和新能源汽车销售服务有限公司</t>
  </si>
  <si>
    <t>北京市顺义区</t>
    <phoneticPr fontId="134" type="noConversion"/>
  </si>
  <si>
    <t>https://sf-item.taobao.com/sf_item/941884743863.htm?spm=a213w.7398504.paiList.1.73e9400dETFMEZ&amp;track_id=d5525bcd-1add-4dbc-b393-b08bef968a08</t>
    <phoneticPr fontId="134" type="noConversion"/>
  </si>
  <si>
    <t>2025-3-45572-RA</t>
  </si>
  <si>
    <t>顺安南路12号院二区14号楼-1至3层全部</t>
  </si>
  <si>
    <t>富力湾</t>
  </si>
  <si>
    <t>住宅、住宅地下室</t>
  </si>
  <si>
    <t>3（-1）</t>
  </si>
  <si>
    <t>于永峰</t>
  </si>
  <si>
    <t>顺安南路12号院五区11号楼-1至3层01</t>
  </si>
  <si>
    <t>3（-01）</t>
  </si>
  <si>
    <t>2025-3-03599-RA</t>
  </si>
  <si>
    <t>李影</t>
  </si>
  <si>
    <t>顺安南路12号院五区37号楼-1至3层01</t>
  </si>
  <si>
    <t>2024-3-18884-RB</t>
  </si>
  <si>
    <t>招商银行北京分行</t>
  </si>
  <si>
    <t>顺安南路12号院一区9号楼-1至3层01</t>
  </si>
  <si>
    <t>地上</t>
    <phoneticPr fontId="3" type="noConversion"/>
  </si>
  <si>
    <t>地下</t>
    <phoneticPr fontId="3" type="noConversion"/>
  </si>
  <si>
    <t>成本法 (元)</t>
  </si>
  <si>
    <t>正常</t>
  </si>
  <si>
    <t>拍卖</t>
  </si>
  <si>
    <t>拍卖</t>
    <phoneticPr fontId="134" type="noConversion"/>
  </si>
  <si>
    <t>地下室</t>
    <phoneticPr fontId="134" type="noConversion"/>
  </si>
  <si>
    <t>赠送</t>
    <phoneticPr fontId="134" type="noConversion"/>
  </si>
  <si>
    <t>产权</t>
    <phoneticPr fontId="134" type="noConversion"/>
  </si>
  <si>
    <t>产权</t>
    <phoneticPr fontId="134" type="noConversion"/>
  </si>
  <si>
    <t>产权</t>
    <phoneticPr fontId="134" type="noConversion"/>
  </si>
  <si>
    <t>别墅</t>
    <phoneticPr fontId="134" type="noConversion"/>
  </si>
  <si>
    <t>楼层</t>
    <phoneticPr fontId="134" type="noConversion"/>
  </si>
  <si>
    <t>2</t>
    <phoneticPr fontId="134" type="noConversion"/>
  </si>
  <si>
    <r>
      <t>3</t>
    </r>
    <r>
      <rPr>
        <sz val="11"/>
        <color indexed="8"/>
        <rFont val="宋体"/>
        <family val="3"/>
        <charset val="134"/>
      </rPr>
      <t>（</t>
    </r>
    <r>
      <rPr>
        <sz val="11"/>
        <color indexed="8"/>
        <rFont val="Arial"/>
        <family val="2"/>
      </rPr>
      <t>-1</t>
    </r>
    <r>
      <rPr>
        <sz val="11"/>
        <color indexed="8"/>
        <rFont val="宋体"/>
        <family val="3"/>
        <charset val="134"/>
      </rPr>
      <t>）</t>
    </r>
    <phoneticPr fontId="134" type="noConversion"/>
  </si>
  <si>
    <t>售价</t>
  </si>
  <si>
    <t>比较法-住宅</t>
  </si>
  <si>
    <t>比较法-住宅</t>
    <phoneticPr fontId="16" type="noConversion"/>
  </si>
  <si>
    <t>2025-3-12310-RB</t>
    <phoneticPr fontId="134" type="noConversion"/>
  </si>
  <si>
    <t>2024-3-49020-RB</t>
    <phoneticPr fontId="134" type="noConversion"/>
  </si>
  <si>
    <t>比较法-租金</t>
    <phoneticPr fontId="16" type="noConversion"/>
  </si>
  <si>
    <t>单套模式</t>
  </si>
  <si>
    <t>一般/普通装修</t>
  </si>
  <si>
    <r>
      <rPr>
        <sz val="11"/>
        <color indexed="8"/>
        <rFont val="宋体"/>
        <family val="3"/>
        <charset val="134"/>
      </rPr>
      <t>一般</t>
    </r>
    <r>
      <rPr>
        <sz val="11"/>
        <color indexed="8"/>
        <rFont val="Arial"/>
        <family val="2"/>
      </rPr>
      <t>/</t>
    </r>
    <r>
      <rPr>
        <sz val="11"/>
        <color indexed="8"/>
        <rFont val="宋体"/>
        <family val="3"/>
        <charset val="134"/>
      </rPr>
      <t>普通装修</t>
    </r>
    <phoneticPr fontId="134" type="noConversion"/>
  </si>
  <si>
    <t>精装修</t>
    <phoneticPr fontId="134" type="noConversion"/>
  </si>
  <si>
    <t>简装</t>
    <phoneticPr fontId="134" type="noConversion"/>
  </si>
  <si>
    <t>毛坯</t>
  </si>
  <si>
    <t>毛坯</t>
    <phoneticPr fontId="134" type="noConversion"/>
  </si>
  <si>
    <t>独栋</t>
  </si>
  <si>
    <t>独栋</t>
    <phoneticPr fontId="134" type="noConversion"/>
  </si>
  <si>
    <t>混合</t>
  </si>
  <si>
    <t>混合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</si>
</sst>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0"/>
      <color rgb="FF303133"/>
      <name val="宋体"/>
      <family val="3"/>
      <charset val="134"/>
      <scheme val="minor"/>
    </font>
    <font>
      <sz val="10"/>
      <color rgb="FF303133"/>
      <name val="宋体"/>
      <family val="3"/>
      <charset val="134"/>
    </font>
    <font>
      <sz val="11"/>
      <color theme="1"/>
      <name val="Segoe UI"/>
      <family val="2"/>
    </font>
    <font>
      <sz val="7"/>
      <color rgb="FF000000"/>
      <name val="Microsoft YaHei"/>
      <family val="2"/>
      <charset val="134"/>
    </font>
    <font>
      <sz val="7"/>
      <color rgb="FF333333"/>
      <name val="Microsoft YaHei"/>
      <family val="2"/>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5F7FA"/>
        <bgColor indexed="64"/>
      </patternFill>
    </fill>
    <fill>
      <patternFill patternType="solid">
        <fgColor rgb="FFF3F5F7"/>
        <bgColor indexed="64"/>
      </patternFill>
    </fill>
    <fill>
      <patternFill patternType="solid">
        <fgColor rgb="FFF7F7F7"/>
        <bgColor indexed="64"/>
      </patternFill>
    </fill>
    <fill>
      <patternFill patternType="solid">
        <fgColor rgb="FFEAF6FC"/>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style="medium">
        <color rgb="FFEBEEF5"/>
      </right>
      <top style="medium">
        <color rgb="FFEBEEF5"/>
      </top>
      <bottom/>
      <diagonal/>
    </border>
    <border>
      <left/>
      <right style="medium">
        <color rgb="FFEBEEF5"/>
      </right>
      <top/>
      <bottom style="medium">
        <color rgb="FFEBEEF5"/>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8" fillId="0" borderId="0" applyNumberFormat="0" applyFill="0" applyBorder="0" applyAlignment="0" applyProtection="0">
      <alignment vertical="center"/>
    </xf>
  </cellStyleXfs>
  <cellXfs count="50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47" fillId="12" borderId="0" xfId="0" applyFont="1" applyFill="1" applyProtection="1">
      <alignment vertical="center"/>
      <protection locked="0"/>
    </xf>
    <xf numFmtId="14" fontId="0" fillId="0" borderId="0" xfId="0" applyNumberFormat="1">
      <alignment vertical="center"/>
    </xf>
    <xf numFmtId="0" fontId="293" fillId="0" borderId="177" xfId="0" applyFont="1" applyBorder="1" applyAlignment="1">
      <alignment vertical="center"/>
    </xf>
    <xf numFmtId="17" fontId="293" fillId="0" borderId="178" xfId="0" applyNumberFormat="1" applyFont="1" applyBorder="1" applyAlignment="1">
      <alignment horizontal="center" vertical="center"/>
    </xf>
    <xf numFmtId="0" fontId="294" fillId="23" borderId="178" xfId="0" applyFont="1" applyFill="1" applyBorder="1" applyAlignment="1">
      <alignment horizontal="left" vertical="center" wrapText="1"/>
    </xf>
    <xf numFmtId="0" fontId="295" fillId="23" borderId="178" xfId="0" applyFont="1" applyFill="1" applyBorder="1" applyAlignment="1">
      <alignment horizontal="right" vertical="center"/>
    </xf>
    <xf numFmtId="0" fontId="295" fillId="24" borderId="178" xfId="0" applyFont="1" applyFill="1" applyBorder="1" applyAlignment="1">
      <alignment horizontal="right" vertical="center"/>
    </xf>
    <xf numFmtId="0" fontId="295" fillId="12" borderId="178" xfId="0" applyFont="1" applyFill="1" applyBorder="1" applyAlignment="1">
      <alignment horizontal="right" vertical="center"/>
    </xf>
    <xf numFmtId="0" fontId="297" fillId="12" borderId="179" xfId="0" applyFont="1" applyFill="1" applyBorder="1" applyAlignment="1">
      <alignment horizontal="center" vertical="center" wrapText="1"/>
    </xf>
    <xf numFmtId="31" fontId="297" fillId="12" borderId="179" xfId="0" applyNumberFormat="1" applyFont="1" applyFill="1" applyBorder="1" applyAlignment="1">
      <alignment horizontal="center" vertical="center" wrapText="1"/>
    </xf>
    <xf numFmtId="0" fontId="297" fillId="26" borderId="179" xfId="0" applyFont="1" applyFill="1" applyBorder="1" applyAlignment="1">
      <alignment horizontal="center" vertical="center" wrapText="1"/>
    </xf>
    <xf numFmtId="31" fontId="297" fillId="26" borderId="179" xfId="0" applyNumberFormat="1" applyFont="1" applyFill="1" applyBorder="1" applyAlignment="1">
      <alignment horizontal="center" vertical="center" wrapText="1"/>
    </xf>
    <xf numFmtId="0" fontId="297" fillId="25" borderId="179" xfId="0" applyFont="1" applyFill="1" applyBorder="1" applyAlignment="1">
      <alignment horizontal="center" vertical="center" wrapText="1"/>
    </xf>
    <xf numFmtId="31" fontId="297" fillId="25" borderId="179" xfId="0" applyNumberFormat="1" applyFont="1" applyFill="1" applyBorder="1" applyAlignment="1">
      <alignment horizontal="center" vertical="center" wrapText="1"/>
    </xf>
    <xf numFmtId="0" fontId="296" fillId="25" borderId="180" xfId="0" applyFont="1" applyFill="1" applyBorder="1" applyAlignment="1">
      <alignment horizontal="center" vertical="center" wrapText="1"/>
    </xf>
    <xf numFmtId="0" fontId="298" fillId="0" borderId="0" xfId="19">
      <alignment vertical="center"/>
    </xf>
    <xf numFmtId="0" fontId="297" fillId="12" borderId="181" xfId="0" applyFont="1" applyFill="1" applyBorder="1" applyAlignment="1">
      <alignment horizontal="center" vertical="center" wrapText="1"/>
    </xf>
    <xf numFmtId="31" fontId="297" fillId="12" borderId="181" xfId="0" applyNumberFormat="1" applyFont="1" applyFill="1" applyBorder="1" applyAlignment="1">
      <alignment horizontal="center" vertical="center" wrapText="1"/>
    </xf>
    <xf numFmtId="0" fontId="297" fillId="5" borderId="179" xfId="0" applyFont="1" applyFill="1" applyBorder="1" applyAlignment="1">
      <alignment horizontal="center" vertical="center" wrapText="1"/>
    </xf>
    <xf numFmtId="31" fontId="297" fillId="5" borderId="179" xfId="0" applyNumberFormat="1" applyFont="1" applyFill="1" applyBorder="1" applyAlignment="1">
      <alignment horizontal="center" vertical="center" wrapText="1"/>
    </xf>
    <xf numFmtId="0" fontId="77" fillId="12" borderId="0" xfId="0" applyFont="1" applyFill="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10" fontId="44" fillId="0" borderId="74" xfId="0" applyNumberFormat="1"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0" fontId="128" fillId="0" borderId="37"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128" fillId="0" borderId="51"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left"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541020</xdr:colOff>
      <xdr:row>16</xdr:row>
      <xdr:rowOff>16877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295900" cy="2942956"/>
        </a:xfrm>
        <a:prstGeom prst="rect">
          <a:avLst/>
        </a:prstGeom>
      </xdr:spPr>
    </xdr:pic>
    <xdr:clientData/>
  </xdr:twoCellAnchor>
  <xdr:twoCellAnchor editAs="oneCell">
    <xdr:from>
      <xdr:col>0</xdr:col>
      <xdr:colOff>0</xdr:colOff>
      <xdr:row>43</xdr:row>
      <xdr:rowOff>152401</xdr:rowOff>
    </xdr:from>
    <xdr:to>
      <xdr:col>9</xdr:col>
      <xdr:colOff>456100</xdr:colOff>
      <xdr:row>65</xdr:row>
      <xdr:rowOff>83821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5781"/>
          <a:ext cx="6430180" cy="3954780"/>
        </a:xfrm>
        <a:prstGeom prst="rect">
          <a:avLst/>
        </a:prstGeom>
      </xdr:spPr>
    </xdr:pic>
    <xdr:clientData/>
  </xdr:twoCellAnchor>
  <xdr:twoCellAnchor editAs="oneCell">
    <xdr:from>
      <xdr:col>9</xdr:col>
      <xdr:colOff>388620</xdr:colOff>
      <xdr:row>33</xdr:row>
      <xdr:rowOff>121920</xdr:rowOff>
    </xdr:from>
    <xdr:to>
      <xdr:col>20</xdr:col>
      <xdr:colOff>616287</xdr:colOff>
      <xdr:row>41</xdr:row>
      <xdr:rowOff>182690</xdr:rowOff>
    </xdr:to>
    <xdr:pic>
      <xdr:nvPicPr>
        <xdr:cNvPr id="4" name="图片 3"/>
        <xdr:cNvPicPr>
          <a:picLocks noChangeAspect="1"/>
        </xdr:cNvPicPr>
      </xdr:nvPicPr>
      <xdr:blipFill>
        <a:blip xmlns:r="http://schemas.openxmlformats.org/officeDocument/2006/relationships" r:embed="rId3"/>
        <a:stretch>
          <a:fillRect/>
        </a:stretch>
      </xdr:blipFill>
      <xdr:spPr>
        <a:xfrm>
          <a:off x="6362700" y="6286500"/>
          <a:ext cx="7466667" cy="1523810"/>
        </a:xfrm>
        <a:prstGeom prst="rect">
          <a:avLst/>
        </a:prstGeom>
      </xdr:spPr>
    </xdr:pic>
    <xdr:clientData/>
  </xdr:twoCellAnchor>
  <xdr:twoCellAnchor editAs="oneCell">
    <xdr:from>
      <xdr:col>0</xdr:col>
      <xdr:colOff>0</xdr:colOff>
      <xdr:row>34</xdr:row>
      <xdr:rowOff>1</xdr:rowOff>
    </xdr:from>
    <xdr:to>
      <xdr:col>9</xdr:col>
      <xdr:colOff>501254</xdr:colOff>
      <xdr:row>43</xdr:row>
      <xdr:rowOff>53341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7461"/>
          <a:ext cx="6475334" cy="1699260"/>
        </a:xfrm>
        <a:prstGeom prst="rect">
          <a:avLst/>
        </a:prstGeom>
      </xdr:spPr>
    </xdr:pic>
    <xdr:clientData/>
  </xdr:twoCellAnchor>
  <xdr:twoCellAnchor editAs="oneCell">
    <xdr:from>
      <xdr:col>9</xdr:col>
      <xdr:colOff>525780</xdr:colOff>
      <xdr:row>42</xdr:row>
      <xdr:rowOff>22860</xdr:rowOff>
    </xdr:from>
    <xdr:to>
      <xdr:col>21</xdr:col>
      <xdr:colOff>134299</xdr:colOff>
      <xdr:row>52</xdr:row>
      <xdr:rowOff>98822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499860" y="7833360"/>
          <a:ext cx="7647619" cy="1904762"/>
        </a:xfrm>
        <a:prstGeom prst="rect">
          <a:avLst/>
        </a:prstGeom>
      </xdr:spPr>
    </xdr:pic>
    <xdr:clientData/>
  </xdr:twoCellAnchor>
  <xdr:twoCellAnchor editAs="oneCell">
    <xdr:from>
      <xdr:col>10</xdr:col>
      <xdr:colOff>0</xdr:colOff>
      <xdr:row>53</xdr:row>
      <xdr:rowOff>0</xdr:rowOff>
    </xdr:from>
    <xdr:to>
      <xdr:col>19</xdr:col>
      <xdr:colOff>480060</xdr:colOff>
      <xdr:row>66</xdr:row>
      <xdr:rowOff>122535</xdr:rowOff>
    </xdr:to>
    <xdr:pic>
      <xdr:nvPicPr>
        <xdr:cNvPr id="7" name="图片 6"/>
        <xdr:cNvPicPr>
          <a:picLocks noChangeAspect="1"/>
        </xdr:cNvPicPr>
      </xdr:nvPicPr>
      <xdr:blipFill>
        <a:blip xmlns:r="http://schemas.openxmlformats.org/officeDocument/2006/relationships" r:embed="rId6"/>
        <a:stretch>
          <a:fillRect/>
        </a:stretch>
      </xdr:blipFill>
      <xdr:spPr>
        <a:xfrm>
          <a:off x="6583680" y="9822180"/>
          <a:ext cx="6195060" cy="2499975"/>
        </a:xfrm>
        <a:prstGeom prst="rect">
          <a:avLst/>
        </a:prstGeom>
      </xdr:spPr>
    </xdr:pic>
    <xdr:clientData/>
  </xdr:twoCellAnchor>
  <xdr:twoCellAnchor editAs="oneCell">
    <xdr:from>
      <xdr:col>0</xdr:col>
      <xdr:colOff>0</xdr:colOff>
      <xdr:row>102</xdr:row>
      <xdr:rowOff>114300</xdr:rowOff>
    </xdr:from>
    <xdr:to>
      <xdr:col>13</xdr:col>
      <xdr:colOff>432553</xdr:colOff>
      <xdr:row>122</xdr:row>
      <xdr:rowOff>56700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419820"/>
          <a:ext cx="8845033" cy="3600000"/>
        </a:xfrm>
        <a:prstGeom prst="rect">
          <a:avLst/>
        </a:prstGeom>
      </xdr:spPr>
    </xdr:pic>
    <xdr:clientData/>
  </xdr:twoCellAnchor>
  <xdr:twoCellAnchor editAs="oneCell">
    <xdr:from>
      <xdr:col>13</xdr:col>
      <xdr:colOff>434341</xdr:colOff>
      <xdr:row>102</xdr:row>
      <xdr:rowOff>144780</xdr:rowOff>
    </xdr:from>
    <xdr:to>
      <xdr:col>21</xdr:col>
      <xdr:colOff>228846</xdr:colOff>
      <xdr:row>132</xdr:row>
      <xdr:rowOff>58380</xdr:rowOff>
    </xdr:to>
    <xdr:pic>
      <xdr:nvPicPr>
        <xdr:cNvPr id="9" name="图片 8"/>
        <xdr:cNvPicPr>
          <a:picLocks noChangeAspect="1"/>
        </xdr:cNvPicPr>
      </xdr:nvPicPr>
      <xdr:blipFill>
        <a:blip xmlns:r="http://schemas.openxmlformats.org/officeDocument/2006/relationships" r:embed="rId8"/>
        <a:stretch>
          <a:fillRect/>
        </a:stretch>
      </xdr:blipFill>
      <xdr:spPr>
        <a:xfrm>
          <a:off x="8846821" y="21450300"/>
          <a:ext cx="5395205" cy="5400000"/>
        </a:xfrm>
        <a:prstGeom prst="rect">
          <a:avLst/>
        </a:prstGeom>
      </xdr:spPr>
    </xdr:pic>
    <xdr:clientData/>
  </xdr:twoCellAnchor>
  <xdr:twoCellAnchor editAs="oneCell">
    <xdr:from>
      <xdr:col>0</xdr:col>
      <xdr:colOff>0</xdr:colOff>
      <xdr:row>128</xdr:row>
      <xdr:rowOff>0</xdr:rowOff>
    </xdr:from>
    <xdr:to>
      <xdr:col>3</xdr:col>
      <xdr:colOff>557469</xdr:colOff>
      <xdr:row>157</xdr:row>
      <xdr:rowOff>96480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172920"/>
          <a:ext cx="2873949" cy="5400000"/>
        </a:xfrm>
        <a:prstGeom prst="rect">
          <a:avLst/>
        </a:prstGeom>
      </xdr:spPr>
    </xdr:pic>
    <xdr:clientData/>
  </xdr:twoCellAnchor>
  <xdr:twoCellAnchor editAs="oneCell">
    <xdr:from>
      <xdr:col>3</xdr:col>
      <xdr:colOff>525780</xdr:colOff>
      <xdr:row>128</xdr:row>
      <xdr:rowOff>0</xdr:rowOff>
    </xdr:from>
    <xdr:to>
      <xdr:col>8</xdr:col>
      <xdr:colOff>271909</xdr:colOff>
      <xdr:row>157</xdr:row>
      <xdr:rowOff>96480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842260" y="27172920"/>
          <a:ext cx="2794129" cy="5400000"/>
        </a:xfrm>
        <a:prstGeom prst="rect">
          <a:avLst/>
        </a:prstGeom>
      </xdr:spPr>
    </xdr:pic>
    <xdr:clientData/>
  </xdr:twoCellAnchor>
  <xdr:twoCellAnchor editAs="oneCell">
    <xdr:from>
      <xdr:col>8</xdr:col>
      <xdr:colOff>266700</xdr:colOff>
      <xdr:row>128</xdr:row>
      <xdr:rowOff>0</xdr:rowOff>
    </xdr:from>
    <xdr:to>
      <xdr:col>13</xdr:col>
      <xdr:colOff>73987</xdr:colOff>
      <xdr:row>157</xdr:row>
      <xdr:rowOff>96480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631180" y="27172920"/>
          <a:ext cx="2855287" cy="5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f-item.taobao.com/sf_item/941884743863.htm?spm=a213w.7398504.paiList.1.73e9400dETFMEZ&amp;track_id=d5525bcd-1add-4dbc-b393-b08bef968a08"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北京市房地产市场价值预评估</v>
      </c>
    </row>
    <row r="3" spans="1:2" s="843" customFormat="1">
      <c r="A3" s="841" t="s">
        <v>517</v>
      </c>
      <c r="B3" s="842">
        <f>'预评函-封皮'!B40</f>
        <v>0</v>
      </c>
    </row>
    <row r="4" spans="1:2" s="843" customFormat="1">
      <c r="A4" s="841" t="s">
        <v>518</v>
      </c>
      <c r="B4" s="842" t="str">
        <f ca="1">'预评函-封皮'!B46</f>
        <v>陈颖（注册号：0)、（注册号：0)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受贵公司委托，我公司对北京市房地产市场价值进行了预评估。</v>
      </c>
    </row>
    <row r="7" spans="1:2" s="843" customFormat="1">
      <c r="A7" s="841" t="s">
        <v>560</v>
      </c>
      <c r="B7" s="842" t="str">
        <f>'预评函-1'!A7</f>
        <v>估价对象为北京市房地产，为所有。根据《国有土地使用证》[]，估价对象（分摊）出让国有建设用地使用权面积为623.5平方米，建筑面积为262.77平方米。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估价对象为北京市房地产,属开发建设的，该项目尚在开发建设中。根据《国有土地使用证》[]，估价对象（分摊）出让国有建设用地使用权面积为623.5平方米，规划建筑面积为262.77平方米。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2026年2月10日（评估专业人员实地查勘之日）</v>
      </c>
    </row>
    <row r="13" spans="1:2" s="843" customFormat="1">
      <c r="A13" s="841" t="s">
        <v>523</v>
      </c>
      <c r="B13" s="842" t="str">
        <f>'预评函-1'!A18</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v>
      </c>
    </row>
    <row r="16" spans="1:2" s="843" customFormat="1">
      <c r="A16" s="841" t="s">
        <v>526</v>
      </c>
      <c r="B16" s="842" t="str">
        <f>'预评函-1'!A21</f>
        <v>——</v>
      </c>
    </row>
    <row r="17" spans="1:2" s="843" customFormat="1">
      <c r="A17" s="841" t="s">
        <v>527</v>
      </c>
      <c r="B17" s="842" t="str">
        <f>'预评函-1'!A22</f>
        <v>——</v>
      </c>
    </row>
    <row r="18" spans="1:2" s="837" customFormat="1" ht="16.2" thickBot="1">
      <c r="A18" s="844" t="s">
        <v>528</v>
      </c>
      <c r="B18" s="845" t="str">
        <f>'预评函-1'!A24</f>
        <v>本次评估采用的主估价方法为比较法和成本法。</v>
      </c>
    </row>
    <row r="19" spans="1:2" s="840" customFormat="1" ht="16.2" thickTop="1">
      <c r="A19" s="838" t="s">
        <v>529</v>
      </c>
      <c r="B19" s="8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43" customFormat="1">
      <c r="A20" s="841" t="s">
        <v>530</v>
      </c>
      <c r="B20" s="842">
        <f ca="1">'预评函-2'!D5</f>
        <v>611.07159999999999</v>
      </c>
    </row>
    <row r="21" spans="1:2" s="843" customFormat="1">
      <c r="A21" s="841" t="s">
        <v>531</v>
      </c>
      <c r="B21" s="842">
        <f ca="1">'预评函-2'!D7</f>
        <v>884994</v>
      </c>
    </row>
    <row r="22" spans="1:2" s="843" customFormat="1">
      <c r="A22" s="841" t="s">
        <v>532</v>
      </c>
      <c r="B22" s="842" t="str">
        <f ca="1">'预评函-2'!D6</f>
        <v>陆佰壹拾壹万零柒佰壹拾陆元整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611.07159999999999</v>
      </c>
    </row>
    <row r="31" spans="1:2" s="843" customFormat="1">
      <c r="A31" s="841" t="s">
        <v>570</v>
      </c>
      <c r="B31" s="842">
        <f ca="1">'预评函-2'!D15</f>
        <v>884994</v>
      </c>
    </row>
    <row r="32" spans="1:2" s="843" customFormat="1">
      <c r="A32" s="841" t="s">
        <v>537</v>
      </c>
      <c r="B32" s="842" t="str">
        <f ca="1">'预评函-2'!D14</f>
        <v>陆佰壹拾壹万零柒佰壹拾陆元整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262.77</v>
      </c>
    </row>
    <row r="44" spans="1:2" s="843" customFormat="1" ht="31.2">
      <c r="A44" s="841" t="s">
        <v>569</v>
      </c>
      <c r="B44" s="842" t="str">
        <f>'预评函-3'!C2</f>
        <v>(分摊)土地面积</v>
      </c>
    </row>
    <row r="45" spans="1:2" s="843" customFormat="1">
      <c r="A45" s="841" t="s">
        <v>541</v>
      </c>
      <c r="B45" s="842">
        <f>'预评函-3'!C4</f>
        <v>623.5</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t="str">
        <f>'预评函-4'!A4</f>
        <v>陈颖</v>
      </c>
    </row>
    <row r="71" spans="1:2">
      <c r="A71" s="841" t="s">
        <v>557</v>
      </c>
      <c r="B71" s="842">
        <f ca="1">'预评函-4'!B4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workbookViewId="0">
      <selection activeCell="B29" sqref="B29"/>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1011</v>
      </c>
      <c r="H8" s="1154" t="s">
        <v>2465</v>
      </c>
      <c r="I8" s="1154" t="s">
        <v>3228</v>
      </c>
      <c r="X8" s="1157" t="s">
        <v>3281</v>
      </c>
      <c r="Z8" s="1157" t="s">
        <v>2352</v>
      </c>
      <c r="AB8" s="1157" t="s">
        <v>2378</v>
      </c>
    </row>
    <row r="9" spans="1:28">
      <c r="A9" s="1152" t="s">
        <v>1012</v>
      </c>
      <c r="B9" s="1155" t="s">
        <v>4122</v>
      </c>
      <c r="C9" s="1153" t="s">
        <v>318</v>
      </c>
      <c r="F9" s="1154" t="s">
        <v>1014</v>
      </c>
      <c r="H9" s="1154"/>
      <c r="I9" s="1157" t="s">
        <v>3229</v>
      </c>
      <c r="X9" s="1157" t="s">
        <v>3282</v>
      </c>
      <c r="Z9" s="1157" t="s">
        <v>2354</v>
      </c>
      <c r="AB9" s="1157" t="s">
        <v>2380</v>
      </c>
    </row>
    <row r="10" spans="1:28">
      <c r="A10" s="1152" t="s">
        <v>1015</v>
      </c>
      <c r="B10" s="1152" t="s">
        <v>1013</v>
      </c>
      <c r="C10" s="1153" t="s">
        <v>319</v>
      </c>
      <c r="F10" s="1154" t="s">
        <v>2466</v>
      </c>
      <c r="I10" s="1157" t="s">
        <v>3230</v>
      </c>
      <c r="Z10" s="1157" t="s">
        <v>2356</v>
      </c>
      <c r="AB10" s="1157" t="s">
        <v>2382</v>
      </c>
    </row>
    <row r="11" spans="1:28">
      <c r="A11" s="1152" t="s">
        <v>1017</v>
      </c>
      <c r="B11" s="1152" t="s">
        <v>1016</v>
      </c>
      <c r="C11" s="1153" t="s">
        <v>320</v>
      </c>
      <c r="F11" s="1154" t="s">
        <v>12</v>
      </c>
      <c r="I11" s="1157" t="s">
        <v>3231</v>
      </c>
      <c r="Z11" s="1157" t="s">
        <v>2358</v>
      </c>
      <c r="AB11" s="1157" t="s">
        <v>2384</v>
      </c>
    </row>
    <row r="12" spans="1:28">
      <c r="A12" s="1152" t="s">
        <v>1019</v>
      </c>
      <c r="B12" s="1152" t="s">
        <v>1018</v>
      </c>
      <c r="C12" s="1153" t="s">
        <v>321</v>
      </c>
      <c r="I12" s="1157" t="s">
        <v>3232</v>
      </c>
      <c r="Z12" s="1157" t="s">
        <v>2360</v>
      </c>
      <c r="AB12" s="1157" t="s">
        <v>2386</v>
      </c>
    </row>
    <row r="13" spans="1:28">
      <c r="A13" s="1152" t="s">
        <v>1021</v>
      </c>
      <c r="B13" s="1152" t="s">
        <v>1020</v>
      </c>
      <c r="C13" s="1153" t="s">
        <v>322</v>
      </c>
      <c r="I13" s="1157" t="s">
        <v>3233</v>
      </c>
      <c r="Z13" s="1157" t="s">
        <v>2362</v>
      </c>
    </row>
    <row r="14" spans="1:28">
      <c r="A14" s="1152" t="s">
        <v>1023</v>
      </c>
      <c r="B14" s="1152" t="s">
        <v>1022</v>
      </c>
      <c r="C14" s="1154" t="s">
        <v>12</v>
      </c>
      <c r="I14" s="1157" t="s">
        <v>3234</v>
      </c>
      <c r="Z14" s="1157" t="s">
        <v>2364</v>
      </c>
    </row>
    <row r="15" spans="1:28">
      <c r="A15" s="1152" t="s">
        <v>1025</v>
      </c>
      <c r="B15" s="1152" t="s">
        <v>2196</v>
      </c>
      <c r="C15" s="1153"/>
      <c r="I15" s="1157" t="s">
        <v>3235</v>
      </c>
    </row>
    <row r="16" spans="1:28">
      <c r="A16" s="1152" t="s">
        <v>1027</v>
      </c>
      <c r="B16" s="1152" t="s">
        <v>1024</v>
      </c>
      <c r="C16" s="1153"/>
    </row>
    <row r="17" spans="1:3">
      <c r="A17" s="1152" t="s">
        <v>1028</v>
      </c>
      <c r="B17" s="1152" t="s">
        <v>1026</v>
      </c>
      <c r="C17" s="1153"/>
    </row>
    <row r="18" spans="1:3">
      <c r="A18" s="1152" t="s">
        <v>1029</v>
      </c>
      <c r="B18" s="1152" t="s">
        <v>3516</v>
      </c>
      <c r="C18" s="1153"/>
    </row>
    <row r="19" spans="1:3">
      <c r="A19" s="1152" t="s">
        <v>1030</v>
      </c>
      <c r="B19" s="1152" t="s">
        <v>3517</v>
      </c>
      <c r="C19" s="1153"/>
    </row>
    <row r="20" spans="1:3">
      <c r="A20" s="1152" t="s">
        <v>1031</v>
      </c>
      <c r="B20" s="1152" t="s">
        <v>310</v>
      </c>
      <c r="C20" s="1153"/>
    </row>
    <row r="21" spans="1:3">
      <c r="A21" s="1152" t="s">
        <v>1032</v>
      </c>
      <c r="B21" s="1152" t="s">
        <v>2196</v>
      </c>
      <c r="C21" s="1153"/>
    </row>
    <row r="22" spans="1:3">
      <c r="A22" s="1152" t="s">
        <v>1033</v>
      </c>
      <c r="B22" s="1152" t="s">
        <v>3621</v>
      </c>
      <c r="C22" s="1153"/>
    </row>
    <row r="23" spans="1:3">
      <c r="A23" s="1152" t="s">
        <v>1034</v>
      </c>
      <c r="B23" s="1152" t="s">
        <v>4125</v>
      </c>
      <c r="C23" s="1153"/>
    </row>
    <row r="24" spans="1:3">
      <c r="A24" s="1152" t="s">
        <v>1035</v>
      </c>
      <c r="B24" s="1152" t="s">
        <v>311</v>
      </c>
      <c r="C24" s="1153"/>
    </row>
    <row r="25" spans="1:3">
      <c r="A25" s="1152" t="s">
        <v>1036</v>
      </c>
      <c r="B25" s="1152" t="s">
        <v>311</v>
      </c>
      <c r="C25" s="1153"/>
    </row>
    <row r="26" spans="1:3">
      <c r="A26" s="1152" t="s">
        <v>1037</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700"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0"/>
      <c r="B54" s="1160" t="s">
        <v>379</v>
      </c>
      <c r="C54" s="1157" t="s">
        <v>577</v>
      </c>
    </row>
    <row r="55" spans="1:4">
      <c r="A55" s="4700"/>
      <c r="B55" s="1160" t="s">
        <v>380</v>
      </c>
      <c r="C55" s="1157" t="s">
        <v>578</v>
      </c>
    </row>
    <row r="56" spans="1:4">
      <c r="A56" s="4700"/>
      <c r="B56" s="1160" t="s">
        <v>381</v>
      </c>
      <c r="C56" s="1157" t="s">
        <v>582</v>
      </c>
    </row>
    <row r="57" spans="1:4">
      <c r="A57" s="4700"/>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701" t="s">
        <v>2468</v>
      </c>
      <c r="J2" s="4702"/>
      <c r="K2" s="4702"/>
      <c r="L2" s="4702"/>
      <c r="M2" s="4702"/>
      <c r="N2" s="4702"/>
      <c r="O2" s="4702"/>
      <c r="P2" s="4702"/>
      <c r="Q2" s="4702"/>
      <c r="R2" s="4703"/>
    </row>
    <row r="3" spans="1:19">
      <c r="A3" s="2384" t="s">
        <v>2389</v>
      </c>
      <c r="B3" s="2385">
        <f>项目基本情况!D3</f>
        <v>46063</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0.85</v>
      </c>
      <c r="D5" s="3780">
        <f>IF(ISERROR(ROUND(POWER(1+E5,A5-C5)*(POWER(1+E5,C5)-1)/(POWER(1+E5,A5)-1),3)),0,ROUND(POWER(1+E5,A5-C5)*(POWER(1+E5,C5)-1)/(POWER(1+E5,A5)-1),4))</f>
        <v>4.1399999999999999E-2</v>
      </c>
      <c r="E5" s="3781">
        <v>0.04</v>
      </c>
      <c r="F5" s="2383"/>
      <c r="I5" s="3758" t="s">
        <v>2470</v>
      </c>
      <c r="J5" s="4335">
        <v>70</v>
      </c>
      <c r="K5" s="4335">
        <v>60</v>
      </c>
      <c r="L5" s="4335">
        <v>15</v>
      </c>
      <c r="M5" s="4335">
        <v>25</v>
      </c>
      <c r="N5" s="3779">
        <v>40</v>
      </c>
      <c r="O5" s="3779">
        <v>50</v>
      </c>
      <c r="P5" s="3779">
        <v>40</v>
      </c>
      <c r="Q5" s="3779">
        <v>15</v>
      </c>
      <c r="R5" s="4336">
        <v>315</v>
      </c>
    </row>
    <row r="6" spans="1:19" ht="15" thickBot="1">
      <c r="A6" s="3778">
        <v>50</v>
      </c>
      <c r="B6" s="2385">
        <v>50028</v>
      </c>
      <c r="C6" s="3779">
        <f>ROUNDDOWN(MIN((B6-B3)/365,A6),2)</f>
        <v>10.86</v>
      </c>
      <c r="D6" s="3780">
        <f>IF(ISERROR(ROUND(POWER(1+E6,A6-C6)*(POWER(1+E6,C6)-1)/(POWER(1+E6,A6)-1),3)),0,ROUND(POWER(1+E6,A6-C6)*(POWER(1+E6,C6)-1)/(POWER(1+E6,A6)-1),4))</f>
        <v>0.40360000000000001</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30.87</v>
      </c>
      <c r="D7" s="3780">
        <f>IF(ISERROR(ROUND(POWER(1+E7,A7-C7)*(POWER(1+E7,C7)-1)/(POWER(1+E7,A7)-1),3)),0,ROUND(POWER(1+E7,A7-C7)*(POWER(1+E7,C7)-1)/(POWER(1+E7,A7)-1),4))</f>
        <v>0.75019999999999998</v>
      </c>
      <c r="E7" s="3781">
        <v>0.04</v>
      </c>
      <c r="F7" s="2383"/>
      <c r="I7" s="3761" t="s">
        <v>3668</v>
      </c>
      <c r="J7" s="3762" t="s">
        <v>3670</v>
      </c>
      <c r="K7" s="3763">
        <v>3.5</v>
      </c>
      <c r="L7" s="3764"/>
      <c r="M7" s="3757"/>
      <c r="N7" s="2378"/>
      <c r="O7" s="2378"/>
      <c r="P7" s="2378"/>
      <c r="Q7" s="2378"/>
      <c r="R7" s="2379"/>
    </row>
    <row r="8" spans="1:19" ht="15" thickBot="1">
      <c r="A8" s="2381"/>
      <c r="B8" s="2382"/>
      <c r="C8" s="2382"/>
      <c r="D8" s="2382"/>
      <c r="E8" s="2382"/>
      <c r="F8" s="2383"/>
      <c r="I8" s="4701" t="s">
        <v>3669</v>
      </c>
      <c r="J8" s="4702"/>
      <c r="K8" s="4702"/>
      <c r="L8" s="4702"/>
      <c r="M8" s="4702"/>
      <c r="N8" s="4702"/>
      <c r="O8" s="4702"/>
      <c r="P8" s="4702"/>
      <c r="Q8" s="4702"/>
      <c r="R8" s="4703"/>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706" t="s">
        <v>3873</v>
      </c>
    </row>
    <row r="10" spans="1:19">
      <c r="A10" s="2384" t="s">
        <v>2396</v>
      </c>
      <c r="B10" s="2386"/>
      <c r="C10" s="2386"/>
      <c r="D10" s="2386" t="s">
        <v>2394</v>
      </c>
      <c r="E10" s="2386"/>
      <c r="F10" s="2387" t="s">
        <v>2393</v>
      </c>
      <c r="I10" s="3758" t="s">
        <v>2469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40">
        <f>SUM(J10:Q10)</f>
        <v>108</v>
      </c>
      <c r="S10" s="4707"/>
    </row>
    <row r="11" spans="1:19">
      <c r="A11" s="3784" t="s">
        <v>2397</v>
      </c>
      <c r="B11" s="3782">
        <v>70</v>
      </c>
      <c r="C11" s="3785" t="s">
        <v>2398</v>
      </c>
      <c r="D11" s="3781">
        <v>4.4999999999999998E-2</v>
      </c>
      <c r="E11" s="3785" t="s">
        <v>2399</v>
      </c>
      <c r="F11" s="3783">
        <f>ROUND(1-(1/(POWER(1+D11,B11))),4)</f>
        <v>0.95409999999999995</v>
      </c>
      <c r="I11" s="3758" t="s">
        <v>2470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40">
        <f t="shared" ref="R11:R12" si="1">SUM(J11:Q11)</f>
        <v>88</v>
      </c>
      <c r="S11" s="4707"/>
    </row>
    <row r="12" spans="1:19" ht="15" thickBot="1">
      <c r="A12" s="3784" t="s">
        <v>2400</v>
      </c>
      <c r="B12" s="3782">
        <v>40</v>
      </c>
      <c r="C12" s="3785" t="s">
        <v>2401</v>
      </c>
      <c r="D12" s="3781">
        <v>4.4999999999999998E-2</v>
      </c>
      <c r="E12" s="3785" t="s">
        <v>2402</v>
      </c>
      <c r="F12" s="3783">
        <f>ROUND(1-(1/(POWER(1+D12,B12))),4)</f>
        <v>0.82809999999999995</v>
      </c>
      <c r="I12" s="3765" t="s">
        <v>2471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40">
        <f t="shared" si="1"/>
        <v>73</v>
      </c>
      <c r="S12" s="4707"/>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707"/>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707"/>
    </row>
    <row r="15" spans="1:19">
      <c r="A15" s="3784" t="s">
        <v>2405</v>
      </c>
      <c r="B15" s="3788">
        <f>ROUND(B14*F12/F11,2)</f>
        <v>4339.6899999999996</v>
      </c>
      <c r="C15" s="3780">
        <f>ROUND(F12/F11,4)</f>
        <v>0.8679</v>
      </c>
      <c r="D15" s="2382"/>
      <c r="E15" s="2382"/>
      <c r="F15" s="2383"/>
      <c r="I15" s="3758" t="s">
        <v>2469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41">
        <f>SUM(J15:Q15)</f>
        <v>101</v>
      </c>
      <c r="S15" s="4707"/>
    </row>
    <row r="16" spans="1:19">
      <c r="A16" s="2384" t="s">
        <v>2406</v>
      </c>
      <c r="B16" s="2834"/>
      <c r="C16" s="2834"/>
      <c r="D16" s="2382"/>
      <c r="E16" s="2382"/>
      <c r="F16" s="2383"/>
      <c r="I16" s="3758" t="s">
        <v>2470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41">
        <f t="shared" ref="R16:R17" si="4">SUM(J16:Q16)</f>
        <v>82</v>
      </c>
      <c r="S16" s="4707"/>
    </row>
    <row r="17" spans="1:19" ht="15" thickBot="1">
      <c r="A17" s="3784" t="s">
        <v>2405</v>
      </c>
      <c r="B17" s="3789">
        <v>4810</v>
      </c>
      <c r="C17" s="3787"/>
      <c r="D17" s="2382"/>
      <c r="E17" s="2382"/>
      <c r="F17" s="2383"/>
      <c r="I17" s="3760" t="s">
        <v>2471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41">
        <f t="shared" si="4"/>
        <v>68</v>
      </c>
      <c r="S17" s="4708"/>
    </row>
    <row r="18" spans="1:19" ht="15" thickBot="1">
      <c r="A18" s="3790" t="s">
        <v>2404</v>
      </c>
      <c r="B18" s="3791">
        <f>ROUND(B17*F11/F12,2)</f>
        <v>5541.87</v>
      </c>
      <c r="C18" s="3792">
        <f>ROUND(F11/F12,4)</f>
        <v>1.1521999999999999</v>
      </c>
      <c r="D18" s="2388"/>
      <c r="E18" s="2388"/>
      <c r="F18" s="2389"/>
    </row>
    <row r="19" spans="1:19" s="3771" customFormat="1" ht="1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1"/>
      <c r="O48" s="3771"/>
    </row>
    <row r="49" spans="1:16" s="4334" customFormat="1" ht="15.6" thickTop="1" thickBot="1">
      <c r="A49" s="4332" t="s">
        <v>3348</v>
      </c>
      <c r="B49" s="4333"/>
      <c r="C49" s="4333"/>
      <c r="D49" s="4333"/>
      <c r="E49" s="4333"/>
      <c r="I49" s="4704" t="s">
        <v>3981</v>
      </c>
      <c r="J49" s="4704"/>
      <c r="K49" s="4704"/>
      <c r="L49" s="4704"/>
      <c r="M49" s="4704"/>
      <c r="N49" s="2388"/>
      <c r="O49" s="2388"/>
    </row>
    <row r="50" spans="1:16">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c r="A54" s="2849" t="s">
        <v>3354</v>
      </c>
      <c r="B54" s="2852">
        <f>B51</f>
        <v>9993</v>
      </c>
      <c r="C54" s="2852">
        <f>E54/B54</f>
        <v>1283.8637045932153</v>
      </c>
      <c r="D54" s="4295"/>
      <c r="E54" s="2864">
        <f>E55+E56</f>
        <v>12829650</v>
      </c>
      <c r="F54" s="4294">
        <f>E54/$E$62</f>
        <v>0.15779328102775064</v>
      </c>
      <c r="G54" s="2839"/>
      <c r="H54" s="2839"/>
    </row>
    <row r="55" spans="1:16">
      <c r="A55" s="2848" t="s">
        <v>3824</v>
      </c>
      <c r="B55" s="4293">
        <f>B52</f>
        <v>5508</v>
      </c>
      <c r="C55" s="2852"/>
      <c r="D55" s="4296">
        <v>1800</v>
      </c>
      <c r="E55" s="2863">
        <f>D55*B55</f>
        <v>9914400</v>
      </c>
      <c r="F55" s="2858"/>
      <c r="G55" s="2839" t="s">
        <v>3829</v>
      </c>
      <c r="H55" s="2839"/>
    </row>
    <row r="56" spans="1:16">
      <c r="A56" s="2848" t="s">
        <v>3825</v>
      </c>
      <c r="B56" s="4293">
        <f>B53</f>
        <v>4485</v>
      </c>
      <c r="C56" s="2852"/>
      <c r="D56" s="4296">
        <v>650</v>
      </c>
      <c r="E56" s="2863">
        <f>D56*B56</f>
        <v>2915250</v>
      </c>
      <c r="F56" s="2858"/>
      <c r="G56" s="2839" t="s">
        <v>3830</v>
      </c>
      <c r="H56" s="2839"/>
    </row>
    <row r="57" spans="1:16">
      <c r="A57" s="4292" t="s">
        <v>3823</v>
      </c>
      <c r="B57" s="2852">
        <f>B51</f>
        <v>9993</v>
      </c>
      <c r="C57" s="2852">
        <f>E57/B57</f>
        <v>2704.7433203242272</v>
      </c>
      <c r="D57" s="4295"/>
      <c r="E57" s="2864">
        <f>E58+E59</f>
        <v>27028500</v>
      </c>
      <c r="F57" s="2858">
        <f>E57/$E$62</f>
        <v>0.33242650393881035</v>
      </c>
      <c r="G57" s="2839"/>
      <c r="H57" s="2839"/>
      <c r="I57" s="4705" t="s">
        <v>3366</v>
      </c>
      <c r="J57" s="4705"/>
      <c r="K57" s="4705"/>
      <c r="L57" s="4705"/>
      <c r="M57" s="4705"/>
      <c r="N57" s="4470"/>
    </row>
    <row r="58" spans="1:16">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c r="A61" s="2849" t="s">
        <v>3355</v>
      </c>
      <c r="B61" s="4297">
        <f>B51</f>
        <v>9993</v>
      </c>
      <c r="C61" s="2852">
        <f>E61/B61</f>
        <v>159.53656559591715</v>
      </c>
      <c r="D61" s="2843">
        <v>0.02</v>
      </c>
      <c r="E61" s="2864">
        <f>(E51+E54+E57+E60)*D61</f>
        <v>1594248.9000000001</v>
      </c>
      <c r="F61" s="2858">
        <f>E61/$E$62</f>
        <v>1.9607843137254902E-2</v>
      </c>
      <c r="G61" s="2839" t="s">
        <v>3831</v>
      </c>
    </row>
    <row r="62" spans="1:16" ht="1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37" sqref="H37"/>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2071</v>
      </c>
      <c r="B1" s="4709" t="str">
        <f>IF(B10="北京市","北京市",C10)&amp;F10&amp;IF(结果表!G1="在建","出让国有建设用地使用权及在建建筑物",IF(结果表!G1="土地","出让国有建设用地使用权",))&amp;B9&amp;"预评估"</f>
        <v>北京市房地产市场价值预评估</v>
      </c>
      <c r="C1" s="4710"/>
      <c r="D1" s="4710"/>
      <c r="E1" s="4710"/>
      <c r="F1" s="4710"/>
      <c r="G1" s="4710"/>
      <c r="H1" s="4710"/>
      <c r="I1" s="4711"/>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北京市房地产市场价值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v>46063</v>
      </c>
      <c r="C3" s="1866" t="s">
        <v>2074</v>
      </c>
      <c r="D3" s="1865">
        <f>B3</f>
        <v>46063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2075</v>
      </c>
      <c r="B4" s="1867" t="s">
        <v>3998</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陈颖（注册号：0)、（注册号：0)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4001</v>
      </c>
      <c r="C8" s="1882"/>
      <c r="D8" s="4712" t="s">
        <v>2080</v>
      </c>
      <c r="E8" s="1883"/>
      <c r="F8" s="1884"/>
      <c r="G8" s="2096"/>
      <c r="H8" s="2096"/>
      <c r="I8" s="2096"/>
      <c r="J8" s="1926"/>
      <c r="K8" s="2049"/>
      <c r="L8" s="2048"/>
      <c r="M8" s="2048"/>
      <c r="N8" s="1926"/>
      <c r="O8" s="1937"/>
      <c r="P8" s="1926"/>
      <c r="Q8" s="1926"/>
      <c r="R8" s="1926"/>
    </row>
    <row r="9" spans="1:30" ht="13.8" thickBot="1">
      <c r="A9" s="1885" t="s">
        <v>2081</v>
      </c>
      <c r="B9" s="1886" t="s">
        <v>4002</v>
      </c>
      <c r="C9" s="1887"/>
      <c r="D9" s="4713"/>
      <c r="E9" s="1886"/>
      <c r="F9" s="1888"/>
      <c r="G9" s="2098"/>
      <c r="H9" s="2098"/>
      <c r="I9" s="2098"/>
      <c r="J9" s="1926"/>
      <c r="K9" s="2051"/>
      <c r="L9" s="2048"/>
      <c r="M9" s="2048"/>
      <c r="N9" s="1926"/>
      <c r="O9" s="1937"/>
      <c r="P9" s="1926"/>
      <c r="Q9" s="1926"/>
      <c r="R9" s="1926"/>
    </row>
    <row r="10" spans="1:30" ht="13.8" thickTop="1">
      <c r="A10" s="1889" t="s">
        <v>2082</v>
      </c>
      <c r="B10" s="3674" t="s">
        <v>3999</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4000</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59703</v>
      </c>
      <c r="D13" s="579"/>
      <c r="E13" s="579"/>
      <c r="F13" s="579"/>
      <c r="G13" s="579"/>
      <c r="H13" s="579"/>
      <c r="I13" s="579"/>
      <c r="J13" s="2415"/>
      <c r="K13" s="2048"/>
      <c r="L13" s="2048"/>
      <c r="M13" s="1926"/>
      <c r="N13" s="1937"/>
      <c r="O13" s="1926"/>
      <c r="P13" s="1926"/>
      <c r="Q13" s="1926"/>
      <c r="AD13" s="1334"/>
    </row>
    <row r="14" spans="1:30">
      <c r="A14" s="756"/>
      <c r="B14" s="1897" t="s">
        <v>2094</v>
      </c>
      <c r="C14" s="1898">
        <v>70</v>
      </c>
      <c r="D14" s="1898"/>
      <c r="E14" s="1898"/>
      <c r="F14" s="1898"/>
      <c r="G14" s="1898"/>
      <c r="H14" s="1898"/>
      <c r="I14" s="1898"/>
      <c r="J14" s="2416"/>
      <c r="K14" s="2048"/>
      <c r="L14" s="2048"/>
      <c r="M14" s="1926"/>
      <c r="N14" s="1937"/>
      <c r="O14" s="1926"/>
      <c r="P14" s="1926"/>
      <c r="Q14" s="1926"/>
      <c r="AD14" s="1334"/>
    </row>
    <row r="15" spans="1:30">
      <c r="A15" s="207"/>
      <c r="B15" s="1899" t="s">
        <v>2095</v>
      </c>
      <c r="C15" s="3904">
        <f>IF(A13="出让",IF(C13="","",ROUNDDOWN(MIN((C13-$D$3)/365,C14),2)),C14)</f>
        <v>37.36</v>
      </c>
      <c r="D15" s="3904" t="str">
        <f>IF(A13="出让",IF(D13="","",ROUNDDOWN(MIN((D13-$D$3)/365,D14),2)),D14)</f>
        <v/>
      </c>
      <c r="E15" s="3904" t="str">
        <f>IF(A13="出让",IF(E13="","",ROUNDDOWN(MIN((E13-$D$3)/365,E14),2)),E14)</f>
        <v/>
      </c>
      <c r="F15" s="3904" t="str">
        <f>IF(A13="出让",IF(F13="","",ROUNDDOWN(MIN((F13-$D$3)/365,F14),2)),F14)</f>
        <v/>
      </c>
      <c r="G15" s="3904" t="str">
        <f>IF(A13="出让",IF(G13="","",ROUNDDOWN(MIN((G13-$D$3)/365,G14),2)),G14)</f>
        <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719"/>
      <c r="C16" s="4720"/>
      <c r="D16" s="4721"/>
      <c r="E16" s="1902" t="s">
        <v>2097</v>
      </c>
      <c r="F16" s="4722"/>
      <c r="G16" s="4723"/>
      <c r="H16" s="4723"/>
      <c r="I16" s="4724"/>
      <c r="J16" s="1926"/>
      <c r="K16" s="2052"/>
      <c r="L16" s="1938"/>
      <c r="M16" s="1938"/>
      <c r="N16" s="1996"/>
      <c r="O16" s="1938"/>
      <c r="P16" s="1996"/>
      <c r="Q16" s="1926"/>
      <c r="R16" s="1926"/>
    </row>
    <row r="17" spans="1:28">
      <c r="A17" s="201" t="s">
        <v>2098</v>
      </c>
      <c r="B17" s="190" t="s">
        <v>2099</v>
      </c>
      <c r="C17" s="9">
        <f>'数据-汇总表'!E3</f>
        <v>262.77</v>
      </c>
      <c r="D17" s="1818" t="s">
        <v>2100</v>
      </c>
      <c r="E17" s="4725" t="s">
        <v>2101</v>
      </c>
      <c r="F17" s="4726"/>
      <c r="G17" s="4726"/>
      <c r="H17" s="4726"/>
      <c r="I17" s="4727"/>
      <c r="J17" s="1926"/>
      <c r="K17" s="2053"/>
      <c r="L17" s="1938"/>
      <c r="M17" s="1938"/>
      <c r="N17" s="1996"/>
      <c r="O17" s="1938"/>
      <c r="P17" s="1996"/>
      <c r="Q17" s="1926"/>
      <c r="R17" s="1926"/>
      <c r="S17" s="1926"/>
      <c r="T17" s="1926"/>
      <c r="U17" s="1926"/>
      <c r="V17" s="1926"/>
    </row>
    <row r="18" spans="1:28" ht="24.6" thickBot="1">
      <c r="A18" s="1903" t="s">
        <v>2102</v>
      </c>
      <c r="B18" s="765" t="s">
        <v>2103</v>
      </c>
      <c r="C18" s="2833">
        <f>'数据-汇总表'!D3</f>
        <v>623.5</v>
      </c>
      <c r="D18" s="767" t="s">
        <v>2104</v>
      </c>
      <c r="E18" s="4728" t="s">
        <v>2105</v>
      </c>
      <c r="F18" s="4729"/>
      <c r="G18" s="4729"/>
      <c r="H18" s="4729"/>
      <c r="I18" s="4730"/>
      <c r="J18" s="1926"/>
      <c r="K18" s="2053"/>
      <c r="L18" s="1938"/>
      <c r="M18" s="1938"/>
      <c r="N18" s="1996"/>
      <c r="O18" s="1938"/>
      <c r="P18" s="1996"/>
      <c r="Q18" s="1926"/>
      <c r="R18" s="1926"/>
      <c r="S18" s="1926"/>
      <c r="T18" s="1926"/>
      <c r="U18" s="1926"/>
      <c r="V18" s="1926"/>
    </row>
    <row r="19" spans="1:28" ht="37.200000000000003" thickTop="1" thickBot="1">
      <c r="A19" s="214" t="s">
        <v>1038</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715" t="s">
        <v>2109</v>
      </c>
      <c r="C20" s="4716"/>
      <c r="D20" s="4717" t="s">
        <v>2110</v>
      </c>
      <c r="E20" s="4718"/>
      <c r="F20" s="2082" t="s">
        <v>1039</v>
      </c>
      <c r="G20" s="2097"/>
      <c r="H20" s="2097"/>
      <c r="I20" s="2097"/>
      <c r="J20" s="1926"/>
      <c r="K20" s="4714"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2112</v>
      </c>
      <c r="C21" s="2069" t="s">
        <v>1040</v>
      </c>
      <c r="D21" s="1173" t="s">
        <v>2113</v>
      </c>
      <c r="E21" s="2070" t="s">
        <v>1040</v>
      </c>
      <c r="F21" s="2083"/>
      <c r="G21" s="2097"/>
      <c r="H21" s="2097"/>
      <c r="I21" s="2097"/>
      <c r="J21" s="1926"/>
      <c r="K21" s="4714"/>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2114</v>
      </c>
      <c r="C22" s="2069" t="s">
        <v>1041</v>
      </c>
      <c r="D22" s="2096"/>
      <c r="E22" s="2096"/>
      <c r="F22" s="2096"/>
      <c r="G22" s="2097"/>
      <c r="H22" s="2097"/>
      <c r="I22" s="2097"/>
      <c r="J22" s="1926"/>
      <c r="K22" s="4714"/>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1042</v>
      </c>
      <c r="C24" s="2076"/>
      <c r="D24" s="2072" t="s">
        <v>1042</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1043</v>
      </c>
      <c r="C25" s="2076"/>
      <c r="D25" s="2072" t="s">
        <v>1043</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1044</v>
      </c>
      <c r="C26" s="2080"/>
      <c r="D26" s="2078" t="s">
        <v>1044</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732"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732"/>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732"/>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733"/>
      <c r="B30" s="190" t="s">
        <v>2121</v>
      </c>
      <c r="C30" s="4734"/>
      <c r="D30" s="4735"/>
      <c r="E30" s="2097"/>
      <c r="F30" s="2097"/>
      <c r="G30" s="2097"/>
      <c r="H30" s="2097"/>
      <c r="I30" s="2097"/>
      <c r="J30" s="1926"/>
      <c r="K30" s="2051"/>
      <c r="L30" s="2048"/>
      <c r="M30" s="2048"/>
      <c r="N30" s="1926"/>
      <c r="O30" s="1937"/>
      <c r="P30" s="1926"/>
      <c r="Q30" s="1926"/>
      <c r="R30" s="1926"/>
      <c r="S30" s="1926"/>
      <c r="T30" s="1926"/>
      <c r="U30" s="1926"/>
      <c r="V30" s="1926"/>
    </row>
    <row r="31" spans="1:28">
      <c r="A31" s="4736"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37"/>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37"/>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731" t="s">
        <v>2131</v>
      </c>
      <c r="T34" s="1915" t="str">
        <f>NUMBERSTRING(7-K34,1)&amp;"通"</f>
        <v>七通</v>
      </c>
      <c r="U34" s="1926"/>
      <c r="V34" s="1926"/>
    </row>
    <row r="35" spans="1:30">
      <c r="A35" s="1916"/>
      <c r="B35" s="4731" t="s">
        <v>2132</v>
      </c>
      <c r="C35" s="4731"/>
      <c r="D35" s="4731"/>
      <c r="E35" s="4731"/>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31"/>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2134</v>
      </c>
      <c r="B38" s="1919"/>
      <c r="C38" s="1919"/>
      <c r="D38" s="1919" t="s">
        <v>4006</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1045</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1046</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1047</v>
      </c>
      <c r="B2" s="6" t="s">
        <v>1048</v>
      </c>
      <c r="C2" s="6" t="s">
        <v>1049</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1050</v>
      </c>
      <c r="AZ2" s="730" t="s">
        <v>1051</v>
      </c>
      <c r="BA2" s="6" t="s">
        <v>1052</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101">
        <v>623.5</v>
      </c>
      <c r="B3" s="1677">
        <f>IF(C3="否",G5-AT5,G5)</f>
        <v>262.77</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3.2">
      <c r="A5" s="4108" t="s">
        <v>1053</v>
      </c>
      <c r="B5" s="4109"/>
      <c r="C5" s="4109"/>
      <c r="D5" s="4110"/>
      <c r="E5" s="3904" t="s">
        <v>0</v>
      </c>
      <c r="F5" s="3904">
        <f>SUM(F13:F587)</f>
        <v>0</v>
      </c>
      <c r="G5" s="3904">
        <f>SUM(G13:G587)</f>
        <v>262.77</v>
      </c>
      <c r="H5" s="3904">
        <f t="shared" ref="H5:AT5" si="0">SUM(H13:H656)</f>
        <v>262.77</v>
      </c>
      <c r="I5" s="3904">
        <f t="shared" si="0"/>
        <v>262.77</v>
      </c>
      <c r="J5" s="3904">
        <f t="shared" si="0"/>
        <v>0</v>
      </c>
      <c r="K5" s="3904">
        <f t="shared" si="0"/>
        <v>0</v>
      </c>
      <c r="L5" s="3904">
        <f t="shared" si="0"/>
        <v>0</v>
      </c>
      <c r="M5" s="3904">
        <f t="shared" si="0"/>
        <v>0</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0</v>
      </c>
      <c r="AD5" s="3904">
        <f t="shared" si="0"/>
        <v>0</v>
      </c>
      <c r="AE5" s="3904">
        <f t="shared" si="0"/>
        <v>0</v>
      </c>
      <c r="AF5" s="3904">
        <f t="shared" si="0"/>
        <v>0</v>
      </c>
      <c r="AG5" s="3904">
        <f t="shared" si="0"/>
        <v>0</v>
      </c>
      <c r="AH5" s="3904">
        <f t="shared" si="0"/>
        <v>0</v>
      </c>
      <c r="AI5" s="3904">
        <f t="shared" si="0"/>
        <v>0</v>
      </c>
      <c r="AJ5" s="3904">
        <f t="shared" si="0"/>
        <v>0</v>
      </c>
      <c r="AK5" s="3904">
        <f t="shared" si="0"/>
        <v>0</v>
      </c>
      <c r="AL5" s="3904">
        <f t="shared" si="0"/>
        <v>0</v>
      </c>
      <c r="AM5" s="3904">
        <f t="shared" si="0"/>
        <v>0</v>
      </c>
      <c r="AN5" s="3904">
        <f t="shared" si="0"/>
        <v>0</v>
      </c>
      <c r="AO5" s="3904">
        <f t="shared" si="0"/>
        <v>0</v>
      </c>
      <c r="AP5" s="3904">
        <f t="shared" si="0"/>
        <v>0</v>
      </c>
      <c r="AQ5" s="3904">
        <f t="shared" si="0"/>
        <v>0</v>
      </c>
      <c r="AR5" s="3904">
        <f t="shared" si="0"/>
        <v>0</v>
      </c>
      <c r="AS5" s="3904">
        <f t="shared" si="0"/>
        <v>0</v>
      </c>
      <c r="AT5" s="3904">
        <f t="shared" si="0"/>
        <v>0</v>
      </c>
      <c r="AU5" s="4111"/>
      <c r="AV5" s="4108" t="s">
        <v>1053</v>
      </c>
      <c r="AW5" s="4109"/>
      <c r="AX5" s="4109"/>
      <c r="AY5" s="471" t="s">
        <v>2</v>
      </c>
      <c r="AZ5" s="472">
        <f t="shared" ref="AZ5:BT5" si="1">SUM(AZ13:AZ656)</f>
        <v>262.77</v>
      </c>
      <c r="BA5" s="472">
        <f t="shared" si="1"/>
        <v>262.77</v>
      </c>
      <c r="BB5" s="472">
        <f t="shared" si="1"/>
        <v>262.77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2">
        <f t="shared" si="1"/>
        <v>0</v>
      </c>
    </row>
    <row r="6" spans="1:72" s="4113" customFormat="1" ht="13.2">
      <c r="A6" s="4108" t="s">
        <v>1054</v>
      </c>
      <c r="B6" s="4109"/>
      <c r="C6" s="4109"/>
      <c r="D6" s="4110"/>
      <c r="E6" s="3904">
        <f>H6+AC6+AT6</f>
        <v>623.5</v>
      </c>
      <c r="F6" s="3904" t="s">
        <v>0</v>
      </c>
      <c r="G6" s="3904" t="s">
        <v>1</v>
      </c>
      <c r="H6" s="4099">
        <f>SUMIF(I$12:AB$12,"总值",I6:AB6)</f>
        <v>623.5</v>
      </c>
      <c r="I6" s="3904">
        <f t="shared" ref="I6:AB6" si="2">ROUND($A$3*I5/$B$3,2)</f>
        <v>623.5</v>
      </c>
      <c r="J6" s="3904">
        <f t="shared" si="2"/>
        <v>0</v>
      </c>
      <c r="K6" s="3904">
        <f t="shared" si="2"/>
        <v>0</v>
      </c>
      <c r="L6" s="3904">
        <f t="shared" si="2"/>
        <v>0</v>
      </c>
      <c r="M6" s="3904">
        <f t="shared" si="2"/>
        <v>0</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0</v>
      </c>
      <c r="AD6" s="3904">
        <f t="shared" ref="AD6:AS6" si="3">ROUND($A$3*AD5/$B$3,2)</f>
        <v>0</v>
      </c>
      <c r="AE6" s="3904">
        <f t="shared" si="3"/>
        <v>0</v>
      </c>
      <c r="AF6" s="3904">
        <f t="shared" si="3"/>
        <v>0</v>
      </c>
      <c r="AG6" s="3904">
        <f t="shared" si="3"/>
        <v>0</v>
      </c>
      <c r="AH6" s="3904">
        <f t="shared" si="3"/>
        <v>0</v>
      </c>
      <c r="AI6" s="3904">
        <f t="shared" si="3"/>
        <v>0</v>
      </c>
      <c r="AJ6" s="3904">
        <f t="shared" si="3"/>
        <v>0</v>
      </c>
      <c r="AK6" s="3904">
        <f t="shared" si="3"/>
        <v>0</v>
      </c>
      <c r="AL6" s="3904">
        <f t="shared" si="3"/>
        <v>0</v>
      </c>
      <c r="AM6" s="3904">
        <f t="shared" si="3"/>
        <v>0</v>
      </c>
      <c r="AN6" s="3904">
        <f t="shared" si="3"/>
        <v>0</v>
      </c>
      <c r="AO6" s="3904">
        <f t="shared" si="3"/>
        <v>0</v>
      </c>
      <c r="AP6" s="3904">
        <f t="shared" si="3"/>
        <v>0</v>
      </c>
      <c r="AQ6" s="3904">
        <f t="shared" si="3"/>
        <v>0</v>
      </c>
      <c r="AR6" s="3904">
        <f t="shared" si="3"/>
        <v>0</v>
      </c>
      <c r="AS6" s="3904">
        <f t="shared" si="3"/>
        <v>0</v>
      </c>
      <c r="AT6" s="4099">
        <f>IF(C3="是",ROUND($A$3*AT5/$B$3,2),0)</f>
        <v>0</v>
      </c>
      <c r="AU6" s="4111"/>
      <c r="AV6" s="4108" t="s">
        <v>1054</v>
      </c>
      <c r="AW6" s="4109"/>
      <c r="AX6" s="4109"/>
      <c r="AY6" s="4114">
        <f>IF(AY3&gt;0,AY3,ROUND($A$3*AZ5/$B$3,2))</f>
        <v>623.5</v>
      </c>
      <c r="AZ6" s="3904" t="s">
        <v>2</v>
      </c>
      <c r="BA6" s="3904">
        <f>ROUND($AY$6*BA5/$AZ$5,2)</f>
        <v>623.5</v>
      </c>
      <c r="BB6" s="3904">
        <f>ROUND($AY$6*BB5/$AZ$5,2)</f>
        <v>623.5</v>
      </c>
      <c r="BC6" s="3904">
        <f t="shared" ref="BC6:BH6" si="4">ROUND($AY$6*BC5/$AZ$5,2)</f>
        <v>0</v>
      </c>
      <c r="BD6" s="3904">
        <f t="shared" si="4"/>
        <v>0</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0</v>
      </c>
      <c r="BM6" s="3904">
        <f t="shared" si="5"/>
        <v>0</v>
      </c>
      <c r="BN6" s="3904">
        <f t="shared" si="5"/>
        <v>0</v>
      </c>
      <c r="BO6" s="3904">
        <f t="shared" si="5"/>
        <v>0</v>
      </c>
      <c r="BP6" s="3904">
        <f t="shared" si="5"/>
        <v>0</v>
      </c>
      <c r="BQ6" s="3904">
        <f t="shared" si="5"/>
        <v>0</v>
      </c>
      <c r="BR6" s="3904">
        <f t="shared" si="5"/>
        <v>0</v>
      </c>
      <c r="BS6" s="3904">
        <f t="shared" si="5"/>
        <v>0</v>
      </c>
      <c r="BT6" s="4115">
        <f t="shared" si="5"/>
        <v>0</v>
      </c>
    </row>
    <row r="7" spans="1:72" s="1184" customFormat="1" ht="25.2">
      <c r="A7" s="1174" t="s">
        <v>1055</v>
      </c>
      <c r="B7" s="1174" t="s">
        <v>1056</v>
      </c>
      <c r="C7" s="1174" t="s">
        <v>1057</v>
      </c>
      <c r="D7" s="1174" t="s">
        <v>1058</v>
      </c>
      <c r="E7" s="1174" t="s">
        <v>1059</v>
      </c>
      <c r="F7" s="1174" t="s">
        <v>1060</v>
      </c>
      <c r="G7" s="1191" t="s">
        <v>1061</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1062</v>
      </c>
      <c r="AV7" s="11" t="s">
        <v>1063</v>
      </c>
      <c r="AW7" s="1183" t="s">
        <v>1064</v>
      </c>
      <c r="AX7" s="11" t="s">
        <v>1057</v>
      </c>
      <c r="AY7" s="956" t="s">
        <v>1065</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1066</v>
      </c>
      <c r="H8" s="1197" t="s">
        <v>1067</v>
      </c>
      <c r="I8" s="1198"/>
      <c r="J8" s="967"/>
      <c r="K8" s="967"/>
      <c r="L8" s="967"/>
      <c r="M8" s="967"/>
      <c r="N8" s="967"/>
      <c r="O8" s="967"/>
      <c r="P8" s="967"/>
      <c r="Q8" s="967"/>
      <c r="R8" s="967"/>
      <c r="S8" s="967"/>
      <c r="T8" s="967"/>
      <c r="U8" s="967"/>
      <c r="V8" s="1199"/>
      <c r="W8" s="967"/>
      <c r="X8" s="967"/>
      <c r="Y8" s="967"/>
      <c r="Z8" s="967"/>
      <c r="AA8" s="1199"/>
      <c r="AB8" s="1200"/>
      <c r="AC8" s="557" t="s">
        <v>1068</v>
      </c>
      <c r="AD8" s="1201"/>
      <c r="AE8" s="1193"/>
      <c r="AF8" s="967"/>
      <c r="AG8" s="967"/>
      <c r="AH8" s="967"/>
      <c r="AI8" s="967"/>
      <c r="AJ8" s="967"/>
      <c r="AK8" s="967"/>
      <c r="AL8" s="967"/>
      <c r="AM8" s="967"/>
      <c r="AN8" s="967"/>
      <c r="AO8" s="967"/>
      <c r="AP8" s="967"/>
      <c r="AQ8" s="967"/>
      <c r="AR8" s="967"/>
      <c r="AS8" s="967"/>
      <c r="AT8" s="746" t="s">
        <v>1069</v>
      </c>
      <c r="AU8" s="1195" t="s">
        <v>1070</v>
      </c>
      <c r="AV8" s="746"/>
      <c r="AW8" s="1182"/>
      <c r="AX8" s="746"/>
      <c r="AY8" s="1183" t="s">
        <v>1071</v>
      </c>
      <c r="AZ8" s="966" t="s">
        <v>1072</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1073</v>
      </c>
      <c r="I9" s="1204" t="s">
        <v>4003</v>
      </c>
      <c r="J9" s="557"/>
      <c r="K9" s="1204"/>
      <c r="L9" s="557"/>
      <c r="M9" s="1204"/>
      <c r="N9" s="557"/>
      <c r="O9" s="1204"/>
      <c r="P9" s="557"/>
      <c r="Q9" s="1204"/>
      <c r="R9" s="557"/>
      <c r="S9" s="1204"/>
      <c r="T9" s="557"/>
      <c r="U9" s="1204"/>
      <c r="V9" s="557"/>
      <c r="W9" s="1204"/>
      <c r="X9" s="1205"/>
      <c r="Y9" s="1204"/>
      <c r="Z9" s="557"/>
      <c r="AA9" s="1204"/>
      <c r="AB9" s="557"/>
      <c r="AC9" s="1196" t="s">
        <v>1073</v>
      </c>
      <c r="AD9" s="8" t="s">
        <v>1074</v>
      </c>
      <c r="AE9" s="752"/>
      <c r="AF9" s="8" t="s">
        <v>1075</v>
      </c>
      <c r="AG9" s="752"/>
      <c r="AH9" s="8" t="s">
        <v>1074</v>
      </c>
      <c r="AI9" s="752"/>
      <c r="AJ9" s="8" t="s">
        <v>1075</v>
      </c>
      <c r="AK9" s="752"/>
      <c r="AL9" s="8" t="s">
        <v>1074</v>
      </c>
      <c r="AM9" s="752"/>
      <c r="AN9" s="8" t="s">
        <v>1075</v>
      </c>
      <c r="AO9" s="752"/>
      <c r="AP9" s="8" t="s">
        <v>1074</v>
      </c>
      <c r="AQ9" s="752"/>
      <c r="AR9" s="8" t="s">
        <v>1075</v>
      </c>
      <c r="AS9" s="1206"/>
      <c r="AT9" s="1195"/>
      <c r="AU9" s="1195" t="s">
        <v>1076</v>
      </c>
      <c r="AV9" s="746"/>
      <c r="AW9" s="1182"/>
      <c r="AX9" s="746"/>
      <c r="AY9" s="16"/>
      <c r="AZ9" s="16" t="s">
        <v>1066</v>
      </c>
      <c r="BA9" s="1207" t="s">
        <v>1077</v>
      </c>
      <c r="BB9" s="1208"/>
      <c r="BC9" s="763"/>
      <c r="BD9" s="763"/>
      <c r="BE9" s="763"/>
      <c r="BF9" s="763"/>
      <c r="BG9" s="763"/>
      <c r="BH9" s="763"/>
      <c r="BI9" s="763"/>
      <c r="BJ9" s="763"/>
      <c r="BK9" s="1209"/>
      <c r="BL9" s="8" t="s">
        <v>1078</v>
      </c>
      <c r="BM9" s="967"/>
      <c r="BN9" s="1198"/>
      <c r="BO9" s="967"/>
      <c r="BP9" s="967"/>
      <c r="BQ9" s="967"/>
      <c r="BR9" s="967"/>
      <c r="BS9" s="967"/>
      <c r="BT9" s="14"/>
    </row>
    <row r="10" spans="1:72" s="1202" customFormat="1" ht="13.2">
      <c r="A10" s="1195"/>
      <c r="B10" s="1195"/>
      <c r="C10" s="1195"/>
      <c r="D10" s="1195"/>
      <c r="E10" s="1195"/>
      <c r="F10" s="1195"/>
      <c r="G10" s="746"/>
      <c r="H10" s="16"/>
      <c r="I10" s="1204" t="s">
        <v>3271</v>
      </c>
      <c r="J10" s="557"/>
      <c r="K10" s="1210"/>
      <c r="L10" s="557"/>
      <c r="M10" s="1210"/>
      <c r="N10" s="557"/>
      <c r="O10" s="1210"/>
      <c r="P10" s="557"/>
      <c r="Q10" s="1210"/>
      <c r="R10" s="557"/>
      <c r="S10" s="1210"/>
      <c r="T10" s="557"/>
      <c r="U10" s="1210"/>
      <c r="V10" s="557"/>
      <c r="W10" s="1210"/>
      <c r="X10" s="557"/>
      <c r="Y10" s="1210"/>
      <c r="Z10" s="557"/>
      <c r="AA10" s="1210"/>
      <c r="AB10" s="557"/>
      <c r="AC10" s="746"/>
      <c r="AD10" s="8" t="s">
        <v>1079</v>
      </c>
      <c r="AE10" s="1211"/>
      <c r="AF10" s="8" t="s">
        <v>1079</v>
      </c>
      <c r="AG10" s="1211"/>
      <c r="AH10" s="8" t="s">
        <v>1080</v>
      </c>
      <c r="AI10" s="1211"/>
      <c r="AJ10" s="8" t="s">
        <v>1080</v>
      </c>
      <c r="AK10" s="1211"/>
      <c r="AL10" s="8" t="s">
        <v>1081</v>
      </c>
      <c r="AM10" s="752"/>
      <c r="AN10" s="8" t="s">
        <v>1081</v>
      </c>
      <c r="AO10" s="752"/>
      <c r="AP10" s="8" t="s">
        <v>1082</v>
      </c>
      <c r="AQ10" s="752"/>
      <c r="AR10" s="8" t="s">
        <v>1082</v>
      </c>
      <c r="AS10" s="752"/>
      <c r="AT10" s="1195"/>
      <c r="AU10" s="1195"/>
      <c r="AV10" s="746"/>
      <c r="AW10" s="1182"/>
      <c r="AX10" s="746"/>
      <c r="AY10" s="16"/>
      <c r="AZ10" s="16"/>
      <c r="BA10" s="1212" t="s">
        <v>1073</v>
      </c>
      <c r="BB10" s="1213" t="str">
        <f>I9</f>
        <v>地上</v>
      </c>
      <c r="BC10" s="17">
        <f>K9</f>
        <v>0</v>
      </c>
      <c r="BD10" s="17">
        <f>M9</f>
        <v>0</v>
      </c>
      <c r="BE10" s="17">
        <f>O9</f>
        <v>0</v>
      </c>
      <c r="BF10" s="17">
        <f>Q9</f>
        <v>0</v>
      </c>
      <c r="BG10" s="17">
        <f>S9</f>
        <v>0</v>
      </c>
      <c r="BH10" s="17">
        <f>U9</f>
        <v>0</v>
      </c>
      <c r="BI10" s="17">
        <f>W9</f>
        <v>0</v>
      </c>
      <c r="BJ10" s="17">
        <f>Y9</f>
        <v>0</v>
      </c>
      <c r="BK10" s="17">
        <f>AA9</f>
        <v>0</v>
      </c>
      <c r="BL10" s="13" t="s">
        <v>1073</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1083</v>
      </c>
      <c r="AE11" s="968"/>
      <c r="AF11" s="1217" t="s">
        <v>1083</v>
      </c>
      <c r="AG11" s="968"/>
      <c r="AH11" s="1217" t="s">
        <v>1084</v>
      </c>
      <c r="AI11" s="1218"/>
      <c r="AJ11" s="1217" t="s">
        <v>1084</v>
      </c>
      <c r="AK11" s="968"/>
      <c r="AL11" s="966"/>
      <c r="AM11" s="968"/>
      <c r="AN11" s="966"/>
      <c r="AO11" s="968"/>
      <c r="AP11" s="966"/>
      <c r="AQ11" s="968"/>
      <c r="AR11" s="966"/>
      <c r="AS11" s="968"/>
      <c r="AT11" s="1182"/>
      <c r="AU11" s="1195"/>
      <c r="AV11" s="746"/>
      <c r="AW11" s="1182"/>
      <c r="AX11" s="746"/>
      <c r="AY11" s="16"/>
      <c r="AZ11" s="16"/>
      <c r="BA11" s="16"/>
      <c r="BB11" s="1200" t="str">
        <f>I10</f>
        <v>住宅</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1085</v>
      </c>
      <c r="J12" s="6" t="s">
        <v>1086</v>
      </c>
      <c r="K12" s="6" t="s">
        <v>1085</v>
      </c>
      <c r="L12" s="6" t="s">
        <v>1086</v>
      </c>
      <c r="M12" s="6" t="s">
        <v>1085</v>
      </c>
      <c r="N12" s="6" t="s">
        <v>1086</v>
      </c>
      <c r="O12" s="6" t="s">
        <v>1085</v>
      </c>
      <c r="P12" s="6" t="s">
        <v>1086</v>
      </c>
      <c r="Q12" s="6" t="s">
        <v>1085</v>
      </c>
      <c r="R12" s="6" t="s">
        <v>1086</v>
      </c>
      <c r="S12" s="6" t="s">
        <v>1085</v>
      </c>
      <c r="T12" s="6" t="s">
        <v>1086</v>
      </c>
      <c r="U12" s="6" t="s">
        <v>1085</v>
      </c>
      <c r="V12" s="955" t="s">
        <v>1086</v>
      </c>
      <c r="W12" s="6" t="s">
        <v>1085</v>
      </c>
      <c r="X12" s="6" t="s">
        <v>1086</v>
      </c>
      <c r="Y12" s="6" t="s">
        <v>1085</v>
      </c>
      <c r="Z12" s="6" t="s">
        <v>1086</v>
      </c>
      <c r="AA12" s="6" t="s">
        <v>1085</v>
      </c>
      <c r="AB12" s="6" t="s">
        <v>1086</v>
      </c>
      <c r="AC12" s="1222"/>
      <c r="AD12" s="957" t="s">
        <v>1085</v>
      </c>
      <c r="AE12" s="6" t="s">
        <v>1086</v>
      </c>
      <c r="AF12" s="6" t="s">
        <v>1085</v>
      </c>
      <c r="AG12" s="6" t="s">
        <v>1086</v>
      </c>
      <c r="AH12" s="6" t="s">
        <v>1085</v>
      </c>
      <c r="AI12" s="6" t="s">
        <v>1086</v>
      </c>
      <c r="AJ12" s="6" t="s">
        <v>1085</v>
      </c>
      <c r="AK12" s="6" t="s">
        <v>1086</v>
      </c>
      <c r="AL12" s="6" t="s">
        <v>1085</v>
      </c>
      <c r="AM12" s="6" t="s">
        <v>1086</v>
      </c>
      <c r="AN12" s="6" t="s">
        <v>1085</v>
      </c>
      <c r="AO12" s="6" t="s">
        <v>1086</v>
      </c>
      <c r="AP12" s="6" t="s">
        <v>1085</v>
      </c>
      <c r="AQ12" s="6" t="s">
        <v>1086</v>
      </c>
      <c r="AR12" s="18" t="s">
        <v>1085</v>
      </c>
      <c r="AS12" s="1220" t="s">
        <v>1086</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4004</v>
      </c>
      <c r="E13" s="3904">
        <f>IF($C$3="是",ROUND($A$3*G13/$B$3,2),ROUND($A$3*(G13-AT13)/$B$3,2))</f>
        <v>623.5</v>
      </c>
      <c r="F13" s="612"/>
      <c r="G13" s="4098">
        <f>H13+AC13+AT13</f>
        <v>262.77</v>
      </c>
      <c r="H13" s="4099">
        <f>SUMIF(I$12:AB$12,"总值",I13:AB13)</f>
        <v>262.77</v>
      </c>
      <c r="I13" s="4100">
        <v>262.77</v>
      </c>
      <c r="J13" s="4100"/>
      <c r="K13" s="4100"/>
      <c r="L13" s="4100"/>
      <c r="M13" s="4100"/>
      <c r="N13" s="4100"/>
      <c r="O13" s="4100"/>
      <c r="P13" s="4100"/>
      <c r="Q13" s="4100"/>
      <c r="R13" s="4100"/>
      <c r="S13" s="4100"/>
      <c r="T13" s="4100"/>
      <c r="U13" s="4100"/>
      <c r="V13" s="4100"/>
      <c r="W13" s="4100"/>
      <c r="X13" s="4100"/>
      <c r="Y13" s="4100"/>
      <c r="Z13" s="4100"/>
      <c r="AA13" s="4100"/>
      <c r="AB13" s="4100"/>
      <c r="AC13" s="3904">
        <f>SUMIF(AD$12:AS$12,"总值",AD13:AS13)</f>
        <v>0</v>
      </c>
      <c r="AD13" s="4101"/>
      <c r="AE13" s="4101"/>
      <c r="AF13" s="4101"/>
      <c r="AG13" s="4101"/>
      <c r="AH13" s="4101"/>
      <c r="AI13" s="4101"/>
      <c r="AJ13" s="4101"/>
      <c r="AK13" s="4101"/>
      <c r="AL13" s="4101"/>
      <c r="AM13" s="4101"/>
      <c r="AN13" s="4101"/>
      <c r="AO13" s="4101"/>
      <c r="AP13" s="4101"/>
      <c r="AQ13" s="4101"/>
      <c r="AR13" s="4101"/>
      <c r="AS13" s="4101"/>
      <c r="AT13" s="4102"/>
      <c r="AU13" s="1227"/>
      <c r="AV13" s="6">
        <f t="shared" ref="AV13:AX17" si="6">A13</f>
        <v>0</v>
      </c>
      <c r="AW13" s="6">
        <f t="shared" si="6"/>
        <v>0</v>
      </c>
      <c r="AX13" s="6">
        <f t="shared" si="6"/>
        <v>0</v>
      </c>
      <c r="AY13" s="957">
        <f>ROUND($AY$6*AZ13/$AZ$5,2)</f>
        <v>623.5</v>
      </c>
      <c r="AZ13" s="9">
        <f>BA13+BL13</f>
        <v>262.77</v>
      </c>
      <c r="BA13" s="9">
        <f>SUM(BB13:BK13)</f>
        <v>262.77</v>
      </c>
      <c r="BB13" s="9">
        <f>IF($D13="是",I13-J13,0)</f>
        <v>262.77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904">
        <f>IF($C$3="是",ROUND($A$3*G14/$B$3,2),ROUND($A$3*(G14-AT14)/$B$3,2))</f>
        <v>0</v>
      </c>
      <c r="F14" s="612"/>
      <c r="G14" s="4098">
        <f>H14+AC14+AT14</f>
        <v>0</v>
      </c>
      <c r="H14" s="409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3904">
        <f>SUMIF(AD$12:AS$12,"总值",AD14:AS14)</f>
        <v>0</v>
      </c>
      <c r="AD14" s="4101"/>
      <c r="AE14" s="4101"/>
      <c r="AF14" s="4101"/>
      <c r="AG14" s="4101"/>
      <c r="AH14" s="4101"/>
      <c r="AI14" s="4101"/>
      <c r="AJ14" s="4101"/>
      <c r="AK14" s="4101"/>
      <c r="AL14" s="4101"/>
      <c r="AM14" s="4101"/>
      <c r="AN14" s="4101"/>
      <c r="AO14" s="4101"/>
      <c r="AP14" s="4101"/>
      <c r="AQ14" s="4101"/>
      <c r="AR14" s="4101"/>
      <c r="AS14" s="4101"/>
      <c r="AT14" s="4102"/>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904">
        <f>IF($C$3="是",ROUND($A$3*G15/$B$3,2),ROUND($A$3*(G15-AT15)/$B$3,2))</f>
        <v>0</v>
      </c>
      <c r="F15" s="612"/>
      <c r="G15" s="4098">
        <f>H15+AC15+AT15</f>
        <v>0</v>
      </c>
      <c r="H15" s="409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3904">
        <f>SUMIF(AD$12:AS$12,"总值",AD15:AS15)</f>
        <v>0</v>
      </c>
      <c r="AD15" s="4101"/>
      <c r="AE15" s="4101"/>
      <c r="AF15" s="4101"/>
      <c r="AG15" s="4101"/>
      <c r="AH15" s="4101"/>
      <c r="AI15" s="4101"/>
      <c r="AJ15" s="4101"/>
      <c r="AK15" s="4101"/>
      <c r="AL15" s="4101"/>
      <c r="AM15" s="4101"/>
      <c r="AN15" s="4101"/>
      <c r="AO15" s="4101"/>
      <c r="AP15" s="4101"/>
      <c r="AQ15" s="4101"/>
      <c r="AR15" s="4101"/>
      <c r="AS15" s="4101"/>
      <c r="AT15" s="4102"/>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904">
        <f>IF($C$3="是",ROUND($A$3*G16/$B$3,2),ROUND($A$3*(G16-AT16)/$B$3,2))</f>
        <v>0</v>
      </c>
      <c r="F16" s="612"/>
      <c r="G16" s="4098">
        <f>H16+AC16+AT16</f>
        <v>0</v>
      </c>
      <c r="H16" s="409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3904">
        <f>SUMIF(AD$12:AS$12,"总值",AD16:AS16)</f>
        <v>0</v>
      </c>
      <c r="AD16" s="4101"/>
      <c r="AE16" s="4101"/>
      <c r="AF16" s="4101"/>
      <c r="AG16" s="4101"/>
      <c r="AH16" s="4101"/>
      <c r="AI16" s="4101"/>
      <c r="AJ16" s="4101"/>
      <c r="AK16" s="4101"/>
      <c r="AL16" s="4101"/>
      <c r="AM16" s="4101"/>
      <c r="AN16" s="4101"/>
      <c r="AO16" s="4101"/>
      <c r="AP16" s="4101"/>
      <c r="AQ16" s="4101"/>
      <c r="AR16" s="4101"/>
      <c r="AS16" s="4101"/>
      <c r="AT16" s="4102"/>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904">
        <f>IF($C$3="是",ROUND($A$3*G17/$B$3,2),ROUND($A$3*(G17-AT17)/$B$3,2))</f>
        <v>0</v>
      </c>
      <c r="F17" s="612"/>
      <c r="G17" s="4098">
        <f>H17+AC17+AT17</f>
        <v>0</v>
      </c>
      <c r="H17" s="409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3904">
        <f>SUMIF(AD$12:AS$12,"总值",AD17:AS17)</f>
        <v>0</v>
      </c>
      <c r="AD17" s="4101"/>
      <c r="AE17" s="4101"/>
      <c r="AF17" s="4101"/>
      <c r="AG17" s="4101"/>
      <c r="AH17" s="4101"/>
      <c r="AI17" s="4101"/>
      <c r="AJ17" s="4101"/>
      <c r="AK17" s="4101"/>
      <c r="AL17" s="4101"/>
      <c r="AM17" s="4101"/>
      <c r="AN17" s="4101"/>
      <c r="AO17" s="4101"/>
      <c r="AP17" s="4101"/>
      <c r="AQ17" s="4101"/>
      <c r="AR17" s="4101"/>
      <c r="AS17" s="4101"/>
      <c r="AT17" s="4102"/>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3">
        <f t="shared" ref="G18:G109" si="8">H18+AC18+AT18</f>
        <v>0</v>
      </c>
      <c r="H18" s="4104">
        <f t="shared" ref="H18:H109" si="9">SUMIF(I$12:AB$12,"总值",I18:AB18)</f>
        <v>0</v>
      </c>
      <c r="I18" s="4105"/>
      <c r="J18" s="4105"/>
      <c r="K18" s="4105"/>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0</v>
      </c>
      <c r="AD18" s="4106"/>
      <c r="AE18" s="4106"/>
      <c r="AF18" s="4106"/>
      <c r="AG18" s="4106"/>
      <c r="AH18" s="4106"/>
      <c r="AI18" s="4106"/>
      <c r="AJ18" s="4106"/>
      <c r="AK18" s="4106"/>
      <c r="AL18" s="4106"/>
      <c r="AM18" s="4106"/>
      <c r="AN18" s="4106"/>
      <c r="AO18" s="4106"/>
      <c r="AP18" s="4106"/>
      <c r="AQ18" s="4106"/>
      <c r="AR18" s="4106"/>
      <c r="AS18" s="4106"/>
      <c r="AT18" s="4107"/>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3">
        <f t="shared" si="8"/>
        <v>0</v>
      </c>
      <c r="H19" s="4104">
        <f t="shared" si="9"/>
        <v>0</v>
      </c>
      <c r="I19" s="4105"/>
      <c r="J19" s="4105"/>
      <c r="K19" s="4105"/>
      <c r="L19" s="4105"/>
      <c r="M19" s="4105"/>
      <c r="N19" s="4105"/>
      <c r="O19" s="4105"/>
      <c r="P19" s="4105"/>
      <c r="Q19" s="4105"/>
      <c r="R19" s="4105"/>
      <c r="S19" s="4105"/>
      <c r="T19" s="4105"/>
      <c r="U19" s="4105"/>
      <c r="V19" s="4105"/>
      <c r="W19" s="4105"/>
      <c r="X19" s="4105"/>
      <c r="Y19" s="4105"/>
      <c r="Z19" s="4105"/>
      <c r="AA19" s="4105"/>
      <c r="AB19" s="4105"/>
      <c r="AC19" s="402">
        <f t="shared" si="10"/>
        <v>0</v>
      </c>
      <c r="AD19" s="4106"/>
      <c r="AE19" s="4106"/>
      <c r="AF19" s="4106"/>
      <c r="AG19" s="4106"/>
      <c r="AH19" s="4106"/>
      <c r="AI19" s="4106"/>
      <c r="AJ19" s="4106"/>
      <c r="AK19" s="4106"/>
      <c r="AL19" s="4106"/>
      <c r="AM19" s="4106"/>
      <c r="AN19" s="4106"/>
      <c r="AO19" s="4106"/>
      <c r="AP19" s="4106"/>
      <c r="AQ19" s="4106"/>
      <c r="AR19" s="4106"/>
      <c r="AS19" s="4106"/>
      <c r="AT19" s="4107"/>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3">
        <f t="shared" si="8"/>
        <v>0</v>
      </c>
      <c r="H20" s="4104">
        <f t="shared" si="9"/>
        <v>0</v>
      </c>
      <c r="I20" s="4105"/>
      <c r="J20" s="4105"/>
      <c r="K20" s="4105"/>
      <c r="L20" s="4105"/>
      <c r="M20" s="4105"/>
      <c r="N20" s="4105"/>
      <c r="O20" s="4105"/>
      <c r="P20" s="4105"/>
      <c r="Q20" s="4105"/>
      <c r="R20" s="4105"/>
      <c r="S20" s="4105"/>
      <c r="T20" s="4105"/>
      <c r="U20" s="4105"/>
      <c r="V20" s="4105"/>
      <c r="W20" s="4105"/>
      <c r="X20" s="4105"/>
      <c r="Y20" s="4105"/>
      <c r="Z20" s="4105"/>
      <c r="AA20" s="4105"/>
      <c r="AB20" s="4105"/>
      <c r="AC20" s="402">
        <f t="shared" si="10"/>
        <v>0</v>
      </c>
      <c r="AD20" s="4106"/>
      <c r="AE20" s="4106"/>
      <c r="AF20" s="4106"/>
      <c r="AG20" s="4106"/>
      <c r="AH20" s="4106"/>
      <c r="AI20" s="4106"/>
      <c r="AJ20" s="4106"/>
      <c r="AK20" s="4106"/>
      <c r="AL20" s="4106"/>
      <c r="AM20" s="4106"/>
      <c r="AN20" s="4106"/>
      <c r="AO20" s="4106"/>
      <c r="AP20" s="4106"/>
      <c r="AQ20" s="4106"/>
      <c r="AR20" s="4106"/>
      <c r="AS20" s="4106"/>
      <c r="AT20" s="4107"/>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3">
        <f t="shared" si="8"/>
        <v>0</v>
      </c>
      <c r="H21" s="4104">
        <f t="shared" si="9"/>
        <v>0</v>
      </c>
      <c r="I21" s="4105"/>
      <c r="J21" s="4105"/>
      <c r="K21" s="4105"/>
      <c r="L21" s="4105"/>
      <c r="M21" s="4105"/>
      <c r="N21" s="4105"/>
      <c r="O21" s="4105"/>
      <c r="P21" s="4105"/>
      <c r="Q21" s="4105"/>
      <c r="R21" s="4105"/>
      <c r="S21" s="4105"/>
      <c r="T21" s="4105"/>
      <c r="U21" s="4105"/>
      <c r="V21" s="4105"/>
      <c r="W21" s="4105"/>
      <c r="X21" s="4105"/>
      <c r="Y21" s="4105"/>
      <c r="Z21" s="4105"/>
      <c r="AA21" s="4105"/>
      <c r="AB21" s="4105"/>
      <c r="AC21" s="402">
        <f t="shared" si="10"/>
        <v>0</v>
      </c>
      <c r="AD21" s="4106"/>
      <c r="AE21" s="4106"/>
      <c r="AF21" s="4106"/>
      <c r="AG21" s="4106"/>
      <c r="AH21" s="4106"/>
      <c r="AI21" s="4106"/>
      <c r="AJ21" s="4106"/>
      <c r="AK21" s="4106"/>
      <c r="AL21" s="4106"/>
      <c r="AM21" s="4106"/>
      <c r="AN21" s="4106"/>
      <c r="AO21" s="4106"/>
      <c r="AP21" s="4106"/>
      <c r="AQ21" s="4106"/>
      <c r="AR21" s="4106"/>
      <c r="AS21" s="4106"/>
      <c r="AT21" s="4107"/>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3">
        <f t="shared" si="8"/>
        <v>0</v>
      </c>
      <c r="H22" s="4104">
        <f t="shared" si="9"/>
        <v>0</v>
      </c>
      <c r="I22" s="4105"/>
      <c r="J22" s="4105"/>
      <c r="K22" s="4105"/>
      <c r="L22" s="4105"/>
      <c r="M22" s="4105"/>
      <c r="N22" s="4105"/>
      <c r="O22" s="4105"/>
      <c r="P22" s="4105"/>
      <c r="Q22" s="4105"/>
      <c r="R22" s="4105"/>
      <c r="S22" s="4105"/>
      <c r="T22" s="4105"/>
      <c r="U22" s="4105"/>
      <c r="V22" s="4105"/>
      <c r="W22" s="4105"/>
      <c r="X22" s="4105"/>
      <c r="Y22" s="4105"/>
      <c r="Z22" s="4105"/>
      <c r="AA22" s="4105"/>
      <c r="AB22" s="4105"/>
      <c r="AC22" s="402">
        <f t="shared" si="10"/>
        <v>0</v>
      </c>
      <c r="AD22" s="4106"/>
      <c r="AE22" s="4106"/>
      <c r="AF22" s="4106"/>
      <c r="AG22" s="4106"/>
      <c r="AH22" s="4106"/>
      <c r="AI22" s="4106"/>
      <c r="AJ22" s="4106"/>
      <c r="AK22" s="4106"/>
      <c r="AL22" s="4106"/>
      <c r="AM22" s="4106"/>
      <c r="AN22" s="4106"/>
      <c r="AO22" s="4106"/>
      <c r="AP22" s="4106"/>
      <c r="AQ22" s="4106"/>
      <c r="AR22" s="4106"/>
      <c r="AS22" s="4106"/>
      <c r="AT22" s="4107"/>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3">
        <f t="shared" si="8"/>
        <v>0</v>
      </c>
      <c r="H23" s="4104">
        <f t="shared" si="9"/>
        <v>0</v>
      </c>
      <c r="I23" s="4105"/>
      <c r="J23" s="4105"/>
      <c r="K23" s="4105"/>
      <c r="L23" s="4105"/>
      <c r="M23" s="4105"/>
      <c r="N23" s="4105"/>
      <c r="O23" s="4105"/>
      <c r="P23" s="4105"/>
      <c r="Q23" s="4105"/>
      <c r="R23" s="4105"/>
      <c r="S23" s="4105"/>
      <c r="T23" s="4105"/>
      <c r="U23" s="4105"/>
      <c r="V23" s="4105"/>
      <c r="W23" s="4105"/>
      <c r="X23" s="4105"/>
      <c r="Y23" s="4105"/>
      <c r="Z23" s="4105"/>
      <c r="AA23" s="4105"/>
      <c r="AB23" s="4105"/>
      <c r="AC23" s="402">
        <f t="shared" si="10"/>
        <v>0</v>
      </c>
      <c r="AD23" s="4106"/>
      <c r="AE23" s="4106"/>
      <c r="AF23" s="4106"/>
      <c r="AG23" s="4106"/>
      <c r="AH23" s="4106"/>
      <c r="AI23" s="4106"/>
      <c r="AJ23" s="4106"/>
      <c r="AK23" s="4106"/>
      <c r="AL23" s="4106"/>
      <c r="AM23" s="4106"/>
      <c r="AN23" s="4106"/>
      <c r="AO23" s="4106"/>
      <c r="AP23" s="4106"/>
      <c r="AQ23" s="4106"/>
      <c r="AR23" s="4106"/>
      <c r="AS23" s="4106"/>
      <c r="AT23" s="4107"/>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3">
        <f t="shared" si="8"/>
        <v>0</v>
      </c>
      <c r="H24" s="4104">
        <f t="shared" si="9"/>
        <v>0</v>
      </c>
      <c r="I24" s="4105"/>
      <c r="J24" s="4105"/>
      <c r="K24" s="4105"/>
      <c r="L24" s="4105"/>
      <c r="M24" s="4105"/>
      <c r="N24" s="4105"/>
      <c r="O24" s="4105"/>
      <c r="P24" s="4105"/>
      <c r="Q24" s="4105"/>
      <c r="R24" s="4105"/>
      <c r="S24" s="4105"/>
      <c r="T24" s="4105"/>
      <c r="U24" s="4105"/>
      <c r="V24" s="4105"/>
      <c r="W24" s="4105"/>
      <c r="X24" s="4105"/>
      <c r="Y24" s="4105"/>
      <c r="Z24" s="4105"/>
      <c r="AA24" s="4105"/>
      <c r="AB24" s="4105"/>
      <c r="AC24" s="402">
        <f t="shared" si="10"/>
        <v>0</v>
      </c>
      <c r="AD24" s="4106"/>
      <c r="AE24" s="4106"/>
      <c r="AF24" s="4106"/>
      <c r="AG24" s="4106"/>
      <c r="AH24" s="4106"/>
      <c r="AI24" s="4106"/>
      <c r="AJ24" s="4106"/>
      <c r="AK24" s="4106"/>
      <c r="AL24" s="4106"/>
      <c r="AM24" s="4106"/>
      <c r="AN24" s="4106"/>
      <c r="AO24" s="4106"/>
      <c r="AP24" s="4106"/>
      <c r="AQ24" s="4106"/>
      <c r="AR24" s="4106"/>
      <c r="AS24" s="4106"/>
      <c r="AT24" s="4107"/>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3">
        <f t="shared" si="8"/>
        <v>0</v>
      </c>
      <c r="H25" s="4104">
        <f t="shared" si="9"/>
        <v>0</v>
      </c>
      <c r="I25" s="4105"/>
      <c r="J25" s="4105"/>
      <c r="K25" s="4105"/>
      <c r="L25" s="4105"/>
      <c r="M25" s="4105"/>
      <c r="N25" s="4105"/>
      <c r="O25" s="4105"/>
      <c r="P25" s="4105"/>
      <c r="Q25" s="4105"/>
      <c r="R25" s="4105"/>
      <c r="S25" s="4105"/>
      <c r="T25" s="4105"/>
      <c r="U25" s="4105"/>
      <c r="V25" s="4105"/>
      <c r="W25" s="4105"/>
      <c r="X25" s="4105"/>
      <c r="Y25" s="4105"/>
      <c r="Z25" s="4105"/>
      <c r="AA25" s="4105"/>
      <c r="AB25" s="4105"/>
      <c r="AC25" s="402">
        <f t="shared" si="10"/>
        <v>0</v>
      </c>
      <c r="AD25" s="4106"/>
      <c r="AE25" s="4106"/>
      <c r="AF25" s="4106"/>
      <c r="AG25" s="4106"/>
      <c r="AH25" s="4106"/>
      <c r="AI25" s="4106"/>
      <c r="AJ25" s="4106"/>
      <c r="AK25" s="4106"/>
      <c r="AL25" s="4106"/>
      <c r="AM25" s="4106"/>
      <c r="AN25" s="4106"/>
      <c r="AO25" s="4106"/>
      <c r="AP25" s="4106"/>
      <c r="AQ25" s="4106"/>
      <c r="AR25" s="4106"/>
      <c r="AS25" s="4106"/>
      <c r="AT25" s="4107"/>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3">
        <f t="shared" si="8"/>
        <v>0</v>
      </c>
      <c r="H26" s="4104">
        <f t="shared" si="9"/>
        <v>0</v>
      </c>
      <c r="I26" s="4105"/>
      <c r="J26" s="4105"/>
      <c r="K26" s="4105"/>
      <c r="L26" s="4105"/>
      <c r="M26" s="4105"/>
      <c r="N26" s="4105"/>
      <c r="O26" s="4105"/>
      <c r="P26" s="4105"/>
      <c r="Q26" s="4105"/>
      <c r="R26" s="4105"/>
      <c r="S26" s="4105"/>
      <c r="T26" s="4105"/>
      <c r="U26" s="4105"/>
      <c r="V26" s="4105"/>
      <c r="W26" s="4105"/>
      <c r="X26" s="4105"/>
      <c r="Y26" s="4105"/>
      <c r="Z26" s="4105"/>
      <c r="AA26" s="4105"/>
      <c r="AB26" s="4105"/>
      <c r="AC26" s="402">
        <f t="shared" si="10"/>
        <v>0</v>
      </c>
      <c r="AD26" s="4106"/>
      <c r="AE26" s="4106"/>
      <c r="AF26" s="4106"/>
      <c r="AG26" s="4106"/>
      <c r="AH26" s="4106"/>
      <c r="AI26" s="4106"/>
      <c r="AJ26" s="4106"/>
      <c r="AK26" s="4106"/>
      <c r="AL26" s="4106"/>
      <c r="AM26" s="4106"/>
      <c r="AN26" s="4106"/>
      <c r="AO26" s="4106"/>
      <c r="AP26" s="4106"/>
      <c r="AQ26" s="4106"/>
      <c r="AR26" s="4106"/>
      <c r="AS26" s="4106"/>
      <c r="AT26" s="4107"/>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3">
        <f t="shared" si="8"/>
        <v>0</v>
      </c>
      <c r="H27" s="4104">
        <f t="shared" si="9"/>
        <v>0</v>
      </c>
      <c r="I27" s="4105"/>
      <c r="J27" s="4105"/>
      <c r="K27" s="4105"/>
      <c r="L27" s="4105"/>
      <c r="M27" s="4105"/>
      <c r="N27" s="4105"/>
      <c r="O27" s="4105"/>
      <c r="P27" s="4105"/>
      <c r="Q27" s="4105"/>
      <c r="R27" s="4105"/>
      <c r="S27" s="4105"/>
      <c r="T27" s="4105"/>
      <c r="U27" s="4105"/>
      <c r="V27" s="4105"/>
      <c r="W27" s="4105"/>
      <c r="X27" s="4105"/>
      <c r="Y27" s="4105"/>
      <c r="Z27" s="4105"/>
      <c r="AA27" s="4105"/>
      <c r="AB27" s="4105"/>
      <c r="AC27" s="402">
        <f t="shared" si="10"/>
        <v>0</v>
      </c>
      <c r="AD27" s="4106"/>
      <c r="AE27" s="4106"/>
      <c r="AF27" s="4106"/>
      <c r="AG27" s="4106"/>
      <c r="AH27" s="4106"/>
      <c r="AI27" s="4106"/>
      <c r="AJ27" s="4106"/>
      <c r="AK27" s="4106"/>
      <c r="AL27" s="4106"/>
      <c r="AM27" s="4106"/>
      <c r="AN27" s="4106"/>
      <c r="AO27" s="4106"/>
      <c r="AP27" s="4106"/>
      <c r="AQ27" s="4106"/>
      <c r="AR27" s="4106"/>
      <c r="AS27" s="4106"/>
      <c r="AT27" s="4107"/>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3">
        <f t="shared" si="8"/>
        <v>0</v>
      </c>
      <c r="H28" s="4104">
        <f t="shared" si="9"/>
        <v>0</v>
      </c>
      <c r="I28" s="4105"/>
      <c r="J28" s="4105"/>
      <c r="K28" s="4105"/>
      <c r="L28" s="4105"/>
      <c r="M28" s="4105"/>
      <c r="N28" s="4105"/>
      <c r="O28" s="4105"/>
      <c r="P28" s="4105"/>
      <c r="Q28" s="4105"/>
      <c r="R28" s="4105"/>
      <c r="S28" s="4105"/>
      <c r="T28" s="4105"/>
      <c r="U28" s="4105"/>
      <c r="V28" s="4105"/>
      <c r="W28" s="4105"/>
      <c r="X28" s="4105"/>
      <c r="Y28" s="4105"/>
      <c r="Z28" s="4105"/>
      <c r="AA28" s="4105"/>
      <c r="AB28" s="4105"/>
      <c r="AC28" s="402">
        <f t="shared" si="10"/>
        <v>0</v>
      </c>
      <c r="AD28" s="4106"/>
      <c r="AE28" s="4106"/>
      <c r="AF28" s="4106"/>
      <c r="AG28" s="4106"/>
      <c r="AH28" s="4106"/>
      <c r="AI28" s="4106"/>
      <c r="AJ28" s="4106"/>
      <c r="AK28" s="4106"/>
      <c r="AL28" s="4106"/>
      <c r="AM28" s="4106"/>
      <c r="AN28" s="4106"/>
      <c r="AO28" s="4106"/>
      <c r="AP28" s="4106"/>
      <c r="AQ28" s="4106"/>
      <c r="AR28" s="4106"/>
      <c r="AS28" s="4106"/>
      <c r="AT28" s="4107"/>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3">
        <f t="shared" si="8"/>
        <v>0</v>
      </c>
      <c r="H29" s="4104">
        <f t="shared" si="9"/>
        <v>0</v>
      </c>
      <c r="I29" s="4105"/>
      <c r="J29" s="4105"/>
      <c r="K29" s="4105"/>
      <c r="L29" s="4105"/>
      <c r="M29" s="4105"/>
      <c r="N29" s="4105"/>
      <c r="O29" s="4105"/>
      <c r="P29" s="4105"/>
      <c r="Q29" s="4105"/>
      <c r="R29" s="4105"/>
      <c r="S29" s="4105"/>
      <c r="T29" s="4105"/>
      <c r="U29" s="4105"/>
      <c r="V29" s="4105"/>
      <c r="W29" s="4105"/>
      <c r="X29" s="4105"/>
      <c r="Y29" s="4105"/>
      <c r="Z29" s="4105"/>
      <c r="AA29" s="4105"/>
      <c r="AB29" s="4105"/>
      <c r="AC29" s="402">
        <f t="shared" si="10"/>
        <v>0</v>
      </c>
      <c r="AD29" s="4106"/>
      <c r="AE29" s="4106"/>
      <c r="AF29" s="4106"/>
      <c r="AG29" s="4106"/>
      <c r="AH29" s="4106"/>
      <c r="AI29" s="4106"/>
      <c r="AJ29" s="4106"/>
      <c r="AK29" s="4106"/>
      <c r="AL29" s="4106"/>
      <c r="AM29" s="4106"/>
      <c r="AN29" s="4106"/>
      <c r="AO29" s="4106"/>
      <c r="AP29" s="4106"/>
      <c r="AQ29" s="4106"/>
      <c r="AR29" s="4106"/>
      <c r="AS29" s="4106"/>
      <c r="AT29" s="4107"/>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3">
        <f t="shared" si="8"/>
        <v>0</v>
      </c>
      <c r="H30" s="4104">
        <f t="shared" si="9"/>
        <v>0</v>
      </c>
      <c r="I30" s="4105"/>
      <c r="J30" s="4105"/>
      <c r="K30" s="4105"/>
      <c r="L30" s="4105"/>
      <c r="M30" s="4105"/>
      <c r="N30" s="4105"/>
      <c r="O30" s="4105"/>
      <c r="P30" s="4105"/>
      <c r="Q30" s="4105"/>
      <c r="R30" s="4105"/>
      <c r="S30" s="4105"/>
      <c r="T30" s="4105"/>
      <c r="U30" s="4105"/>
      <c r="V30" s="4105"/>
      <c r="W30" s="4105"/>
      <c r="X30" s="4105"/>
      <c r="Y30" s="4105"/>
      <c r="Z30" s="4105"/>
      <c r="AA30" s="4105"/>
      <c r="AB30" s="4105"/>
      <c r="AC30" s="402">
        <f t="shared" si="10"/>
        <v>0</v>
      </c>
      <c r="AD30" s="4106"/>
      <c r="AE30" s="4106"/>
      <c r="AF30" s="4106"/>
      <c r="AG30" s="4106"/>
      <c r="AH30" s="4106"/>
      <c r="AI30" s="4106"/>
      <c r="AJ30" s="4106"/>
      <c r="AK30" s="4106"/>
      <c r="AL30" s="4106"/>
      <c r="AM30" s="4106"/>
      <c r="AN30" s="4106"/>
      <c r="AO30" s="4106"/>
      <c r="AP30" s="4106"/>
      <c r="AQ30" s="4106"/>
      <c r="AR30" s="4106"/>
      <c r="AS30" s="4106"/>
      <c r="AT30" s="4107"/>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3">
        <f t="shared" si="8"/>
        <v>0</v>
      </c>
      <c r="H31" s="4104">
        <f t="shared" si="9"/>
        <v>0</v>
      </c>
      <c r="I31" s="4105"/>
      <c r="J31" s="4105"/>
      <c r="K31" s="4105"/>
      <c r="L31" s="4105"/>
      <c r="M31" s="4105"/>
      <c r="N31" s="4105"/>
      <c r="O31" s="4105"/>
      <c r="P31" s="4105"/>
      <c r="Q31" s="4105"/>
      <c r="R31" s="4105"/>
      <c r="S31" s="4105"/>
      <c r="T31" s="4105"/>
      <c r="U31" s="4105"/>
      <c r="V31" s="4105"/>
      <c r="W31" s="4105"/>
      <c r="X31" s="4105"/>
      <c r="Y31" s="4105"/>
      <c r="Z31" s="4105"/>
      <c r="AA31" s="4105"/>
      <c r="AB31" s="4105"/>
      <c r="AC31" s="402">
        <f t="shared" si="10"/>
        <v>0</v>
      </c>
      <c r="AD31" s="4106"/>
      <c r="AE31" s="4106"/>
      <c r="AF31" s="4106"/>
      <c r="AG31" s="4106"/>
      <c r="AH31" s="4106"/>
      <c r="AI31" s="4106"/>
      <c r="AJ31" s="4106"/>
      <c r="AK31" s="4106"/>
      <c r="AL31" s="4106"/>
      <c r="AM31" s="4106"/>
      <c r="AN31" s="4106"/>
      <c r="AO31" s="4106"/>
      <c r="AP31" s="4106"/>
      <c r="AQ31" s="4106"/>
      <c r="AR31" s="4106"/>
      <c r="AS31" s="4106"/>
      <c r="AT31" s="4107"/>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3">
        <f t="shared" si="8"/>
        <v>0</v>
      </c>
      <c r="H32" s="4104">
        <f t="shared" si="9"/>
        <v>0</v>
      </c>
      <c r="I32" s="4105"/>
      <c r="J32" s="4105"/>
      <c r="K32" s="4105"/>
      <c r="L32" s="4105"/>
      <c r="M32" s="4105"/>
      <c r="N32" s="4105"/>
      <c r="O32" s="4105"/>
      <c r="P32" s="4105"/>
      <c r="Q32" s="4105"/>
      <c r="R32" s="4105"/>
      <c r="S32" s="4105"/>
      <c r="T32" s="4105"/>
      <c r="U32" s="4105"/>
      <c r="V32" s="4105"/>
      <c r="W32" s="4105"/>
      <c r="X32" s="4105"/>
      <c r="Y32" s="4105"/>
      <c r="Z32" s="4105"/>
      <c r="AA32" s="4105"/>
      <c r="AB32" s="4105"/>
      <c r="AC32" s="402">
        <f t="shared" si="10"/>
        <v>0</v>
      </c>
      <c r="AD32" s="4106"/>
      <c r="AE32" s="4106"/>
      <c r="AF32" s="4106"/>
      <c r="AG32" s="4106"/>
      <c r="AH32" s="4106"/>
      <c r="AI32" s="4106"/>
      <c r="AJ32" s="4106"/>
      <c r="AK32" s="4106"/>
      <c r="AL32" s="4106"/>
      <c r="AM32" s="4106"/>
      <c r="AN32" s="4106"/>
      <c r="AO32" s="4106"/>
      <c r="AP32" s="4106"/>
      <c r="AQ32" s="4106"/>
      <c r="AR32" s="4106"/>
      <c r="AS32" s="4106"/>
      <c r="AT32" s="4107"/>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3">
        <f t="shared" si="8"/>
        <v>0</v>
      </c>
      <c r="H33" s="4104">
        <f t="shared" si="9"/>
        <v>0</v>
      </c>
      <c r="I33" s="4105"/>
      <c r="J33" s="4105"/>
      <c r="K33" s="4105"/>
      <c r="L33" s="4105"/>
      <c r="M33" s="4105"/>
      <c r="N33" s="4105"/>
      <c r="O33" s="4105"/>
      <c r="P33" s="4105"/>
      <c r="Q33" s="4105"/>
      <c r="R33" s="4105"/>
      <c r="S33" s="4105"/>
      <c r="T33" s="4105"/>
      <c r="U33" s="4105"/>
      <c r="V33" s="4105"/>
      <c r="W33" s="4105"/>
      <c r="X33" s="4105"/>
      <c r="Y33" s="4105"/>
      <c r="Z33" s="4105"/>
      <c r="AA33" s="4105"/>
      <c r="AB33" s="4105"/>
      <c r="AC33" s="402">
        <f t="shared" si="10"/>
        <v>0</v>
      </c>
      <c r="AD33" s="4106"/>
      <c r="AE33" s="4106"/>
      <c r="AF33" s="4106"/>
      <c r="AG33" s="4106"/>
      <c r="AH33" s="4106"/>
      <c r="AI33" s="4106"/>
      <c r="AJ33" s="4106"/>
      <c r="AK33" s="4106"/>
      <c r="AL33" s="4106"/>
      <c r="AM33" s="4106"/>
      <c r="AN33" s="4106"/>
      <c r="AO33" s="4106"/>
      <c r="AP33" s="4106"/>
      <c r="AQ33" s="4106"/>
      <c r="AR33" s="4106"/>
      <c r="AS33" s="4106"/>
      <c r="AT33" s="4107"/>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3">
        <f t="shared" si="8"/>
        <v>0</v>
      </c>
      <c r="H34" s="4104">
        <f t="shared" si="9"/>
        <v>0</v>
      </c>
      <c r="I34" s="4105"/>
      <c r="J34" s="4105"/>
      <c r="K34" s="4105"/>
      <c r="L34" s="4105"/>
      <c r="M34" s="4105"/>
      <c r="N34" s="4105"/>
      <c r="O34" s="4105"/>
      <c r="P34" s="4105"/>
      <c r="Q34" s="4105"/>
      <c r="R34" s="4105"/>
      <c r="S34" s="4105"/>
      <c r="T34" s="4105"/>
      <c r="U34" s="4105"/>
      <c r="V34" s="4105"/>
      <c r="W34" s="4105"/>
      <c r="X34" s="4105"/>
      <c r="Y34" s="4105"/>
      <c r="Z34" s="4105"/>
      <c r="AA34" s="4105"/>
      <c r="AB34" s="4105"/>
      <c r="AC34" s="402">
        <f t="shared" si="10"/>
        <v>0</v>
      </c>
      <c r="AD34" s="4106"/>
      <c r="AE34" s="4106"/>
      <c r="AF34" s="4106"/>
      <c r="AG34" s="4106"/>
      <c r="AH34" s="4106"/>
      <c r="AI34" s="4106"/>
      <c r="AJ34" s="4106"/>
      <c r="AK34" s="4106"/>
      <c r="AL34" s="4106"/>
      <c r="AM34" s="4106"/>
      <c r="AN34" s="4106"/>
      <c r="AO34" s="4106"/>
      <c r="AP34" s="4106"/>
      <c r="AQ34" s="4106"/>
      <c r="AR34" s="4106"/>
      <c r="AS34" s="4106"/>
      <c r="AT34" s="4107"/>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3">
        <f t="shared" si="8"/>
        <v>0</v>
      </c>
      <c r="H35" s="4104">
        <f t="shared" si="9"/>
        <v>0</v>
      </c>
      <c r="I35" s="4105"/>
      <c r="J35" s="4105"/>
      <c r="K35" s="4105"/>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3">
        <f t="shared" si="8"/>
        <v>0</v>
      </c>
      <c r="H36" s="4104">
        <f t="shared" si="9"/>
        <v>0</v>
      </c>
      <c r="I36" s="4105"/>
      <c r="J36" s="4105"/>
      <c r="K36" s="4105"/>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3">
        <f t="shared" si="8"/>
        <v>0</v>
      </c>
      <c r="H37" s="4104">
        <f t="shared" si="9"/>
        <v>0</v>
      </c>
      <c r="I37" s="4105"/>
      <c r="J37" s="4105"/>
      <c r="K37" s="4105"/>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3">
        <f t="shared" si="8"/>
        <v>0</v>
      </c>
      <c r="H38" s="4104">
        <f t="shared" si="9"/>
        <v>0</v>
      </c>
      <c r="I38" s="4105"/>
      <c r="J38" s="4105"/>
      <c r="K38" s="4105"/>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3">
        <f t="shared" si="8"/>
        <v>0</v>
      </c>
      <c r="H39" s="4104">
        <f t="shared" si="9"/>
        <v>0</v>
      </c>
      <c r="I39" s="4105"/>
      <c r="J39" s="4105"/>
      <c r="K39" s="4105"/>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3">
        <f t="shared" si="8"/>
        <v>0</v>
      </c>
      <c r="H40" s="4104">
        <f t="shared" si="9"/>
        <v>0</v>
      </c>
      <c r="I40" s="4105"/>
      <c r="J40" s="4105"/>
      <c r="K40" s="4105"/>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3">
        <f t="shared" si="8"/>
        <v>0</v>
      </c>
      <c r="H41" s="4104">
        <f t="shared" si="9"/>
        <v>0</v>
      </c>
      <c r="I41" s="4105"/>
      <c r="J41" s="4105"/>
      <c r="K41" s="4105"/>
      <c r="L41" s="4105"/>
      <c r="M41" s="4105"/>
      <c r="N41" s="4105"/>
      <c r="O41" s="4105"/>
      <c r="P41" s="4105"/>
      <c r="Q41" s="4105"/>
      <c r="R41" s="4105"/>
      <c r="S41" s="4105"/>
      <c r="T41" s="4105"/>
      <c r="U41" s="4105"/>
      <c r="V41" s="4105"/>
      <c r="W41" s="4105"/>
      <c r="X41" s="4105"/>
      <c r="Y41" s="4105"/>
      <c r="Z41" s="4105"/>
      <c r="AA41" s="4105"/>
      <c r="AB41" s="4105"/>
      <c r="AC41" s="402">
        <f t="shared" si="10"/>
        <v>0</v>
      </c>
      <c r="AD41" s="4106"/>
      <c r="AE41" s="4106"/>
      <c r="AF41" s="4106"/>
      <c r="AG41" s="4106"/>
      <c r="AH41" s="4106"/>
      <c r="AI41" s="4106"/>
      <c r="AJ41" s="4106"/>
      <c r="AK41" s="4106"/>
      <c r="AL41" s="4106"/>
      <c r="AM41" s="4106"/>
      <c r="AN41" s="4106"/>
      <c r="AO41" s="4106"/>
      <c r="AP41" s="4106"/>
      <c r="AQ41" s="4106"/>
      <c r="AR41" s="4106"/>
      <c r="AS41" s="4106"/>
      <c r="AT41" s="4107"/>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3">
        <f t="shared" si="8"/>
        <v>0</v>
      </c>
      <c r="H42" s="4104">
        <f t="shared" si="9"/>
        <v>0</v>
      </c>
      <c r="I42" s="4105"/>
      <c r="J42" s="4105"/>
      <c r="K42" s="4105"/>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3">
        <f t="shared" si="8"/>
        <v>0</v>
      </c>
      <c r="H43" s="4104">
        <f t="shared" si="9"/>
        <v>0</v>
      </c>
      <c r="I43" s="4105"/>
      <c r="J43" s="4105"/>
      <c r="K43" s="4105"/>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3">
        <f t="shared" si="8"/>
        <v>0</v>
      </c>
      <c r="H44" s="4104">
        <f t="shared" si="9"/>
        <v>0</v>
      </c>
      <c r="I44" s="4105"/>
      <c r="J44" s="4105"/>
      <c r="K44" s="4105"/>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3">
        <f t="shared" si="8"/>
        <v>0</v>
      </c>
      <c r="H45" s="4104">
        <f t="shared" si="9"/>
        <v>0</v>
      </c>
      <c r="I45" s="4105"/>
      <c r="J45" s="4105"/>
      <c r="K45" s="4105"/>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3">
        <f t="shared" si="8"/>
        <v>0</v>
      </c>
      <c r="H46" s="4104">
        <f t="shared" si="9"/>
        <v>0</v>
      </c>
      <c r="I46" s="4105"/>
      <c r="J46" s="4105"/>
      <c r="K46" s="4105"/>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3">
        <f t="shared" si="8"/>
        <v>0</v>
      </c>
      <c r="H47" s="4104">
        <f t="shared" si="9"/>
        <v>0</v>
      </c>
      <c r="I47" s="4105"/>
      <c r="J47" s="4105"/>
      <c r="K47" s="4105"/>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3">
        <f t="shared" si="8"/>
        <v>0</v>
      </c>
      <c r="H48" s="4104">
        <f t="shared" si="9"/>
        <v>0</v>
      </c>
      <c r="I48" s="4105"/>
      <c r="J48" s="4105"/>
      <c r="K48" s="4105"/>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3">
        <f t="shared" si="8"/>
        <v>0</v>
      </c>
      <c r="H49" s="4104">
        <f t="shared" si="9"/>
        <v>0</v>
      </c>
      <c r="I49" s="4105"/>
      <c r="J49" s="4105"/>
      <c r="K49" s="4105"/>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3">
        <f t="shared" si="8"/>
        <v>0</v>
      </c>
      <c r="H50" s="4104">
        <f t="shared" si="9"/>
        <v>0</v>
      </c>
      <c r="I50" s="4105"/>
      <c r="J50" s="4105"/>
      <c r="K50" s="4105"/>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3">
        <f t="shared" si="8"/>
        <v>0</v>
      </c>
      <c r="H51" s="4104">
        <f t="shared" si="9"/>
        <v>0</v>
      </c>
      <c r="I51" s="4105"/>
      <c r="J51" s="4105"/>
      <c r="K51" s="4105"/>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3">
        <f t="shared" si="8"/>
        <v>0</v>
      </c>
      <c r="H52" s="4104">
        <f t="shared" si="9"/>
        <v>0</v>
      </c>
      <c r="I52" s="4105"/>
      <c r="J52" s="4105"/>
      <c r="K52" s="4105"/>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3">
        <f t="shared" si="8"/>
        <v>0</v>
      </c>
      <c r="H53" s="4104">
        <f t="shared" si="9"/>
        <v>0</v>
      </c>
      <c r="I53" s="4105"/>
      <c r="J53" s="4105"/>
      <c r="K53" s="4105"/>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3">
        <f t="shared" si="8"/>
        <v>0</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0</v>
      </c>
      <c r="AD54" s="4106"/>
      <c r="AE54" s="4106"/>
      <c r="AF54" s="4106"/>
      <c r="AG54" s="4106"/>
      <c r="AH54" s="4106"/>
      <c r="AI54" s="4106"/>
      <c r="AJ54" s="4106"/>
      <c r="AK54" s="4106"/>
      <c r="AL54" s="4106"/>
      <c r="AM54" s="4106"/>
      <c r="AN54" s="4106"/>
      <c r="AO54" s="4106"/>
      <c r="AP54" s="4106"/>
      <c r="AQ54" s="4106"/>
      <c r="AR54" s="4106"/>
      <c r="AS54" s="4106"/>
      <c r="AT54" s="4107"/>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3">
        <f t="shared" si="8"/>
        <v>0</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0</v>
      </c>
      <c r="AD55" s="4106"/>
      <c r="AE55" s="4106"/>
      <c r="AF55" s="4106"/>
      <c r="AG55" s="4106"/>
      <c r="AH55" s="4106"/>
      <c r="AI55" s="4106"/>
      <c r="AJ55" s="4106"/>
      <c r="AK55" s="4106"/>
      <c r="AL55" s="4106"/>
      <c r="AM55" s="4106"/>
      <c r="AN55" s="4106"/>
      <c r="AO55" s="4106"/>
      <c r="AP55" s="4106"/>
      <c r="AQ55" s="4106"/>
      <c r="AR55" s="4106"/>
      <c r="AS55" s="4106"/>
      <c r="AT55" s="4107"/>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3">
        <f t="shared" si="8"/>
        <v>0</v>
      </c>
      <c r="H56" s="4104">
        <f t="shared" si="9"/>
        <v>0</v>
      </c>
      <c r="I56" s="4105"/>
      <c r="J56" s="4105"/>
      <c r="K56" s="4105"/>
      <c r="L56" s="4105"/>
      <c r="M56" s="4105"/>
      <c r="N56" s="4105"/>
      <c r="O56" s="4105"/>
      <c r="P56" s="4105"/>
      <c r="Q56" s="4105"/>
      <c r="R56" s="4105"/>
      <c r="S56" s="4105"/>
      <c r="T56" s="4105"/>
      <c r="U56" s="4105"/>
      <c r="V56" s="4105"/>
      <c r="W56" s="4105"/>
      <c r="X56" s="4105"/>
      <c r="Y56" s="4105"/>
      <c r="Z56" s="4105"/>
      <c r="AA56" s="4105"/>
      <c r="AB56" s="4105"/>
      <c r="AC56" s="402">
        <f t="shared" si="10"/>
        <v>0</v>
      </c>
      <c r="AD56" s="4106"/>
      <c r="AE56" s="4106"/>
      <c r="AF56" s="4106"/>
      <c r="AG56" s="4106"/>
      <c r="AH56" s="4106"/>
      <c r="AI56" s="4106"/>
      <c r="AJ56" s="4106"/>
      <c r="AK56" s="4106"/>
      <c r="AL56" s="4106"/>
      <c r="AM56" s="4106"/>
      <c r="AN56" s="4106"/>
      <c r="AO56" s="4106"/>
      <c r="AP56" s="4106"/>
      <c r="AQ56" s="4106"/>
      <c r="AR56" s="4106"/>
      <c r="AS56" s="4106"/>
      <c r="AT56" s="4107"/>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3">
        <f t="shared" si="8"/>
        <v>0</v>
      </c>
      <c r="H57" s="4104">
        <f t="shared" si="9"/>
        <v>0</v>
      </c>
      <c r="I57" s="4105"/>
      <c r="J57" s="4105"/>
      <c r="K57" s="4105"/>
      <c r="L57" s="4105"/>
      <c r="M57" s="4105"/>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1112</v>
      </c>
      <c r="B1" s="804"/>
      <c r="C1" s="804"/>
      <c r="D1" s="804"/>
      <c r="E1" s="804"/>
      <c r="F1" s="804"/>
      <c r="G1" s="804"/>
      <c r="H1" s="804"/>
      <c r="I1" s="804"/>
      <c r="J1" s="804"/>
      <c r="K1" s="804"/>
      <c r="L1" s="804"/>
      <c r="M1" s="804"/>
      <c r="N1" s="804"/>
      <c r="O1" s="804"/>
      <c r="P1" s="804"/>
    </row>
    <row r="2" spans="1:16" ht="14.4">
      <c r="A2" s="4747" t="s">
        <v>1113</v>
      </c>
      <c r="B2" s="4747"/>
      <c r="C2" s="4747"/>
      <c r="D2" s="549" t="s">
        <v>1089</v>
      </c>
      <c r="E2" s="1237" t="s">
        <v>1090</v>
      </c>
      <c r="F2" s="2092"/>
      <c r="G2" s="2085"/>
      <c r="H2" s="2086"/>
      <c r="I2" s="1821" t="s">
        <v>1114</v>
      </c>
      <c r="J2" s="2092"/>
      <c r="K2" s="2092"/>
      <c r="L2" s="2092"/>
      <c r="M2" s="2092"/>
      <c r="N2" s="2094"/>
      <c r="O2" s="2092"/>
      <c r="P2" s="2092"/>
    </row>
    <row r="3" spans="1:16" ht="15" thickBot="1">
      <c r="A3" s="4748" t="s">
        <v>1087</v>
      </c>
      <c r="B3" s="4748"/>
      <c r="C3" s="4748"/>
      <c r="D3" s="4138">
        <f>'数据-基础表'!AY6</f>
        <v>623.5</v>
      </c>
      <c r="E3" s="4138">
        <f>'数据-基础表'!AZ5</f>
        <v>262.77</v>
      </c>
      <c r="F3" s="2092"/>
      <c r="G3" s="805"/>
      <c r="H3" s="714" t="s">
        <v>1088</v>
      </c>
      <c r="I3" s="2828">
        <f>ROUND('数据-基础表'!B3/'数据-基础表'!A3,2)</f>
        <v>0.42</v>
      </c>
      <c r="J3" s="2092"/>
      <c r="K3" s="2092"/>
      <c r="L3" s="2092"/>
      <c r="M3" s="2092"/>
      <c r="N3" s="2094"/>
      <c r="O3" s="2092"/>
      <c r="P3" s="2092"/>
    </row>
    <row r="4" spans="1:16" ht="14.4">
      <c r="A4" s="4749"/>
      <c r="B4" s="4750"/>
      <c r="C4" s="4751"/>
      <c r="D4" s="1239" t="s">
        <v>1089</v>
      </c>
      <c r="E4" s="1240" t="s">
        <v>1090</v>
      </c>
      <c r="F4" s="2092"/>
      <c r="G4" s="2087" t="s">
        <v>1115</v>
      </c>
      <c r="H4" s="714" t="s">
        <v>1095</v>
      </c>
      <c r="I4" s="2828">
        <f>ROUND(SUMIF('数据-基础表'!I9:AS9,"地上",'数据-基础表'!I5:AS5)/'数据-基础表'!A3,2)</f>
        <v>0.42</v>
      </c>
      <c r="J4" s="2092"/>
      <c r="K4" s="2092"/>
      <c r="L4" s="2092"/>
      <c r="M4" s="2092"/>
      <c r="N4" s="2094"/>
      <c r="O4" s="2092"/>
      <c r="P4" s="2092"/>
    </row>
    <row r="5" spans="1:16" ht="14.4">
      <c r="A5" s="24" t="s">
        <v>1091</v>
      </c>
      <c r="B5" s="4752" t="s">
        <v>1092</v>
      </c>
      <c r="C5" s="4752"/>
      <c r="D5" s="4116">
        <f>ROUND($D$3*E5/$E$3,2)</f>
        <v>623.5</v>
      </c>
      <c r="E5" s="3973">
        <f>SUMIF('数据-基础表'!$11:$11,"住宅",'数据-基础表'!$5:$5)</f>
        <v>262.77</v>
      </c>
      <c r="F5" s="2092"/>
      <c r="G5" s="805"/>
      <c r="H5" s="714" t="s">
        <v>1088</v>
      </c>
      <c r="I5" s="2828">
        <f>ROUND(E31/D31,2)</f>
        <v>0.42</v>
      </c>
      <c r="J5" s="2092"/>
      <c r="K5" s="2092"/>
      <c r="L5" s="2092"/>
      <c r="M5" s="2092"/>
      <c r="N5" s="2092"/>
      <c r="O5" s="2092"/>
      <c r="P5" s="2092"/>
    </row>
    <row r="6" spans="1:16" ht="15" thickBot="1">
      <c r="A6" s="1242"/>
      <c r="B6" s="4752" t="s">
        <v>1093</v>
      </c>
      <c r="C6" s="4752"/>
      <c r="D6" s="4116">
        <f>ROUND($D$3*E6/$E$3,2)</f>
        <v>0</v>
      </c>
      <c r="E6" s="3973">
        <f>E3-E5</f>
        <v>0</v>
      </c>
      <c r="F6" s="2092"/>
      <c r="G6" s="2088" t="s">
        <v>1094</v>
      </c>
      <c r="H6" s="806" t="s">
        <v>1095</v>
      </c>
      <c r="I6" s="2829">
        <f>ROUND(F31/D31,2)</f>
        <v>0.42</v>
      </c>
      <c r="J6" s="2092"/>
      <c r="K6" s="2092"/>
      <c r="L6" s="2092"/>
      <c r="M6" s="2092"/>
      <c r="N6" s="2092"/>
      <c r="O6" s="2092"/>
      <c r="P6" s="2092"/>
    </row>
    <row r="7" spans="1:16" ht="15" thickBot="1">
      <c r="A7" s="4744"/>
      <c r="B7" s="4745"/>
      <c r="C7" s="4746"/>
      <c r="D7" s="1239" t="s">
        <v>1089</v>
      </c>
      <c r="E7" s="1243" t="s">
        <v>1096</v>
      </c>
      <c r="F7" s="2092"/>
      <c r="G7" s="2089" t="s">
        <v>1097</v>
      </c>
      <c r="H7" s="2090"/>
      <c r="I7" s="2830">
        <v>1</v>
      </c>
      <c r="J7" s="2092"/>
      <c r="K7" s="2092"/>
      <c r="L7" s="2092"/>
      <c r="M7" s="2092"/>
      <c r="N7" s="2092"/>
      <c r="O7" s="2092"/>
      <c r="P7" s="2092"/>
    </row>
    <row r="8" spans="1:16" ht="14.4">
      <c r="A8" s="24" t="s">
        <v>1098</v>
      </c>
      <c r="B8" s="26" t="s">
        <v>1099</v>
      </c>
      <c r="C8" s="25" t="s">
        <v>1100</v>
      </c>
      <c r="D8" s="4116">
        <f t="shared" ref="D8:D15" si="0">ROUND($D$3*E8/$E$3,2)</f>
        <v>623.5</v>
      </c>
      <c r="E8" s="3973">
        <f>SUMIF('数据-基础表'!BB10:BK10,"地上",'数据-基础表'!BB5:BK5)</f>
        <v>262.77</v>
      </c>
      <c r="F8" s="2092"/>
      <c r="G8" s="2093"/>
      <c r="H8" s="2093"/>
      <c r="I8" s="2092"/>
      <c r="J8" s="2092"/>
      <c r="K8" s="2092"/>
      <c r="L8" s="2092"/>
      <c r="M8" s="2092"/>
      <c r="N8" s="2092"/>
      <c r="O8" s="2092"/>
      <c r="P8" s="2092"/>
    </row>
    <row r="9" spans="1:16" ht="14.4">
      <c r="A9" s="1244"/>
      <c r="B9" s="1245"/>
      <c r="C9" s="25" t="s">
        <v>1101</v>
      </c>
      <c r="D9" s="4116">
        <f t="shared" si="0"/>
        <v>0</v>
      </c>
      <c r="E9" s="4139"/>
      <c r="F9" s="2092"/>
      <c r="G9" s="2093"/>
      <c r="H9" s="2093"/>
      <c r="I9" s="2092"/>
      <c r="J9" s="2092"/>
      <c r="K9" s="2092"/>
      <c r="L9" s="2092"/>
      <c r="M9" s="2092"/>
      <c r="N9" s="2092"/>
      <c r="O9" s="2092"/>
      <c r="P9" s="2092"/>
    </row>
    <row r="10" spans="1:16" ht="14.4">
      <c r="A10" s="1244"/>
      <c r="B10" s="1245"/>
      <c r="C10" s="25" t="s">
        <v>1110</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1102</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1103</v>
      </c>
      <c r="D12" s="4116">
        <f t="shared" si="0"/>
        <v>0</v>
      </c>
      <c r="E12" s="3973">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1104</v>
      </c>
      <c r="D13" s="4116">
        <f t="shared" si="0"/>
        <v>0</v>
      </c>
      <c r="E13" s="3973">
        <f>SUMPRODUCT(('数据-基础表'!BB10:BK10="地下")*('数据-基础表'!BB11:BK11="车库")*('数据-基础表'!BB5:BK5))</f>
        <v>0</v>
      </c>
      <c r="F13" s="2092"/>
      <c r="G13" s="2093"/>
      <c r="H13" s="2093"/>
      <c r="I13" s="2092"/>
      <c r="J13" s="2092"/>
      <c r="K13" s="2092"/>
      <c r="L13" s="2092"/>
      <c r="M13" s="2092"/>
      <c r="N13" s="2092"/>
      <c r="O13" s="2092"/>
      <c r="P13" s="2092"/>
    </row>
    <row r="14" spans="1:16" ht="14.4">
      <c r="A14" s="1244"/>
      <c r="B14" s="1245"/>
      <c r="C14" s="25" t="s">
        <v>1116</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1111</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1105</v>
      </c>
      <c r="D16" s="3915">
        <f>SUM(D8:D15)</f>
        <v>623.5</v>
      </c>
      <c r="E16" s="4128">
        <f>SUM(E8:E15)</f>
        <v>262.77</v>
      </c>
      <c r="F16" s="2092"/>
      <c r="G16" s="2093"/>
      <c r="H16" s="1246" t="s">
        <v>1117</v>
      </c>
      <c r="I16" s="1247"/>
      <c r="J16" s="804"/>
      <c r="K16" s="4741" t="s">
        <v>1117</v>
      </c>
      <c r="L16" s="4742"/>
      <c r="M16" s="4742"/>
      <c r="N16" s="4742"/>
      <c r="O16" s="4742"/>
      <c r="P16" s="4743"/>
    </row>
    <row r="17" spans="1:19" ht="14.4">
      <c r="A17" s="1248" t="s">
        <v>1118</v>
      </c>
      <c r="B17" s="1249" t="s">
        <v>1119</v>
      </c>
      <c r="C17" s="1250" t="s">
        <v>1120</v>
      </c>
      <c r="D17" s="1251" t="s">
        <v>1108</v>
      </c>
      <c r="E17" s="1252" t="s">
        <v>1109</v>
      </c>
      <c r="F17" s="1253"/>
      <c r="G17" s="1254"/>
      <c r="H17" s="1255" t="s">
        <v>1121</v>
      </c>
      <c r="I17" s="1256" t="s">
        <v>1106</v>
      </c>
      <c r="J17" s="804"/>
      <c r="K17" s="4738" t="s">
        <v>1122</v>
      </c>
      <c r="L17" s="4739"/>
      <c r="M17" s="4740"/>
      <c r="N17" s="4738" t="s">
        <v>1123</v>
      </c>
      <c r="O17" s="4739"/>
      <c r="P17" s="4740"/>
      <c r="R17" s="1238" t="s">
        <v>1124</v>
      </c>
      <c r="S17" s="30"/>
    </row>
    <row r="18" spans="1:19" ht="14.4">
      <c r="A18" s="1244"/>
      <c r="B18" s="1257"/>
      <c r="C18" s="1258"/>
      <c r="D18" s="1259"/>
      <c r="E18" s="1260" t="s">
        <v>1125</v>
      </c>
      <c r="F18" s="1261" t="s">
        <v>1126</v>
      </c>
      <c r="G18" s="1262" t="s">
        <v>1127</v>
      </c>
      <c r="H18" s="722" t="s">
        <v>1128</v>
      </c>
      <c r="I18" s="1263" t="s">
        <v>1129</v>
      </c>
      <c r="J18" s="804"/>
      <c r="K18" s="722" t="s">
        <v>1130</v>
      </c>
      <c r="L18" s="1264" t="s">
        <v>1131</v>
      </c>
      <c r="M18" s="578" t="s">
        <v>1132</v>
      </c>
      <c r="N18" s="722" t="s">
        <v>1130</v>
      </c>
      <c r="O18" s="1264" t="s">
        <v>1131</v>
      </c>
      <c r="P18" s="578" t="s">
        <v>1132</v>
      </c>
      <c r="R18" s="714" t="s">
        <v>1133</v>
      </c>
      <c r="S18" s="714" t="s">
        <v>1134</v>
      </c>
    </row>
    <row r="19" spans="1:19" ht="14.4">
      <c r="A19" s="1265"/>
      <c r="B19" s="26" t="s">
        <v>1107</v>
      </c>
      <c r="C19" s="2694" t="s">
        <v>4005</v>
      </c>
      <c r="D19" s="4116">
        <f>ROUND($D$3*E19/$E$3,2)</f>
        <v>623.5</v>
      </c>
      <c r="E19" s="4116">
        <f t="shared" ref="E19:E26" si="1">SUM(F19:G19)</f>
        <v>262.77</v>
      </c>
      <c r="F19" s="4117">
        <v>262.77</v>
      </c>
      <c r="G19" s="3943"/>
      <c r="H19" s="4118">
        <f>ROUND($D$3*I19/$E$3,2)</f>
        <v>0</v>
      </c>
      <c r="I19" s="3973">
        <f t="shared" ref="I19:I26" si="2">IF($I$17="自定义",P19,M19)</f>
        <v>0</v>
      </c>
      <c r="J19" s="804"/>
      <c r="K19" s="4118">
        <f t="shared" ref="K19:K26" si="3">ROUND(E$28*E19/E$27,2)</f>
        <v>0</v>
      </c>
      <c r="L19" s="4116">
        <f t="shared" ref="L19:L26" si="4">ROUND(IF(COUNTIF(C19,"*住宅*")&gt;0,E$29*E19/E$32,0),2)</f>
        <v>0</v>
      </c>
      <c r="M19" s="3973">
        <f>K19+L19</f>
        <v>0</v>
      </c>
      <c r="N19" s="4132"/>
      <c r="O19" s="4133"/>
      <c r="P19" s="3973">
        <f>N19+O19</f>
        <v>0</v>
      </c>
      <c r="Q19" s="4134"/>
      <c r="R19" s="4116">
        <f t="shared" ref="R19:S26" si="5">D19+H19</f>
        <v>623.5</v>
      </c>
      <c r="S19" s="4116">
        <f t="shared" si="5"/>
        <v>262.77</v>
      </c>
    </row>
    <row r="20" spans="1:19" ht="14.4">
      <c r="A20" s="1266"/>
      <c r="B20" s="26" t="s">
        <v>1135</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ht="14.4">
      <c r="A21" s="1266"/>
      <c r="B21" s="26" t="s">
        <v>1135</v>
      </c>
      <c r="C21" s="2694"/>
      <c r="D21" s="4116">
        <f t="shared" si="6"/>
        <v>0</v>
      </c>
      <c r="E21" s="4116">
        <f t="shared" si="1"/>
        <v>0</v>
      </c>
      <c r="F21" s="4117"/>
      <c r="G21" s="3943"/>
      <c r="H21" s="4118">
        <f t="shared" si="7"/>
        <v>0</v>
      </c>
      <c r="I21" s="3973">
        <f t="shared" si="2"/>
        <v>0</v>
      </c>
      <c r="J21" s="804"/>
      <c r="K21" s="4118">
        <f t="shared" si="3"/>
        <v>0</v>
      </c>
      <c r="L21" s="4116">
        <f t="shared" si="4"/>
        <v>0</v>
      </c>
      <c r="M21" s="3973">
        <f t="shared" si="8"/>
        <v>0</v>
      </c>
      <c r="N21" s="4132"/>
      <c r="O21" s="4133"/>
      <c r="P21" s="3973">
        <f t="shared" si="9"/>
        <v>0</v>
      </c>
      <c r="Q21" s="4134"/>
      <c r="R21" s="4116">
        <f t="shared" si="5"/>
        <v>0</v>
      </c>
      <c r="S21" s="4116">
        <f t="shared" si="5"/>
        <v>0</v>
      </c>
    </row>
    <row r="22" spans="1:19" ht="14.4">
      <c r="A22" s="1266"/>
      <c r="B22" s="26" t="s">
        <v>1135</v>
      </c>
      <c r="C22" s="2695"/>
      <c r="D22" s="4116">
        <f t="shared" si="6"/>
        <v>0</v>
      </c>
      <c r="E22" s="4116">
        <f t="shared" si="1"/>
        <v>0</v>
      </c>
      <c r="F22" s="4119"/>
      <c r="G22" s="4120"/>
      <c r="H22" s="4118">
        <f t="shared" si="7"/>
        <v>0</v>
      </c>
      <c r="I22" s="3973">
        <f t="shared" si="2"/>
        <v>0</v>
      </c>
      <c r="J22" s="804"/>
      <c r="K22" s="4118">
        <f t="shared" si="3"/>
        <v>0</v>
      </c>
      <c r="L22" s="4116">
        <f t="shared" si="4"/>
        <v>0</v>
      </c>
      <c r="M22" s="3973">
        <f t="shared" si="8"/>
        <v>0</v>
      </c>
      <c r="N22" s="4132"/>
      <c r="O22" s="4133"/>
      <c r="P22" s="3973">
        <f t="shared" si="9"/>
        <v>0</v>
      </c>
      <c r="Q22" s="4134"/>
      <c r="R22" s="4116">
        <f t="shared" si="5"/>
        <v>0</v>
      </c>
      <c r="S22" s="4116">
        <f t="shared" si="5"/>
        <v>0</v>
      </c>
    </row>
    <row r="23" spans="1:19" ht="14.4">
      <c r="A23" s="1266"/>
      <c r="B23" s="26" t="s">
        <v>1135</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ht="14.4">
      <c r="A24" s="1266"/>
      <c r="B24" s="26" t="s">
        <v>1135</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ht="14.4">
      <c r="A25" s="1266"/>
      <c r="B25" s="26" t="s">
        <v>1135</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ht="14.4">
      <c r="A26" s="1266"/>
      <c r="B26" s="26" t="s">
        <v>1135</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 thickBot="1">
      <c r="A27" s="1266"/>
      <c r="B27" s="25"/>
      <c r="C27" s="1267" t="s">
        <v>1136</v>
      </c>
      <c r="D27" s="4122">
        <f>SUM(D19:D26)</f>
        <v>623.5</v>
      </c>
      <c r="E27" s="4122">
        <f>IF(SUM(E19:E26)='数据-基础表'!BA5,SUM(E19:E26),IF(F27="地上面积有误","面积有误","地下面积有误"))</f>
        <v>262.77</v>
      </c>
      <c r="F27" s="4122">
        <f>IF(SUM(F19:F26)=E8,SUM(F19:F26),"地上面积有误")</f>
        <v>262.77</v>
      </c>
      <c r="G27" s="3970">
        <f>SUM(G19:G26)</f>
        <v>0</v>
      </c>
      <c r="H27" s="4123">
        <f>SUM(H19:H26)</f>
        <v>0</v>
      </c>
      <c r="I27" s="4124">
        <f>SUM(I19:I26)</f>
        <v>0</v>
      </c>
      <c r="J27" s="804"/>
      <c r="K27" s="4123">
        <f>SUM(K19:K26)</f>
        <v>0</v>
      </c>
      <c r="L27" s="4130">
        <f>SUM(L19:L26)</f>
        <v>0</v>
      </c>
      <c r="M27" s="4131">
        <f>SUM(M19:M26)</f>
        <v>0</v>
      </c>
      <c r="N27" s="4123">
        <f t="shared" ref="N27:O27" si="10">SUM(N19:N26)</f>
        <v>0</v>
      </c>
      <c r="O27" s="4130">
        <f t="shared" si="10"/>
        <v>0</v>
      </c>
      <c r="P27" s="3921">
        <f>SUM(P19:P26)</f>
        <v>0</v>
      </c>
      <c r="Q27" s="4134"/>
      <c r="R27" s="4137">
        <f>IF(SUM(R19:R26)=$D$3,SUM(R19:R26),SUM(R19:R26)&amp;"误差"&amp;ROUND(SUM(R19:R26)-$D$3,2))</f>
        <v>623.5</v>
      </c>
      <c r="S27" s="4116">
        <f>IF(SUM(S19:S26)=$E$3,SUM(S19:S26),SUM(S19:S26)&amp;"误差"&amp;ROUND(SUM(S19:S26)-E3,2))</f>
        <v>262.77</v>
      </c>
    </row>
    <row r="28" spans="1:19" ht="14.4">
      <c r="A28" s="1266"/>
      <c r="B28" s="26" t="s">
        <v>1137</v>
      </c>
      <c r="C28" s="719" t="s">
        <v>1138</v>
      </c>
      <c r="D28" s="4116">
        <f>ROUND($D$3*E28/$E$3,2)</f>
        <v>0</v>
      </c>
      <c r="E28" s="4116">
        <f>SUM(F28:G28)</f>
        <v>0</v>
      </c>
      <c r="F28" s="4079">
        <f>'数据-基础表'!BQ5+'数据-基础表'!BS5</f>
        <v>0</v>
      </c>
      <c r="G28" s="4125">
        <f>'数据-基础表'!BR5+'数据-基础表'!BT5</f>
        <v>0</v>
      </c>
      <c r="H28" s="4126"/>
      <c r="I28" s="4126"/>
      <c r="J28" s="2092"/>
      <c r="K28" s="2092"/>
      <c r="L28" s="2092"/>
      <c r="M28" s="2092"/>
      <c r="N28" s="2092"/>
      <c r="O28" s="2092"/>
      <c r="P28" s="2092"/>
    </row>
    <row r="29" spans="1:19" ht="14.4">
      <c r="A29" s="1266"/>
      <c r="B29" s="26" t="s">
        <v>1137</v>
      </c>
      <c r="C29" s="1268" t="s">
        <v>1139</v>
      </c>
      <c r="D29" s="4116">
        <f>ROUND($D$3*E29/$E$3,2)</f>
        <v>0</v>
      </c>
      <c r="E29" s="4116">
        <f>SUM(F29:G29)</f>
        <v>0</v>
      </c>
      <c r="F29" s="4127">
        <f>'数据-基础表'!BM5+'数据-基础表'!BO5</f>
        <v>0</v>
      </c>
      <c r="G29" s="4128">
        <f>'数据-基础表'!BN5+'数据-基础表'!BP5</f>
        <v>0</v>
      </c>
      <c r="H29" s="4126"/>
      <c r="I29" s="4126"/>
      <c r="J29" s="2092"/>
      <c r="K29" s="2092"/>
      <c r="L29" s="2092"/>
      <c r="M29" s="2092"/>
      <c r="N29" s="2092"/>
      <c r="O29" s="2092"/>
      <c r="P29" s="2092"/>
    </row>
    <row r="30" spans="1:19" ht="14.4">
      <c r="A30" s="1266"/>
      <c r="B30" s="26"/>
      <c r="C30" s="1269" t="s">
        <v>1136</v>
      </c>
      <c r="D30" s="4122">
        <f>SUM(D28:D29)</f>
        <v>0</v>
      </c>
      <c r="E30" s="4122">
        <f>SUM(E28:E29)</f>
        <v>0</v>
      </c>
      <c r="F30" s="4122">
        <f>SUM(F28:F29)</f>
        <v>0</v>
      </c>
      <c r="G30" s="3970">
        <f>SUM(G28:G29)</f>
        <v>0</v>
      </c>
      <c r="H30" s="4126"/>
      <c r="I30" s="4126"/>
      <c r="J30" s="2092"/>
      <c r="K30" s="2092"/>
      <c r="L30" s="2092"/>
      <c r="M30" s="2092"/>
      <c r="N30" s="2092"/>
      <c r="O30" s="2092"/>
      <c r="P30" s="2092"/>
    </row>
    <row r="31" spans="1:19" ht="15" thickBot="1">
      <c r="A31" s="1270"/>
      <c r="B31" s="1271"/>
      <c r="C31" s="564" t="s">
        <v>1140</v>
      </c>
      <c r="D31" s="4129">
        <f>D27+D30</f>
        <v>623.5</v>
      </c>
      <c r="E31" s="4129">
        <f>E27+E30</f>
        <v>262.77</v>
      </c>
      <c r="F31" s="4130">
        <f>F27+F30</f>
        <v>262.77</v>
      </c>
      <c r="G31" s="4131">
        <f>G27+G30</f>
        <v>0</v>
      </c>
      <c r="H31" s="4126"/>
      <c r="I31" s="4126"/>
      <c r="J31" s="2092"/>
      <c r="K31" s="2092"/>
      <c r="L31" s="2092"/>
      <c r="M31" s="2092"/>
      <c r="N31" s="2092"/>
      <c r="O31" s="2092"/>
      <c r="P31" s="2092"/>
    </row>
    <row r="32" spans="1:19" ht="14.4">
      <c r="A32" s="1241"/>
      <c r="B32" s="1241" t="s">
        <v>1141</v>
      </c>
      <c r="C32" s="1241"/>
      <c r="D32" s="3914"/>
      <c r="E32" s="3914">
        <f>SUMIF(C19:C26,"*住宅*",E19:E26)</f>
        <v>262.77</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26" sqref="N26"/>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8" customWidth="1"/>
    <col min="46" max="67" width="13.77734375" style="1275"/>
    <col min="68" max="16384" width="13.77734375" style="1276"/>
  </cols>
  <sheetData>
    <row r="1" spans="1:67" ht="18" thickBot="1">
      <c r="A1" s="1273" t="s">
        <v>1142</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 thickBot="1">
      <c r="A2" s="1277" t="s">
        <v>1143</v>
      </c>
      <c r="B2" s="726">
        <f>项目基本情况!D3</f>
        <v>46063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1144</v>
      </c>
      <c r="B4" s="1282"/>
      <c r="C4" s="1283"/>
      <c r="D4" s="1284"/>
      <c r="E4" s="1283" t="s">
        <v>1145</v>
      </c>
      <c r="F4" s="1283"/>
      <c r="G4" s="1283"/>
      <c r="H4" s="1283"/>
      <c r="I4" s="1283"/>
      <c r="J4" s="1285"/>
      <c r="K4" s="1286"/>
      <c r="L4" s="1287"/>
      <c r="M4" s="1283"/>
      <c r="N4" s="1283" t="s">
        <v>1146</v>
      </c>
      <c r="O4" s="1283"/>
      <c r="P4" s="1283"/>
      <c r="Q4" s="1283"/>
      <c r="R4" s="1283"/>
      <c r="S4" s="1285"/>
      <c r="T4" s="2091" t="str">
        <f>'数据-汇总表'!I17</f>
        <v>按面积比例</v>
      </c>
      <c r="U4" s="1282" t="s">
        <v>1147</v>
      </c>
      <c r="V4" s="1283"/>
      <c r="W4" s="1283"/>
      <c r="X4" s="1283"/>
      <c r="Y4" s="1285"/>
      <c r="Z4" s="1250" t="s">
        <v>1148</v>
      </c>
      <c r="AA4" s="1250"/>
      <c r="AB4" s="1250"/>
      <c r="AC4" s="1250"/>
      <c r="AD4" s="1250"/>
      <c r="AE4" s="1248" t="s">
        <v>1149</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1150</v>
      </c>
      <c r="B5" s="1290" t="s">
        <v>1151</v>
      </c>
      <c r="C5" s="1291" t="s">
        <v>1152</v>
      </c>
      <c r="D5" s="1292" t="s">
        <v>1153</v>
      </c>
      <c r="E5" s="728" t="s">
        <v>1154</v>
      </c>
      <c r="F5" s="1293" t="s">
        <v>1155</v>
      </c>
      <c r="G5" s="728" t="s">
        <v>1156</v>
      </c>
      <c r="H5" s="728" t="s">
        <v>1157</v>
      </c>
      <c r="I5" s="728" t="s">
        <v>1158</v>
      </c>
      <c r="J5" s="1294" t="s">
        <v>1159</v>
      </c>
      <c r="K5" s="1295" t="s">
        <v>1160</v>
      </c>
      <c r="L5" s="1296" t="s">
        <v>1161</v>
      </c>
      <c r="M5" s="1297" t="s">
        <v>1162</v>
      </c>
      <c r="N5" s="1298" t="s">
        <v>4027</v>
      </c>
      <c r="O5" s="1296" t="s">
        <v>1163</v>
      </c>
      <c r="P5" s="1299" t="s">
        <v>1164</v>
      </c>
      <c r="Q5" s="32" t="s">
        <v>1165</v>
      </c>
      <c r="R5" s="1300" t="s">
        <v>1166</v>
      </c>
      <c r="S5" s="1301" t="s">
        <v>1167</v>
      </c>
      <c r="T5" s="1302" t="s">
        <v>1168</v>
      </c>
      <c r="U5" s="727" t="s">
        <v>1169</v>
      </c>
      <c r="V5" s="728" t="s">
        <v>1170</v>
      </c>
      <c r="W5" s="728" t="s">
        <v>1171</v>
      </c>
      <c r="X5" s="34"/>
      <c r="Y5" s="33" t="s">
        <v>1172</v>
      </c>
      <c r="Z5" s="1303" t="s">
        <v>1169</v>
      </c>
      <c r="AA5" s="728" t="s">
        <v>1170</v>
      </c>
      <c r="AB5" s="728" t="s">
        <v>1171</v>
      </c>
      <c r="AC5" s="34"/>
      <c r="AD5" s="34" t="s">
        <v>1172</v>
      </c>
      <c r="AE5" s="727" t="s">
        <v>1173</v>
      </c>
      <c r="AF5" s="728" t="s">
        <v>1174</v>
      </c>
      <c r="AG5" s="33" t="s">
        <v>1175</v>
      </c>
      <c r="AH5" s="727" t="s">
        <v>1176</v>
      </c>
      <c r="AI5" s="1303" t="s">
        <v>1177</v>
      </c>
      <c r="AJ5" s="1303" t="s">
        <v>1178</v>
      </c>
      <c r="AK5" s="728" t="s">
        <v>1179</v>
      </c>
      <c r="AL5" s="728" t="s">
        <v>1180</v>
      </c>
      <c r="AM5" s="33" t="s">
        <v>1181</v>
      </c>
      <c r="AN5" s="1304" t="s">
        <v>1182</v>
      </c>
      <c r="AO5" s="715" t="s">
        <v>1183</v>
      </c>
      <c r="AP5" s="715" t="s">
        <v>1184</v>
      </c>
      <c r="AQ5" s="3581" t="s">
        <v>1185</v>
      </c>
      <c r="AR5" s="3581" t="s">
        <v>1186</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住宅</v>
      </c>
      <c r="B6" s="1306" t="str">
        <f>IF(A6=0,"","经营性")</f>
        <v>经营性</v>
      </c>
      <c r="C6" s="1307" t="s">
        <v>3271</v>
      </c>
      <c r="D6" s="3554">
        <f>SUMIF(项目基本情况!C$12:I$12,C6,项目基本情况!C$14:I$14)</f>
        <v>70</v>
      </c>
      <c r="E6" s="580">
        <f>IF(B6="","",SUMIF(项目基本情况!C$12:I$12,C6,项目基本情况!C$13:I$13))</f>
        <v>59703</v>
      </c>
      <c r="F6" s="3556">
        <f>SUMIF(项目基本情况!C$12:I$12,C6,项目基本情况!C$15:I$15)</f>
        <v>37.36</v>
      </c>
      <c r="G6" s="3557">
        <f t="shared" ref="G6:G13" si="0">IF(ISERROR(ROUND(POWER(1+H6,D6-F6)*(POWER(1+H6,F6)-1)/(POWER(1+H6,D6)-1),4)),0,ROUND(POWER(1+H6,D6-F6)*(POWER(1+H6,F6)-1)/(POWER(1+H6,D6)-1),4))</f>
        <v>0</v>
      </c>
      <c r="H6" s="3558"/>
      <c r="I6" s="3558">
        <v>0.04</v>
      </c>
      <c r="J6" s="3559"/>
      <c r="K6" s="4140">
        <f>SUMIF('数据-汇总表'!C$19:C$33,A6,'数据-汇总表'!E$19:E$33)</f>
        <v>262.77</v>
      </c>
      <c r="L6" s="4141">
        <v>2000</v>
      </c>
      <c r="M6" s="4142">
        <f t="shared" ref="M6:M14" si="1">ROUND(K6*L6/10000,0)</f>
        <v>53</v>
      </c>
      <c r="N6" s="3546">
        <v>0.6</v>
      </c>
      <c r="O6" s="4142" t="str">
        <f>IF($N$5="成新度","——",ROUND(M6*N6,0))</f>
        <v>——</v>
      </c>
      <c r="P6" s="3923" t="str">
        <f>IF($N$5="成新度","——",M6-O6)</f>
        <v>——</v>
      </c>
      <c r="Q6" s="3547">
        <v>0.15</v>
      </c>
      <c r="R6" s="4158">
        <f ca="1">SUMIF('数据-汇总表'!C$19:C$33,A6,'数据-汇总表'!R$19:R$27)</f>
        <v>623.5</v>
      </c>
      <c r="S6" s="4116">
        <f>IF('数据-汇总表'!$I$17="按面积比例",SUMIF('数据-汇总表'!C$19:C$33,A6,'数据-汇总表'!K$19:K$33),SUMIF('数据-汇总表'!C$19:C$33,A6,'数据-汇总表'!N$19:N$33))</f>
        <v>0</v>
      </c>
      <c r="T6" s="4159">
        <f>ROUND($L$14*S6/10000,0)</f>
        <v>0</v>
      </c>
      <c r="U6" s="4163">
        <f>'比较法-租金'!C49/U23</f>
        <v>52.285714285714292</v>
      </c>
      <c r="V6" s="36">
        <v>1.4999999999999999E-2</v>
      </c>
      <c r="W6" s="36">
        <v>0.15</v>
      </c>
      <c r="X6" s="721"/>
      <c r="Y6" s="37">
        <f>N6</f>
        <v>0.6</v>
      </c>
      <c r="Z6" s="4168"/>
      <c r="AA6" s="35"/>
      <c r="AB6" s="35"/>
      <c r="AC6" s="721"/>
      <c r="AD6" s="38"/>
      <c r="AE6" s="4172">
        <f ca="1">IF(AN6="",0,SUMIF(INDIRECT("'"&amp;AN6&amp;"'"&amp;"!E:E"),$AE$5,INDIRECT("'"&amp;AN6&amp;"'"&amp;"!F:F")))</f>
        <v>37.36</v>
      </c>
      <c r="AF6" s="4173"/>
      <c r="AG6" s="4174">
        <f>IF(AF6="",0,AE6-AF6)</f>
        <v>0</v>
      </c>
      <c r="AH6" s="4163">
        <f>'数据-汇总表'!F19</f>
        <v>262.77</v>
      </c>
      <c r="AI6" s="4177">
        <v>12</v>
      </c>
      <c r="AJ6" s="4173"/>
      <c r="AK6" s="39">
        <v>2E-3</v>
      </c>
      <c r="AL6" s="40">
        <v>1E-3</v>
      </c>
      <c r="AM6" s="41">
        <v>0.01</v>
      </c>
      <c r="AN6" s="1308" t="s">
        <v>4028</v>
      </c>
      <c r="AO6" s="4116">
        <f ca="1">SUMIF(INDIRECT("'"&amp;AN6&amp;"'"&amp;"!A:A"),"总价",INDIRECT("'"&amp;AN6&amp;"'"&amp;"!B:B"))</f>
        <v>347.15030000000002</v>
      </c>
      <c r="AP6" s="4116">
        <f>IF(C6="住宅",K6*L6,0)</f>
        <v>525540</v>
      </c>
      <c r="AQ6" s="4116">
        <f>ROUND($L$14*$N$14*S6/10000,0)</f>
        <v>0</v>
      </c>
      <c r="AR6" s="4116">
        <f>ROUND($L$14*(1-$N$14)*S6/10000,0)</f>
        <v>0</v>
      </c>
      <c r="AS6" s="4116">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t="str">
        <f t="shared" ref="O7:O14" si="3">IF($N$5="成新度","——",ROUND(M7*N7,0))</f>
        <v>——</v>
      </c>
      <c r="P7" s="3923" t="str">
        <f t="shared" ref="P7:P14" si="4">IF($N$5="成新度","——",M7-O7)</f>
        <v>——</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40">
        <f>SUMIF('数据-汇总表'!C$19:C$33,A8,'数据-汇总表'!E$19:E$33)</f>
        <v>0</v>
      </c>
      <c r="L8" s="4141"/>
      <c r="M8" s="4142">
        <f>ROUND(K8*L8/10000,0)</f>
        <v>0</v>
      </c>
      <c r="N8" s="3546"/>
      <c r="O8" s="4142" t="str">
        <f t="shared" si="3"/>
        <v>——</v>
      </c>
      <c r="P8" s="3923" t="str">
        <f t="shared" si="4"/>
        <v>——</v>
      </c>
      <c r="Q8" s="3547"/>
      <c r="R8" s="4158">
        <f ca="1">SUMIF('数据-汇总表'!C$19:C$33,A8,'数据-汇总表'!R$19:R$27)</f>
        <v>0</v>
      </c>
      <c r="S8" s="4116">
        <f>IF('数据-汇总表'!$I$17="按面积比例",SUMIF('数据-汇总表'!C$19:C$33,A8,'数据-汇总表'!K$19:K$33),SUMIF('数据-汇总表'!C$19:C$33,A8,'数据-汇总表'!N$19:N$33))</f>
        <v>0</v>
      </c>
      <c r="T8" s="4159">
        <f t="shared" si="5"/>
        <v>0</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0</v>
      </c>
      <c r="AR8" s="4116">
        <f t="shared" si="11"/>
        <v>0</v>
      </c>
      <c r="AS8" s="4116">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40">
        <f>SUMIF('数据-汇总表'!C$19:C$33,A9,'数据-汇总表'!E$19:E$33)</f>
        <v>0</v>
      </c>
      <c r="L9" s="4141"/>
      <c r="M9" s="4142">
        <f t="shared" si="1"/>
        <v>0</v>
      </c>
      <c r="N9" s="3546"/>
      <c r="O9" s="4142" t="str">
        <f t="shared" si="3"/>
        <v>——</v>
      </c>
      <c r="P9" s="3923" t="str">
        <f t="shared" si="4"/>
        <v>——</v>
      </c>
      <c r="Q9" s="3548"/>
      <c r="R9" s="4158">
        <f ca="1">SUMIF('数据-汇总表'!C$19:C$33,A9,'数据-汇总表'!R$19:R$27)</f>
        <v>0</v>
      </c>
      <c r="S9" s="4116">
        <f>IF('数据-汇总表'!$I$17="按面积比例",SUMIF('数据-汇总表'!C$19:C$33,A9,'数据-汇总表'!K$19:K$33),SUMIF('数据-汇总表'!C$19:C$33,A9,'数据-汇总表'!N$19:N$33))</f>
        <v>0</v>
      </c>
      <c r="T9" s="4159">
        <f t="shared" si="5"/>
        <v>0</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0</v>
      </c>
      <c r="AR9" s="4116">
        <f t="shared" si="11"/>
        <v>0</v>
      </c>
      <c r="AS9" s="4116">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t="str">
        <f t="shared" si="3"/>
        <v>——</v>
      </c>
      <c r="P10" s="3923" t="str">
        <f t="shared" si="4"/>
        <v>——</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t="str">
        <f t="shared" si="3"/>
        <v>——</v>
      </c>
      <c r="P11" s="3923" t="str">
        <f t="shared" si="4"/>
        <v>——</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t="str">
        <f t="shared" si="3"/>
        <v>——</v>
      </c>
      <c r="P12" s="3923" t="str">
        <f t="shared" si="4"/>
        <v>——</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t="str">
        <f t="shared" si="3"/>
        <v>——</v>
      </c>
      <c r="P13" s="3923" t="str">
        <f t="shared" si="4"/>
        <v>——</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1187</v>
      </c>
      <c r="B14" s="1306" t="s">
        <v>1188</v>
      </c>
      <c r="C14" s="1310" t="s">
        <v>1187</v>
      </c>
      <c r="D14" s="3554"/>
      <c r="E14" s="580"/>
      <c r="F14" s="3556"/>
      <c r="G14" s="3557"/>
      <c r="H14" s="3560"/>
      <c r="I14" s="3560"/>
      <c r="J14" s="3560"/>
      <c r="K14" s="4140">
        <f>SUMIF('数据-汇总表'!C$19:C$33,A14,'数据-汇总表'!E$19:E$33)</f>
        <v>0</v>
      </c>
      <c r="L14" s="4143"/>
      <c r="M14" s="4142">
        <f t="shared" si="1"/>
        <v>0</v>
      </c>
      <c r="N14" s="3549"/>
      <c r="O14" s="4142" t="str">
        <f t="shared" si="3"/>
        <v>——</v>
      </c>
      <c r="P14" s="3923" t="str">
        <f t="shared" si="4"/>
        <v>——</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1189</v>
      </c>
      <c r="B15" s="1306" t="s">
        <v>1188</v>
      </c>
      <c r="C15" s="1310" t="s">
        <v>1190</v>
      </c>
      <c r="D15" s="3554"/>
      <c r="E15" s="580"/>
      <c r="F15" s="3556"/>
      <c r="G15" s="3557"/>
      <c r="H15" s="3560"/>
      <c r="I15" s="3560"/>
      <c r="J15" s="3560"/>
      <c r="K15" s="4140">
        <f>SUMIF('数据-汇总表'!C$19:C$33,A15,'数据-汇总表'!E$19:E$33)</f>
        <v>0</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1191</v>
      </c>
      <c r="B16" s="45"/>
      <c r="C16" s="563"/>
      <c r="D16" s="3555"/>
      <c r="E16" s="45"/>
      <c r="F16" s="3561"/>
      <c r="G16" s="3562" t="e">
        <f>ROUND(SUMPRODUCT(G6:G13,K6:K13)/SUMPRODUCT((G6:G13&gt;0)*(K6:K13)),4)</f>
        <v>#DIV/0!</v>
      </c>
      <c r="H16" s="3563" t="e">
        <f>ROUND(SUMPRODUCT(H6:H13,K6:K13)/SUMPRODUCT((H6:H13&gt;0)*(K6:K13)),3)</f>
        <v>#DIV/0!</v>
      </c>
      <c r="I16" s="3564"/>
      <c r="J16" s="3564"/>
      <c r="K16" s="4144">
        <f>SUM(K6:K15)</f>
        <v>262.77</v>
      </c>
      <c r="L16" s="4145">
        <f>ROUND(M16*10000/SUM(K6:K14),0)</f>
        <v>2017</v>
      </c>
      <c r="M16" s="4145">
        <f>SUM(M6:M14)</f>
        <v>53</v>
      </c>
      <c r="N16" s="3552">
        <f>ROUND(SUMPRODUCT(M6:M14,N6:N14)/M16,3)</f>
        <v>0.6</v>
      </c>
      <c r="O16" s="4145">
        <f>SUM(O6:O14)</f>
        <v>0</v>
      </c>
      <c r="P16" s="4145">
        <f>SUM(P6:P14)</f>
        <v>0</v>
      </c>
      <c r="Q16" s="3553">
        <f>ROUND(SUMPRODUCT(Q6:Q13,K6:K13)/SUMPRODUCT((Q6:Q13&gt;0)*(K6:K13)),2)</f>
        <v>0.15</v>
      </c>
      <c r="R16" s="4160">
        <f ca="1">SUM(R6:R13)</f>
        <v>623.5</v>
      </c>
      <c r="S16" s="4161">
        <f>SUM(S6:S13)</f>
        <v>0</v>
      </c>
      <c r="T16" s="4162">
        <f>IF(SUMIF(T6:T13,"&lt;9E307")=M14,SUMIF(T6:T13,"&lt;9E307"),"有误，请检查")</f>
        <v>0</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1192</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4">
      <c r="A19" s="4194" t="s">
        <v>1193</v>
      </c>
      <c r="B19" s="4146">
        <v>0</v>
      </c>
      <c r="C19" s="4278" t="s">
        <v>2197</v>
      </c>
      <c r="D19" s="4274"/>
      <c r="E19" s="4275"/>
      <c r="F19" s="4275"/>
      <c r="G19" s="4275"/>
      <c r="H19" s="2106"/>
      <c r="I19" s="2106"/>
      <c r="J19" s="2106"/>
      <c r="K19" s="2105"/>
      <c r="L19" s="2105"/>
      <c r="M19" s="2104"/>
      <c r="N19" s="2104">
        <v>1994</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4">
      <c r="A20" s="1313" t="s">
        <v>1194</v>
      </c>
      <c r="B20" s="4147">
        <v>1</v>
      </c>
      <c r="C20" s="4276" t="s">
        <v>3849</v>
      </c>
      <c r="D20" s="4274"/>
      <c r="E20" s="4275"/>
      <c r="F20" s="4275"/>
      <c r="G20" s="4275"/>
      <c r="H20" s="2106"/>
      <c r="I20" s="2106"/>
      <c r="J20" s="2106"/>
      <c r="K20" s="2105"/>
      <c r="L20" s="2105"/>
      <c r="M20" s="2104"/>
      <c r="N20" s="2104">
        <f>ROUND(1-(1-2%)*(2026-N19)/50,2)</f>
        <v>0.37</v>
      </c>
      <c r="O20" s="2104">
        <v>0.3</v>
      </c>
      <c r="P20" s="2104"/>
      <c r="Q20" s="2104"/>
      <c r="R20" s="2104"/>
      <c r="S20" s="2104"/>
      <c r="T20" s="4649" t="s">
        <v>4105</v>
      </c>
      <c r="U20" s="2104">
        <v>262.77</v>
      </c>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4">
      <c r="A21" s="1314" t="s">
        <v>1195</v>
      </c>
      <c r="B21" s="4147"/>
      <c r="C21" s="2106"/>
      <c r="D21" s="2109"/>
      <c r="E21" s="2106"/>
      <c r="F21" s="2106"/>
      <c r="G21" s="2106"/>
      <c r="H21" s="2106"/>
      <c r="I21" s="2106"/>
      <c r="J21" s="2106"/>
      <c r="K21" s="2105"/>
      <c r="L21" s="2105"/>
      <c r="M21" s="2104"/>
      <c r="N21" s="2104">
        <v>0.7</v>
      </c>
      <c r="O21" s="2104">
        <f>1-O20</f>
        <v>0.7</v>
      </c>
      <c r="P21" s="2104"/>
      <c r="Q21" s="2104"/>
      <c r="R21" s="2104"/>
      <c r="S21" s="2104"/>
      <c r="T21" s="4649" t="s">
        <v>4106</v>
      </c>
      <c r="U21" s="2104">
        <v>115.28</v>
      </c>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4">
      <c r="A22" s="1313" t="s">
        <v>1196</v>
      </c>
      <c r="B22" s="4148">
        <f>B19+B20</f>
        <v>1</v>
      </c>
      <c r="C22" s="2106"/>
      <c r="D22" s="2109"/>
      <c r="E22" s="2106"/>
      <c r="F22" s="2106"/>
      <c r="G22" s="2106"/>
      <c r="H22" s="2106"/>
      <c r="I22" s="2106"/>
      <c r="J22" s="2106"/>
      <c r="K22" s="2105"/>
      <c r="L22" s="2105"/>
      <c r="M22" s="2104"/>
      <c r="N22" s="2104"/>
      <c r="O22" s="2104"/>
      <c r="P22" s="2104"/>
      <c r="Q22" s="2104"/>
      <c r="R22" s="2104"/>
      <c r="S22" s="2104"/>
      <c r="T22" s="2104"/>
      <c r="U22" s="2104">
        <f>U20+U21</f>
        <v>378.04999999999995</v>
      </c>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4">
      <c r="A23" s="1314" t="s">
        <v>1197</v>
      </c>
      <c r="B23" s="4148">
        <f>B19+B21</f>
        <v>0</v>
      </c>
      <c r="C23" s="2106"/>
      <c r="D23" s="2109"/>
      <c r="E23" s="2106"/>
      <c r="F23" s="2106"/>
      <c r="G23" s="2106"/>
      <c r="H23" s="2106"/>
      <c r="I23" s="2106"/>
      <c r="J23" s="2106"/>
      <c r="K23" s="2105"/>
      <c r="L23" s="2105"/>
      <c r="M23" s="2104"/>
      <c r="N23" s="4629">
        <f>N20*O20+N21*O21</f>
        <v>0.60099999999999998</v>
      </c>
      <c r="O23" s="2104"/>
      <c r="P23" s="2104"/>
      <c r="Q23" s="2104"/>
      <c r="R23" s="2104"/>
      <c r="S23" s="2104"/>
      <c r="T23" s="2104"/>
      <c r="U23" s="2104">
        <f>ROUND(U20/U22,2)</f>
        <v>0.7</v>
      </c>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1198</v>
      </c>
      <c r="B24" s="4149">
        <f>B20-B21</f>
        <v>1</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4.4" thickBot="1">
      <c r="A25" s="1163"/>
      <c r="B25" s="1281"/>
      <c r="C25" s="2106"/>
      <c r="D25" s="2109"/>
      <c r="E25" s="2106"/>
      <c r="F25" s="3906"/>
      <c r="G25" s="2106"/>
      <c r="H25" s="2106"/>
      <c r="I25" s="2106"/>
      <c r="J25" s="2106"/>
      <c r="K25" s="2105"/>
      <c r="L25" s="2105"/>
      <c r="M25" s="2104"/>
      <c r="N25" s="2104">
        <f>ROUND(1-(1-2%)*(2026-2011)/50,2)</f>
        <v>0.71</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1199</v>
      </c>
      <c r="B26" s="1316" t="s">
        <v>1200</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4">
      <c r="A27" s="1317" t="s">
        <v>1201</v>
      </c>
      <c r="B27" s="4150">
        <v>160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1202</v>
      </c>
      <c r="B28" s="4151"/>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1203</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1204</v>
      </c>
      <c r="B30" s="4153">
        <v>265</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1205</v>
      </c>
      <c r="B31" s="4148">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1206</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7" t="s">
        <v>3813</v>
      </c>
      <c r="B33" s="4261">
        <v>0.05</v>
      </c>
      <c r="C33" s="4315" t="s">
        <v>3841</v>
      </c>
      <c r="D33" s="4274"/>
      <c r="E33" s="4275"/>
      <c r="F33" s="4275"/>
      <c r="G33" s="4275"/>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1207</v>
      </c>
      <c r="B34" s="4262">
        <v>0.02</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1208</v>
      </c>
      <c r="B35" s="4263">
        <v>360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5" t="s">
        <v>3292</v>
      </c>
      <c r="B36" s="3565"/>
      <c r="C36" s="4316" t="s">
        <v>3844</v>
      </c>
      <c r="D36" s="4279"/>
      <c r="E36" s="4280"/>
      <c r="F36" s="4280"/>
      <c r="G36" s="4275"/>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4">
      <c r="A38" s="1321" t="s">
        <v>1209</v>
      </c>
      <c r="B38" s="3567">
        <v>1.4999999999999999E-2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4">
      <c r="A39" s="1319" t="s">
        <v>1210</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4">
      <c r="A40" s="1322" t="s">
        <v>1211</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4.4" thickBot="1">
      <c r="A41" s="2228" t="s">
        <v>2204</v>
      </c>
      <c r="B41" s="3569">
        <f ca="1">IF(A41="利息：取LPR",存贷款利率!G1,存贷款利率!G1+C41)</f>
        <v>0.03</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4">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4">
      <c r="A43" s="1323" t="s">
        <v>1212</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4">
      <c r="A44" s="1323" t="s">
        <v>1213</v>
      </c>
      <c r="B44" s="4260">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4">
      <c r="A45" s="1324" t="s">
        <v>1214</v>
      </c>
      <c r="B45" s="3571">
        <v>7.0000000000000007E-2</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4">
      <c r="A46" s="1324" t="s">
        <v>1215</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4">
      <c r="A47" s="1324" t="s">
        <v>1216</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1217</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4">
      <c r="A49" s="1326" t="s">
        <v>1218</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1219</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4">
      <c r="A51" s="1327" t="s">
        <v>1220</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1221</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4">
      <c r="A53" s="1327" t="s">
        <v>1222</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4">
      <c r="A54" s="1319" t="s">
        <v>1223</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4">
      <c r="A55" s="1328" t="s">
        <v>1224</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4">
      <c r="A56" s="1328" t="s">
        <v>1225</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4">
      <c r="A57" s="1328" t="s">
        <v>1226</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4">
      <c r="A58" s="1328" t="s">
        <v>1227</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4">
      <c r="A59" s="1328" t="s">
        <v>1228</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4">
      <c r="A60" s="1328" t="s">
        <v>1229</v>
      </c>
      <c r="B60" s="4155">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4">
      <c r="A61" s="1328" t="s">
        <v>1230</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4">
      <c r="A62" s="1328" t="s">
        <v>1231</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4">
      <c r="A63" s="1328" t="s">
        <v>1232</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1233</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53" t="s">
        <v>2189</v>
      </c>
      <c r="B1" s="4754"/>
      <c r="C1" s="4754"/>
      <c r="D1" s="4754"/>
      <c r="E1" s="4754"/>
      <c r="F1" s="4754"/>
      <c r="G1" s="4754"/>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7.200000000000003">
      <c r="A4" s="1929"/>
      <c r="B4" s="210" t="s">
        <v>2157</v>
      </c>
      <c r="C4" s="1955" t="s">
        <v>2158</v>
      </c>
      <c r="D4" s="1952"/>
      <c r="E4" s="1956"/>
      <c r="F4" s="980" t="s">
        <v>2159</v>
      </c>
      <c r="G4" s="1957" t="s">
        <v>2160</v>
      </c>
      <c r="H4" s="550"/>
      <c r="I4" s="550"/>
      <c r="J4" s="550"/>
      <c r="K4" s="550"/>
      <c r="L4" s="550"/>
      <c r="M4" s="550"/>
      <c r="N4" s="550"/>
      <c r="O4" s="550"/>
      <c r="P4" s="550"/>
      <c r="Q4" s="550"/>
      <c r="R4" s="550"/>
    </row>
    <row r="5" spans="1:29" ht="37.200000000000003">
      <c r="A5" s="1929"/>
      <c r="B5" s="210" t="s">
        <v>2161</v>
      </c>
      <c r="C5" s="1955" t="s">
        <v>2162</v>
      </c>
      <c r="D5" s="1952"/>
      <c r="E5" s="1956"/>
      <c r="F5" s="210" t="s">
        <v>2163</v>
      </c>
      <c r="G5" s="1957" t="s">
        <v>2164</v>
      </c>
      <c r="H5" s="550"/>
      <c r="I5" s="550"/>
      <c r="J5" s="550"/>
      <c r="K5" s="550"/>
      <c r="L5" s="550"/>
      <c r="M5" s="550"/>
      <c r="N5" s="550"/>
      <c r="O5" s="550"/>
      <c r="P5" s="550"/>
      <c r="Q5" s="550"/>
      <c r="R5" s="550"/>
    </row>
    <row r="6" spans="1:29" ht="48">
      <c r="A6" s="1929"/>
      <c r="B6" s="210" t="s">
        <v>2165</v>
      </c>
      <c r="C6" s="1957" t="s">
        <v>2160</v>
      </c>
      <c r="D6" s="1952"/>
      <c r="E6" s="1956"/>
      <c r="F6" s="210" t="s">
        <v>2166</v>
      </c>
      <c r="G6" s="1957" t="s">
        <v>2167</v>
      </c>
      <c r="H6" s="550"/>
      <c r="I6" s="550"/>
      <c r="J6" s="550"/>
      <c r="K6" s="550"/>
      <c r="L6" s="550"/>
      <c r="M6" s="550"/>
      <c r="N6" s="550"/>
      <c r="O6" s="550"/>
      <c r="P6" s="550"/>
      <c r="Q6" s="550"/>
      <c r="R6" s="550"/>
    </row>
    <row r="7" spans="1:29" ht="36.6"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ht="24">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4.4"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2190</v>
      </c>
      <c r="B13" s="1971"/>
      <c r="C13" s="1971"/>
      <c r="D13" s="1969"/>
      <c r="E13" s="1971"/>
      <c r="F13" s="1971"/>
      <c r="G13" s="1971"/>
    </row>
    <row r="14" spans="1:29" ht="14.4" thickBot="1">
      <c r="A14" s="1981"/>
      <c r="B14" s="1981"/>
      <c r="C14" s="1982" t="s">
        <v>2173</v>
      </c>
      <c r="D14" s="1952"/>
      <c r="E14" s="1983"/>
      <c r="F14" s="1983"/>
      <c r="G14" s="1947" t="s">
        <v>2174</v>
      </c>
    </row>
    <row r="15" spans="1:29" ht="52.8">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9.6">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9.6">
      <c r="A17" s="1933"/>
      <c r="B17" s="1987" t="s">
        <v>2161</v>
      </c>
      <c r="C17" s="1988" t="str">
        <f>C5</f>
        <v>估价对象位于XX商圈，周边办公楼项目较多，入驻率高，办公集聚程度较好</v>
      </c>
      <c r="D17" s="1958"/>
      <c r="E17" s="1934"/>
      <c r="F17" s="1989" t="s">
        <v>2178</v>
      </c>
      <c r="G17" s="1991"/>
    </row>
    <row r="18" spans="1:18" ht="52.8">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6.4">
      <c r="A19" s="1933"/>
      <c r="B19" s="1989" t="s">
        <v>2179</v>
      </c>
      <c r="C19" s="1991"/>
      <c r="D19" s="1952"/>
      <c r="E19" s="1934"/>
      <c r="F19" s="210" t="s">
        <v>2163</v>
      </c>
      <c r="G19" s="1990" t="str">
        <f>G5</f>
        <v>估价对象所在区域公共配套设施齐备情况</v>
      </c>
    </row>
    <row r="20" spans="1:18" ht="26.4">
      <c r="A20" s="1933"/>
      <c r="B20" s="1989" t="s">
        <v>2180</v>
      </c>
      <c r="C20" s="1988" t="str">
        <f>C9</f>
        <v>区域自然环境：；人文环境；综合评价环境状况一般</v>
      </c>
      <c r="D20" s="1958"/>
      <c r="E20" s="1934"/>
      <c r="F20" s="210" t="s">
        <v>2166</v>
      </c>
      <c r="G20" s="1990" t="str">
        <f>G6</f>
        <v>估价对象所在区域基础设施水平</v>
      </c>
    </row>
    <row r="21" spans="1:18" ht="26.4">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4.4"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4.4"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G33" sqref="G33"/>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11">
        <f>SUM(B14:B23)</f>
        <v>262.77</v>
      </c>
      <c r="C1" s="2117"/>
      <c r="D1" s="2117"/>
      <c r="E1" s="2117"/>
      <c r="F1" s="2117"/>
      <c r="G1" s="2118"/>
      <c r="H1" s="2119"/>
      <c r="I1" s="2119"/>
      <c r="J1" s="2119"/>
      <c r="K1" s="2119"/>
    </row>
    <row r="2" spans="1:11" ht="16.2">
      <c r="A2" s="1999" t="s">
        <v>641</v>
      </c>
      <c r="B2" s="3911">
        <f>SUM(C14:C23)</f>
        <v>0</v>
      </c>
      <c r="C2" s="2117"/>
      <c r="D2" s="2117"/>
      <c r="E2" s="2117"/>
      <c r="F2" s="2117"/>
      <c r="G2" s="2118"/>
      <c r="H2" s="2119"/>
      <c r="I2" s="2119"/>
      <c r="J2" s="2119"/>
      <c r="K2" s="2119"/>
    </row>
    <row r="3" spans="1:11" ht="15.6">
      <c r="A3" s="1999" t="s">
        <v>650</v>
      </c>
      <c r="B3" s="2001">
        <f>项目基本情况!D3</f>
        <v>46063</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11">
        <f ca="1">SUM(D14:D23)</f>
        <v>611</v>
      </c>
      <c r="C5" s="3911">
        <f ca="1">ROUND(B5*10000/$B$1,0)</f>
        <v>23252</v>
      </c>
      <c r="D5" s="3911" t="e">
        <f ca="1">ROUND(B5*10000/$B$2,0)</f>
        <v>#DIV/0!</v>
      </c>
      <c r="E5" s="2117"/>
      <c r="F5" s="2118"/>
      <c r="G5" s="2118"/>
      <c r="H5" s="2119"/>
      <c r="I5" s="2119"/>
      <c r="J5" s="2119"/>
      <c r="K5" s="2119"/>
    </row>
    <row r="6" spans="1:11" ht="15.6">
      <c r="A6" s="1999" t="s">
        <v>644</v>
      </c>
      <c r="B6" s="3911">
        <f>SUM(G14:G23)</f>
        <v>0</v>
      </c>
      <c r="C6" s="3911">
        <f>ROUND(B6*10000/$B$1,0)</f>
        <v>0</v>
      </c>
      <c r="D6" s="3911" t="e">
        <f>ROUND(B6*10000/$B$2,0)</f>
        <v>#DIV/0!</v>
      </c>
      <c r="E6" s="2117"/>
      <c r="F6" s="2118"/>
      <c r="G6" s="2118"/>
      <c r="H6" s="2119"/>
      <c r="I6" s="2119"/>
      <c r="J6" s="2119"/>
      <c r="K6" s="2119"/>
    </row>
    <row r="7" spans="1:11" ht="15.6">
      <c r="A7" s="1999" t="s">
        <v>652</v>
      </c>
      <c r="B7" s="3911">
        <f>SUM(H14:H23)</f>
        <v>0</v>
      </c>
      <c r="C7" s="3911" t="str">
        <f>IF(B7=H14,结果表!H110,ROUND(B7*10000/$B$1,0))</f>
        <v>——</v>
      </c>
      <c r="D7" s="3911" t="e">
        <f>ROUND(B7*10000/$B$2,0)</f>
        <v>#DIV/0!</v>
      </c>
      <c r="E7" s="2117"/>
      <c r="F7" s="2118"/>
      <c r="G7" s="2118"/>
      <c r="H7" s="2119"/>
      <c r="I7" s="2119"/>
      <c r="J7" s="2119"/>
      <c r="K7" s="2119"/>
    </row>
    <row r="8" spans="1:11" ht="15.6">
      <c r="A8" s="1999" t="s">
        <v>581</v>
      </c>
      <c r="B8" s="3911">
        <f>SUM(I14:I23)</f>
        <v>0</v>
      </c>
      <c r="C8" s="3911" t="str">
        <f>IF(B8=I14,结果表!H112,ROUND(B8*10000/$B$1,0))</f>
        <v>——</v>
      </c>
      <c r="D8" s="3911"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11">
        <f>IF(E10="",0,ROUND(B1*(E10*365/G10)/10000,0))</f>
        <v>0</v>
      </c>
      <c r="C10" s="1999" t="s">
        <v>3241</v>
      </c>
      <c r="D10" s="1999" t="s">
        <v>3242</v>
      </c>
      <c r="E10" s="3912"/>
      <c r="F10" s="2712" t="s">
        <v>3243</v>
      </c>
      <c r="G10" s="3913"/>
      <c r="H10" s="2119"/>
      <c r="I10" s="2119"/>
      <c r="J10" s="2119"/>
      <c r="K10" s="2119"/>
    </row>
    <row r="11" spans="1:11" ht="15.6">
      <c r="A11" s="1999" t="s">
        <v>658</v>
      </c>
      <c r="B11" s="3910"/>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7">
        <f>'数据-汇总表'!F19</f>
        <v>262.77</v>
      </c>
      <c r="C14" s="3907"/>
      <c r="D14" s="3907">
        <f ca="1">结果表!G19</f>
        <v>611</v>
      </c>
      <c r="E14" s="3907">
        <f ca="1">结果表!G20</f>
        <v>23255</v>
      </c>
      <c r="F14" s="3907" t="e">
        <f ca="1">ROUND(D14*10000/C14,0)</f>
        <v>#DIV/0!</v>
      </c>
      <c r="G14" s="3907"/>
      <c r="H14" s="3907"/>
      <c r="I14" s="3907"/>
      <c r="J14" s="2118"/>
      <c r="K14" s="2119"/>
    </row>
    <row r="15" spans="1:11" ht="15.6">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5.6">
      <c r="A16" s="2004" t="s">
        <v>636</v>
      </c>
      <c r="B16" s="3908"/>
      <c r="C16" s="3908"/>
      <c r="D16" s="3908"/>
      <c r="E16" s="3907" t="e">
        <f t="shared" si="0"/>
        <v>#DIV/0!</v>
      </c>
      <c r="F16" s="3907" t="e">
        <f t="shared" si="1"/>
        <v>#DIV/0!</v>
      </c>
      <c r="G16" s="3909"/>
      <c r="H16" s="3909"/>
      <c r="I16" s="3908"/>
      <c r="J16" s="2119"/>
      <c r="K16" s="2119"/>
    </row>
    <row r="17" spans="1:11" ht="15.6">
      <c r="A17" s="2004" t="s">
        <v>635</v>
      </c>
      <c r="B17" s="3908"/>
      <c r="C17" s="3908"/>
      <c r="D17" s="3908"/>
      <c r="E17" s="3907" t="e">
        <f t="shared" si="0"/>
        <v>#DIV/0!</v>
      </c>
      <c r="F17" s="3907" t="e">
        <f t="shared" si="1"/>
        <v>#DIV/0!</v>
      </c>
      <c r="G17" s="3909"/>
      <c r="H17" s="3909"/>
      <c r="I17" s="3908"/>
      <c r="J17" s="2119"/>
      <c r="K17" s="2119"/>
    </row>
    <row r="18" spans="1:11" ht="15.6">
      <c r="A18" s="2004" t="s">
        <v>634</v>
      </c>
      <c r="B18" s="3908"/>
      <c r="C18" s="3908"/>
      <c r="D18" s="3908"/>
      <c r="E18" s="3907" t="e">
        <f t="shared" si="0"/>
        <v>#DIV/0!</v>
      </c>
      <c r="F18" s="3907" t="e">
        <f t="shared" si="1"/>
        <v>#DIV/0!</v>
      </c>
      <c r="G18" s="3908"/>
      <c r="H18" s="3908"/>
      <c r="I18" s="3908"/>
      <c r="J18" s="2119"/>
      <c r="K18" s="2119"/>
    </row>
    <row r="19" spans="1:11" ht="15.6">
      <c r="A19" s="2004" t="s">
        <v>633</v>
      </c>
      <c r="B19" s="3908"/>
      <c r="C19" s="3908"/>
      <c r="D19" s="3908"/>
      <c r="E19" s="3907" t="e">
        <f t="shared" si="0"/>
        <v>#DIV/0!</v>
      </c>
      <c r="F19" s="3907" t="e">
        <f t="shared" si="1"/>
        <v>#DIV/0!</v>
      </c>
      <c r="G19" s="3908"/>
      <c r="H19" s="3908"/>
      <c r="I19" s="3908"/>
      <c r="J19" s="2119"/>
      <c r="K19" s="2119"/>
    </row>
    <row r="20" spans="1:11" ht="15.6">
      <c r="A20" s="2004" t="s">
        <v>632</v>
      </c>
      <c r="B20" s="3908"/>
      <c r="C20" s="3908"/>
      <c r="D20" s="3908"/>
      <c r="E20" s="3907" t="e">
        <f t="shared" si="0"/>
        <v>#DIV/0!</v>
      </c>
      <c r="F20" s="3907" t="e">
        <f t="shared" si="1"/>
        <v>#DIV/0!</v>
      </c>
      <c r="G20" s="3908"/>
      <c r="H20" s="3908"/>
      <c r="I20" s="3908"/>
      <c r="J20" s="2119"/>
      <c r="K20" s="2119"/>
    </row>
    <row r="21" spans="1:11" ht="15.6">
      <c r="A21" s="2004" t="s">
        <v>631</v>
      </c>
      <c r="B21" s="3908"/>
      <c r="C21" s="3908"/>
      <c r="D21" s="3908"/>
      <c r="E21" s="3907" t="e">
        <f t="shared" si="0"/>
        <v>#DIV/0!</v>
      </c>
      <c r="F21" s="3907" t="e">
        <f t="shared" si="1"/>
        <v>#DIV/0!</v>
      </c>
      <c r="G21" s="3908"/>
      <c r="H21" s="3908"/>
      <c r="I21" s="3908"/>
      <c r="J21" s="2119"/>
      <c r="K21" s="2119"/>
    </row>
    <row r="22" spans="1:11" ht="15.6">
      <c r="A22" s="2004" t="s">
        <v>630</v>
      </c>
      <c r="B22" s="3908"/>
      <c r="C22" s="3908"/>
      <c r="D22" s="3908"/>
      <c r="E22" s="3907" t="e">
        <f t="shared" si="0"/>
        <v>#DIV/0!</v>
      </c>
      <c r="F22" s="3907" t="e">
        <f t="shared" si="1"/>
        <v>#DIV/0!</v>
      </c>
      <c r="G22" s="3908"/>
      <c r="H22" s="3908"/>
      <c r="I22" s="3908"/>
      <c r="J22" s="2119"/>
      <c r="K22" s="2119"/>
    </row>
    <row r="23" spans="1:11" ht="15.6">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1239</v>
      </c>
      <c r="B1" s="1336"/>
      <c r="C1" s="1337" t="s">
        <v>3271</v>
      </c>
      <c r="D1" s="1336"/>
      <c r="E1" s="1336"/>
      <c r="F1" s="1338" t="s">
        <v>1240</v>
      </c>
      <c r="G1" s="1167"/>
      <c r="H1" s="1339" t="str">
        <f>IF(G1="现房","——","估价对象范围")</f>
        <v>估价对象范围</v>
      </c>
      <c r="I1" s="1340"/>
    </row>
    <row r="2" spans="1:12" ht="21.75" customHeight="1" thickBot="1">
      <c r="A2" s="4837" t="str">
        <f>项目基本情况!S2</f>
        <v>北京市房地产</v>
      </c>
      <c r="B2" s="4838"/>
      <c r="C2" s="4838"/>
      <c r="D2" s="4838"/>
      <c r="E2" s="4838"/>
      <c r="F2" s="4838"/>
      <c r="G2" s="4838"/>
      <c r="H2" s="4838"/>
      <c r="I2" s="4839"/>
    </row>
    <row r="3" spans="1:12" ht="13.2">
      <c r="A3" s="4841" t="s">
        <v>1241</v>
      </c>
      <c r="B3" s="4842"/>
      <c r="C3" s="4842"/>
      <c r="D3" s="4842"/>
      <c r="E3" s="4842"/>
      <c r="F3" s="4842"/>
      <c r="G3" s="4842"/>
      <c r="H3" s="4842"/>
      <c r="I3" s="4842"/>
    </row>
    <row r="4" spans="1:12" ht="14.4">
      <c r="A4" s="1343" t="s">
        <v>1242</v>
      </c>
      <c r="B4" s="1344" t="s">
        <v>1243</v>
      </c>
      <c r="C4" s="3816" t="s">
        <v>4121</v>
      </c>
      <c r="D4" s="3816" t="s">
        <v>4107</v>
      </c>
      <c r="E4" s="4843" t="s">
        <v>1244</v>
      </c>
      <c r="F4" s="4844"/>
      <c r="G4" s="4844"/>
      <c r="H4" s="4844"/>
      <c r="I4" s="4845"/>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成本法</v>
      </c>
    </row>
    <row r="5" spans="1:12" ht="13.2">
      <c r="A5" s="4778" t="s">
        <v>1245</v>
      </c>
      <c r="B5" s="4840">
        <v>25</v>
      </c>
      <c r="C5" s="4821">
        <v>8</v>
      </c>
      <c r="D5" s="4816">
        <f>10-C5</f>
        <v>2</v>
      </c>
      <c r="E5" s="53" t="s">
        <v>1246</v>
      </c>
      <c r="F5" s="1345"/>
      <c r="G5" s="1345"/>
      <c r="H5" s="1345"/>
      <c r="I5" s="980"/>
    </row>
    <row r="6" spans="1:12" ht="13.2">
      <c r="A6" s="4778"/>
      <c r="B6" s="4840"/>
      <c r="C6" s="4822"/>
      <c r="D6" s="4816"/>
      <c r="E6" s="53" t="s">
        <v>1247</v>
      </c>
      <c r="F6" s="1345"/>
      <c r="G6" s="1345"/>
      <c r="H6" s="1345"/>
      <c r="I6" s="980"/>
    </row>
    <row r="7" spans="1:12" ht="13.2">
      <c r="A7" s="4778"/>
      <c r="B7" s="4840"/>
      <c r="C7" s="4823"/>
      <c r="D7" s="4816"/>
      <c r="E7" s="53" t="s">
        <v>1248</v>
      </c>
      <c r="F7" s="1345"/>
      <c r="G7" s="1345"/>
      <c r="H7" s="1345"/>
      <c r="I7" s="980"/>
    </row>
    <row r="8" spans="1:12" ht="13.2">
      <c r="A8" s="4778" t="s">
        <v>1249</v>
      </c>
      <c r="B8" s="4840">
        <v>15</v>
      </c>
      <c r="C8" s="4821"/>
      <c r="D8" s="4816"/>
      <c r="E8" s="53" t="s">
        <v>1250</v>
      </c>
      <c r="F8" s="1345"/>
      <c r="G8" s="1345"/>
      <c r="H8" s="1345"/>
      <c r="I8" s="980"/>
    </row>
    <row r="9" spans="1:12" ht="13.2">
      <c r="A9" s="4778"/>
      <c r="B9" s="4840"/>
      <c r="C9" s="4823"/>
      <c r="D9" s="4816"/>
      <c r="E9" s="53" t="s">
        <v>1251</v>
      </c>
      <c r="F9" s="1345"/>
      <c r="G9" s="1345"/>
      <c r="H9" s="1345"/>
      <c r="I9" s="980"/>
    </row>
    <row r="10" spans="1:12" ht="13.2">
      <c r="A10" s="4778" t="s">
        <v>1252</v>
      </c>
      <c r="B10" s="4840">
        <v>15</v>
      </c>
      <c r="C10" s="4821"/>
      <c r="D10" s="4816"/>
      <c r="E10" s="53" t="s">
        <v>1253</v>
      </c>
      <c r="F10" s="1345"/>
      <c r="G10" s="1345"/>
      <c r="H10" s="1345"/>
      <c r="I10" s="980"/>
    </row>
    <row r="11" spans="1:12" ht="13.2">
      <c r="A11" s="4778"/>
      <c r="B11" s="4840"/>
      <c r="C11" s="4823"/>
      <c r="D11" s="4816"/>
      <c r="E11" s="53" t="s">
        <v>1254</v>
      </c>
      <c r="F11" s="1345"/>
      <c r="G11" s="1345"/>
      <c r="H11" s="1345"/>
      <c r="I11" s="980"/>
    </row>
    <row r="12" spans="1:12" ht="13.2">
      <c r="A12" s="4778" t="s">
        <v>1255</v>
      </c>
      <c r="B12" s="4840">
        <v>15</v>
      </c>
      <c r="C12" s="4821"/>
      <c r="D12" s="4816"/>
      <c r="E12" s="53" t="s">
        <v>1256</v>
      </c>
      <c r="F12" s="1345"/>
      <c r="G12" s="1345"/>
      <c r="H12" s="1345"/>
      <c r="I12" s="980"/>
    </row>
    <row r="13" spans="1:12" ht="13.2">
      <c r="A13" s="4778"/>
      <c r="B13" s="4840"/>
      <c r="C13" s="4823"/>
      <c r="D13" s="4816"/>
      <c r="E13" s="53" t="s">
        <v>1257</v>
      </c>
      <c r="F13" s="1345"/>
      <c r="G13" s="1345"/>
      <c r="H13" s="1345"/>
      <c r="I13" s="980"/>
    </row>
    <row r="14" spans="1:12" ht="13.2">
      <c r="A14" s="4778" t="s">
        <v>1258</v>
      </c>
      <c r="B14" s="4840">
        <v>30</v>
      </c>
      <c r="C14" s="4821"/>
      <c r="D14" s="4816"/>
      <c r="E14" s="53" t="s">
        <v>1259</v>
      </c>
      <c r="F14" s="1345"/>
      <c r="G14" s="1345"/>
      <c r="H14" s="1345"/>
      <c r="I14" s="980"/>
    </row>
    <row r="15" spans="1:12" ht="13.2">
      <c r="A15" s="4778"/>
      <c r="B15" s="4840"/>
      <c r="C15" s="4822"/>
      <c r="D15" s="4816"/>
      <c r="E15" s="53" t="s">
        <v>1260</v>
      </c>
      <c r="F15" s="1345"/>
      <c r="G15" s="1345"/>
      <c r="H15" s="1345"/>
      <c r="I15" s="980"/>
    </row>
    <row r="16" spans="1:12" ht="13.2">
      <c r="A16" s="4778"/>
      <c r="B16" s="4840"/>
      <c r="C16" s="4823"/>
      <c r="D16" s="4816"/>
      <c r="E16" s="53" t="s">
        <v>1261</v>
      </c>
      <c r="F16" s="1345"/>
      <c r="G16" s="1345"/>
      <c r="H16" s="1345"/>
      <c r="I16" s="980"/>
    </row>
    <row r="17" spans="1:36" ht="14.4">
      <c r="A17" s="1346" t="s">
        <v>1262</v>
      </c>
      <c r="B17" s="3815"/>
      <c r="C17" s="3914">
        <f>SUM(C5:C16)</f>
        <v>8</v>
      </c>
      <c r="D17" s="3914">
        <f>SUM(D5:D16)</f>
        <v>2</v>
      </c>
      <c r="E17" s="51"/>
      <c r="F17" s="51"/>
      <c r="G17" s="51"/>
      <c r="H17" s="51"/>
      <c r="I17" s="51"/>
      <c r="K17" s="190"/>
      <c r="L17" s="190" t="s">
        <v>1263</v>
      </c>
      <c r="M17" s="190" t="s">
        <v>1264</v>
      </c>
    </row>
    <row r="18" spans="1:36" ht="31.95" customHeight="1" thickBot="1">
      <c r="A18" s="1347" t="s">
        <v>1265</v>
      </c>
      <c r="B18" s="1348"/>
      <c r="C18" s="3915">
        <f>ROUND(C17/SUM(C17:D17),2)</f>
        <v>0.8</v>
      </c>
      <c r="D18" s="3915">
        <f>1-C18</f>
        <v>0.19999999999999996</v>
      </c>
      <c r="E18" s="4828" t="s">
        <v>2034</v>
      </c>
      <c r="F18" s="4829"/>
      <c r="G18" s="4829"/>
      <c r="H18" s="4829"/>
      <c r="I18" s="4829"/>
      <c r="K18" s="190" t="s">
        <v>1266</v>
      </c>
      <c r="L18" s="3926">
        <f>IF(C1="",'数据-汇总表'!E3,SUMIF(项目类型,C1,'数据-汇总表'!E17:E26)+SUMIF(项目类型,C1,'数据-汇总表'!I17:I26))</f>
        <v>262.77</v>
      </c>
      <c r="M18" s="3926">
        <f>IF(C1="",'数据-汇总表'!E3,SUMIF(项目类型,C1,'数据-汇总表'!E17:E26))</f>
        <v>262.77</v>
      </c>
    </row>
    <row r="19" spans="1:36" ht="14.4">
      <c r="A19" s="1349" t="s">
        <v>1267</v>
      </c>
      <c r="B19" s="1350" t="s">
        <v>1268</v>
      </c>
      <c r="C19" s="3916">
        <f ca="1">SUMIF(INDIRECT("'"&amp;C4&amp;"'"&amp;"!A:A"),结果表!B19,INDIRECT("'"&amp;C4&amp;"'"&amp;"!B:B"))</f>
        <v>635.98220000000003</v>
      </c>
      <c r="D19" s="3917">
        <f ca="1">SUMIF(INDIRECT("'"&amp;D4&amp;"'"&amp;"!A:A"),结果表!B19,INDIRECT("'"&amp;D4&amp;"'"&amp;"!B:B"))</f>
        <v>511.4837</v>
      </c>
      <c r="E19" s="1349" t="s">
        <v>1269</v>
      </c>
      <c r="F19" s="1350" t="s">
        <v>1268</v>
      </c>
      <c r="G19" s="3922">
        <f ca="1">ROUND(C19*$C$18+D19*$D$18,0)</f>
        <v>611</v>
      </c>
      <c r="H19" s="1351" t="s">
        <v>1270</v>
      </c>
      <c r="I19" s="3925">
        <f ca="1">ROUND(C19*$C$18+D19*$D$18,4)</f>
        <v>611.08249999999998</v>
      </c>
      <c r="K19" s="190" t="s">
        <v>1271</v>
      </c>
      <c r="L19" s="3926">
        <f>IF(C1="",'数据-汇总表'!D3,SUMIF(项目类型,C1,'数据-汇总表'!D17:D26)+SUMIF(项目类型,C1,'数据-汇总表'!H17:H27))</f>
        <v>623.5</v>
      </c>
      <c r="M19" s="3926">
        <f>IF(C1="",'数据-汇总表'!D3,SUMIF(项目类型,C1,'数据-汇总表'!D17:D26))</f>
        <v>623.5</v>
      </c>
    </row>
    <row r="20" spans="1:36" ht="14.4">
      <c r="A20" s="1352"/>
      <c r="B20" s="714" t="s">
        <v>1272</v>
      </c>
      <c r="C20" s="3918">
        <f ca="1">SUMIF(INDIRECT("'"&amp;C4&amp;"'"&amp;"!A:A"),结果表!B20,INDIRECT("'"&amp;C4&amp;"'"&amp;"!B:B"))</f>
        <v>24203</v>
      </c>
      <c r="D20" s="3919">
        <f ca="1">SUMIF(INDIRECT("'"&amp;D4&amp;"'"&amp;"!A:A"),结果表!B20,INDIRECT("'"&amp;D4&amp;"'"&amp;"!B:B"))</f>
        <v>19465</v>
      </c>
      <c r="E20" s="1352"/>
      <c r="F20" s="714" t="s">
        <v>1272</v>
      </c>
      <c r="G20" s="3923">
        <f ca="1">ROUND(C20*$C$18+D20*$D$18,0)</f>
        <v>23255</v>
      </c>
      <c r="H20" s="556" t="s">
        <v>1273</v>
      </c>
      <c r="I20" s="51"/>
    </row>
    <row r="21" spans="1:36" ht="15" customHeight="1" thickBot="1">
      <c r="A21" s="562"/>
      <c r="B21" s="3646" t="s">
        <v>3627</v>
      </c>
      <c r="C21" s="3920">
        <f ca="1">SUMIF(INDIRECT("'"&amp;C4&amp;"'"&amp;"!A:A"),结果表!B21,INDIRECT("'"&amp;C4&amp;"'"&amp;"!B:B"))</f>
        <v>0</v>
      </c>
      <c r="D21" s="3921">
        <f ca="1">SUMIF(INDIRECT("'"&amp;D4&amp;"'"&amp;"!A:A"),结果表!B21,INDIRECT("'"&amp;D4&amp;"'"&amp;"!B:B"))</f>
        <v>0</v>
      </c>
      <c r="E21" s="1352"/>
      <c r="F21" s="806" t="s">
        <v>1274</v>
      </c>
      <c r="G21" s="3923">
        <f ca="1">ROUND(C21*$C$18+D21*$D$18,0)</f>
        <v>0</v>
      </c>
      <c r="H21" s="556" t="s">
        <v>1273</v>
      </c>
      <c r="I21" s="51"/>
    </row>
    <row r="22" spans="1:36" ht="15" thickBot="1">
      <c r="A22" s="1282" t="s">
        <v>1275</v>
      </c>
      <c r="B22" s="1353"/>
      <c r="C22" s="2822"/>
      <c r="D22" s="4234">
        <f ca="1">IF(C19&lt;D19,D19/C19-1,C19/D19-1)</f>
        <v>0.24340658363111078</v>
      </c>
      <c r="E22" s="3637"/>
      <c r="F22" s="3639"/>
      <c r="G22" s="3924">
        <f ca="1">ROUND(G19/('数据-汇总表'!D3/666.67),0)</f>
        <v>653</v>
      </c>
      <c r="H22" s="3638" t="s">
        <v>3625</v>
      </c>
      <c r="I22" s="51"/>
    </row>
    <row r="23" spans="1:36" ht="13.8" thickBot="1">
      <c r="A23" s="1336"/>
      <c r="B23" s="1336"/>
      <c r="C23" s="1336"/>
      <c r="D23" s="1336"/>
      <c r="E23" s="51"/>
      <c r="F23" s="51"/>
      <c r="G23" s="51"/>
      <c r="H23" s="51"/>
      <c r="I23" s="51"/>
    </row>
    <row r="24" spans="1:36" ht="14.4">
      <c r="A24" s="4861" t="s">
        <v>1276</v>
      </c>
      <c r="B24" s="1350" t="s">
        <v>1268</v>
      </c>
      <c r="C24" s="3922">
        <f>IF(B30=0,0,D30)</f>
        <v>0</v>
      </c>
      <c r="D24" s="3927"/>
      <c r="E24" s="51"/>
      <c r="F24" s="51"/>
      <c r="G24" s="51"/>
      <c r="H24" s="51"/>
      <c r="I24" s="51"/>
    </row>
    <row r="25" spans="1:36" ht="14.4">
      <c r="A25" s="4862"/>
      <c r="B25" s="3647" t="s">
        <v>3628</v>
      </c>
      <c r="C25" s="3928">
        <f>IF(B30=0,0,C30)</f>
        <v>0</v>
      </c>
      <c r="D25" s="3929"/>
      <c r="E25" s="51"/>
      <c r="F25" s="51"/>
      <c r="G25" s="51"/>
      <c r="H25" s="51"/>
      <c r="I25" s="51"/>
    </row>
    <row r="26" spans="1:36" ht="13.5" customHeight="1">
      <c r="A26" s="1354" t="s">
        <v>1277</v>
      </c>
      <c r="B26" s="57" t="s">
        <v>1278</v>
      </c>
      <c r="C26" s="57" t="s">
        <v>1279</v>
      </c>
      <c r="D26" s="58" t="s">
        <v>1280</v>
      </c>
      <c r="E26" s="51"/>
      <c r="F26" s="51"/>
      <c r="G26" s="51"/>
      <c r="H26" s="51"/>
      <c r="I26" s="51"/>
    </row>
    <row r="27" spans="1:36" ht="13.8">
      <c r="A27" s="3930"/>
      <c r="B27" s="3931">
        <v>0</v>
      </c>
      <c r="C27" s="3931">
        <v>0</v>
      </c>
      <c r="D27" s="3932">
        <f>ROUND(C27*B27/10000,0)</f>
        <v>0</v>
      </c>
      <c r="E27" s="51"/>
      <c r="F27" s="51"/>
      <c r="G27" s="51"/>
      <c r="H27" s="51"/>
      <c r="I27" s="51"/>
    </row>
    <row r="28" spans="1:36" ht="13.8">
      <c r="A28" s="3930"/>
      <c r="B28" s="3931"/>
      <c r="C28" s="3931"/>
      <c r="D28" s="3932"/>
      <c r="E28" s="51"/>
      <c r="F28" s="51"/>
      <c r="G28" s="51"/>
      <c r="H28" s="51"/>
      <c r="I28" s="51"/>
    </row>
    <row r="29" spans="1:36" ht="13.8">
      <c r="A29" s="3930"/>
      <c r="B29" s="3931"/>
      <c r="C29" s="3931"/>
      <c r="D29" s="3932"/>
      <c r="E29" s="51"/>
      <c r="F29" s="51"/>
      <c r="G29" s="51"/>
      <c r="H29" s="51"/>
      <c r="I29" s="51"/>
    </row>
    <row r="30" spans="1:36" ht="15" thickBot="1">
      <c r="A30" s="57" t="s">
        <v>1281</v>
      </c>
      <c r="B30" s="3931"/>
      <c r="C30" s="3931"/>
      <c r="D30" s="3931"/>
      <c r="E30" s="1809" t="s">
        <v>2035</v>
      </c>
      <c r="F30" s="51"/>
      <c r="G30" s="51"/>
      <c r="H30" s="51"/>
      <c r="I30" s="51"/>
    </row>
    <row r="31" spans="1:36" s="1815" customFormat="1" ht="26.4"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1282</v>
      </c>
      <c r="B32" s="1357"/>
      <c r="C32" s="3933">
        <f ca="1">IF(D32="总价",G19-C24,G20-C25)</f>
        <v>23255</v>
      </c>
      <c r="D32" s="1358"/>
      <c r="E32" s="51"/>
      <c r="F32" s="51"/>
      <c r="G32" s="51"/>
      <c r="H32" s="51"/>
      <c r="I32" s="51"/>
    </row>
    <row r="33" spans="1:19" ht="14.4">
      <c r="A33" s="543" t="s">
        <v>1283</v>
      </c>
      <c r="B33" s="1359"/>
      <c r="C33" s="1360"/>
      <c r="D33" s="1361"/>
      <c r="E33" s="1362" t="s">
        <v>1284</v>
      </c>
      <c r="F33" s="1363" t="str">
        <f>IF(D32="楼面单价","取值（单价）","取值（总价）")</f>
        <v>取值（总价）</v>
      </c>
      <c r="G33" s="51"/>
      <c r="H33" s="51"/>
      <c r="I33" s="51"/>
    </row>
    <row r="34" spans="1:19" ht="14.4">
      <c r="A34" s="1364"/>
      <c r="B34" s="1365" t="s">
        <v>1285</v>
      </c>
      <c r="C34" s="3934" t="e">
        <f ca="1">IF(C33="自定义",F34,C32-C35)</f>
        <v>#REF!</v>
      </c>
      <c r="D34" s="4235" t="e">
        <f ca="1">IF(C33="自定义",ROUND(C34/C32,3),IF(C33="收益比率",SUMIF(INDIRECT("'"&amp;D33&amp;"'"&amp;"!b:b"),"土地收益比率",INDIRECT("'"&amp;D33&amp;"'"&amp;"!c:c")),SUMIF(INDIRECT("'"&amp;D33&amp;"'"&amp;"!b:b"),"土地成本比率",INDIRECT("'"&amp;D33&amp;"'"&amp;"!c:c"))))</f>
        <v>#REF!</v>
      </c>
      <c r="E34" s="1366" t="s">
        <v>1286</v>
      </c>
      <c r="F34" s="3936"/>
      <c r="G34" s="51"/>
      <c r="H34" s="51"/>
      <c r="I34" s="51"/>
    </row>
    <row r="35" spans="1:19" ht="15" thickBot="1">
      <c r="A35" s="1367"/>
      <c r="B35" s="1368" t="s">
        <v>1287</v>
      </c>
      <c r="C35" s="3935" t="e">
        <f ca="1">IF(C33="自定义",F35,ROUND(C32*D35,0))</f>
        <v>#REF!</v>
      </c>
      <c r="D35" s="4236" t="e">
        <f ca="1">IF(C33="自定义",ROUND(C35/C32,3),IF(C33="收益比率",SUMIF(INDIRECT("'"&amp;D33&amp;"'"&amp;"!b:b"),"建筑物收益比率",INDIRECT("'"&amp;D33&amp;"'"&amp;"!c:c")),SUMIF(INDIRECT("'"&amp;D33&amp;"'"&amp;"!b:b"),"建筑物成本比率",INDIRECT("'"&amp;D33&amp;"'"&amp;"!c:c"))))</f>
        <v>#REF!</v>
      </c>
      <c r="E35" s="1369" t="s">
        <v>1288</v>
      </c>
      <c r="F35" s="3937"/>
      <c r="G35" s="51"/>
      <c r="H35" s="51"/>
      <c r="I35" s="51"/>
    </row>
    <row r="36" spans="1:19" ht="15" thickBot="1">
      <c r="A36" s="4833" t="s">
        <v>1289</v>
      </c>
      <c r="B36" s="1370" t="s">
        <v>1290</v>
      </c>
      <c r="C36" s="3938"/>
      <c r="D36" s="1371"/>
      <c r="E36" s="1372"/>
      <c r="F36" s="1373"/>
      <c r="G36" s="51"/>
      <c r="H36" s="51"/>
      <c r="I36" s="51"/>
    </row>
    <row r="37" spans="1:19" ht="15" thickBot="1">
      <c r="A37" s="4834"/>
      <c r="B37" s="1268" t="s">
        <v>1291</v>
      </c>
      <c r="C37" s="3939"/>
      <c r="D37" s="804"/>
      <c r="E37" s="804"/>
      <c r="F37" s="1373"/>
      <c r="G37" s="51"/>
      <c r="H37" s="51"/>
      <c r="I37" s="51"/>
    </row>
    <row r="38" spans="1:19" ht="15" thickBot="1">
      <c r="A38" s="4835"/>
      <c r="B38" s="1374" t="s">
        <v>1292</v>
      </c>
      <c r="C38" s="3940"/>
      <c r="D38" s="1375" t="s">
        <v>1293</v>
      </c>
      <c r="E38" s="804"/>
      <c r="F38" s="1373"/>
      <c r="G38" s="51"/>
      <c r="H38" s="51"/>
      <c r="I38" s="51"/>
    </row>
    <row r="39" spans="1:19" ht="14.4">
      <c r="A39" s="1352" t="s">
        <v>1294</v>
      </c>
      <c r="B39" s="1376" t="s">
        <v>1295</v>
      </c>
      <c r="C39" s="1377" t="s">
        <v>1296</v>
      </c>
      <c r="D39" s="1377" t="s">
        <v>1297</v>
      </c>
      <c r="E39" s="1378" t="s">
        <v>1298</v>
      </c>
      <c r="F39" s="1373"/>
      <c r="G39" s="51"/>
      <c r="H39" s="51"/>
      <c r="I39" s="51"/>
    </row>
    <row r="40" spans="1:19" ht="13.8">
      <c r="A40" s="1379" t="s">
        <v>1299</v>
      </c>
      <c r="B40" s="3941"/>
      <c r="C40" s="3942"/>
      <c r="D40" s="3942"/>
      <c r="E40" s="3943"/>
      <c r="F40" s="1373"/>
      <c r="G40" s="51"/>
      <c r="H40" s="51"/>
      <c r="I40" s="51"/>
    </row>
    <row r="41" spans="1:19" ht="13.8">
      <c r="A41" s="1379" t="s">
        <v>1300</v>
      </c>
      <c r="B41" s="3941"/>
      <c r="C41" s="3942"/>
      <c r="D41" s="3942"/>
      <c r="E41" s="3943"/>
      <c r="F41" s="1373"/>
      <c r="G41" s="51"/>
      <c r="H41" s="51"/>
      <c r="I41" s="51"/>
    </row>
    <row r="42" spans="1:19" ht="14.4" thickBot="1">
      <c r="A42" s="1380"/>
      <c r="B42" s="3944"/>
      <c r="C42" s="3945"/>
      <c r="D42" s="3945"/>
      <c r="E42" s="3937"/>
      <c r="F42" s="1373"/>
      <c r="G42" s="51"/>
      <c r="H42" s="51"/>
      <c r="I42" s="51"/>
    </row>
    <row r="43" spans="1:19" ht="13.2">
      <c r="A43" s="1182"/>
      <c r="B43" s="1182"/>
      <c r="C43" s="1182"/>
      <c r="D43" s="1182"/>
      <c r="E43" s="1182"/>
      <c r="F43" s="1381"/>
      <c r="G43" s="1381"/>
      <c r="H43" s="1381"/>
      <c r="I43" s="1382"/>
    </row>
    <row r="44" spans="1:19" ht="17.399999999999999">
      <c r="A44" s="1383" t="s">
        <v>1301</v>
      </c>
      <c r="B44" s="1384"/>
      <c r="C44" s="1384"/>
      <c r="D44" s="1385"/>
      <c r="E44" s="1385"/>
      <c r="F44" s="1386"/>
      <c r="G44" s="1386"/>
      <c r="H44" s="1386"/>
      <c r="I44" s="1386"/>
      <c r="J44" s="1387" t="s">
        <v>1302</v>
      </c>
      <c r="K44" s="1388"/>
      <c r="L44" s="1388"/>
      <c r="M44" s="1388"/>
      <c r="N44" s="1388"/>
      <c r="O44" s="1388"/>
    </row>
    <row r="45" spans="1:19" ht="14.25" customHeight="1" thickBot="1">
      <c r="A45" s="4858" t="s">
        <v>1303</v>
      </c>
      <c r="B45" s="4859"/>
      <c r="C45" s="4860"/>
      <c r="D45" s="3946">
        <f ca="1">ROUND(H101*F45,0)</f>
        <v>611</v>
      </c>
      <c r="E45" s="61" t="s">
        <v>1304</v>
      </c>
      <c r="F45" s="62">
        <v>1</v>
      </c>
      <c r="G45" s="63" t="s">
        <v>1305</v>
      </c>
      <c r="H45" s="51"/>
      <c r="I45" s="51"/>
      <c r="J45" s="4863" t="s">
        <v>1306</v>
      </c>
      <c r="K45" s="4863"/>
      <c r="L45" s="4863"/>
      <c r="M45" s="4863"/>
      <c r="N45" s="4863"/>
      <c r="O45" s="4863"/>
    </row>
    <row r="46" spans="1:19" ht="14.25" customHeight="1">
      <c r="A46" s="4855" t="s">
        <v>1307</v>
      </c>
      <c r="B46" s="4856"/>
      <c r="C46" s="4856"/>
      <c r="D46" s="4856"/>
      <c r="E46" s="4856"/>
      <c r="F46" s="4856"/>
      <c r="G46" s="4857"/>
      <c r="H46" s="1389"/>
      <c r="I46" s="64"/>
      <c r="J46" s="2007">
        <v>1</v>
      </c>
      <c r="K46" s="4864" t="s">
        <v>1308</v>
      </c>
      <c r="L46" s="4864"/>
      <c r="M46" s="4865"/>
      <c r="N46" s="4865"/>
      <c r="O46" s="4865"/>
    </row>
    <row r="47" spans="1:19" ht="12" customHeight="1">
      <c r="A47" s="65" t="s">
        <v>1309</v>
      </c>
      <c r="B47" s="66"/>
      <c r="C47" s="67"/>
      <c r="D47" s="762" t="s">
        <v>1310</v>
      </c>
      <c r="E47" s="190" t="s">
        <v>1311</v>
      </c>
      <c r="F47" s="68" t="s">
        <v>1312</v>
      </c>
      <c r="G47" s="2022" t="s">
        <v>1313</v>
      </c>
      <c r="H47" s="2023"/>
      <c r="I47" s="64"/>
      <c r="J47" s="2007">
        <v>2</v>
      </c>
      <c r="K47" s="4864" t="s">
        <v>1314</v>
      </c>
      <c r="L47" s="4864"/>
      <c r="M47" s="4866">
        <f>'数据-取费表'!B2</f>
        <v>46063</v>
      </c>
      <c r="N47" s="4866"/>
      <c r="O47" s="4866"/>
    </row>
    <row r="48" spans="1:19" ht="26.4">
      <c r="A48" s="4836" t="s">
        <v>1315</v>
      </c>
      <c r="B48" s="4820"/>
      <c r="C48" s="4820"/>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1316</v>
      </c>
      <c r="H48" s="2025"/>
      <c r="I48" s="1389"/>
      <c r="J48" s="2007">
        <v>3</v>
      </c>
      <c r="K48" s="4864" t="s">
        <v>1317</v>
      </c>
      <c r="L48" s="4864"/>
      <c r="M48" s="4867">
        <f ca="1">H101</f>
        <v>611.07159999999999</v>
      </c>
      <c r="N48" s="4867"/>
      <c r="O48" s="4867"/>
      <c r="R48" s="3665" t="s">
        <v>3642</v>
      </c>
      <c r="S48" s="3666"/>
    </row>
    <row r="49" spans="1:35" ht="25.5" customHeight="1">
      <c r="A49" s="3809" t="s">
        <v>1318</v>
      </c>
      <c r="B49" s="4804" t="s">
        <v>1319</v>
      </c>
      <c r="C49" s="4804"/>
      <c r="D49" s="3948">
        <v>0</v>
      </c>
      <c r="E49" s="211" t="s">
        <v>1320</v>
      </c>
      <c r="F49" s="3800" t="s">
        <v>26</v>
      </c>
      <c r="G49" s="4796"/>
      <c r="H49" s="3658" t="s">
        <v>2037</v>
      </c>
      <c r="I49" s="3659"/>
      <c r="J49" s="2007">
        <v>4</v>
      </c>
      <c r="K49" s="4864" t="str">
        <f>IF(项目基本情况!E8="房地产抵押价值","房地产抵押价值","抵押担保权已注销时的房地产抵押价值")</f>
        <v>抵押担保权已注销时的房地产抵押价值</v>
      </c>
      <c r="L49" s="4864"/>
      <c r="M49" s="4867" t="str">
        <f>IF(项目基本情况!E8="房地产抵押价值",H107,H109)</f>
        <v>——</v>
      </c>
      <c r="N49" s="4867"/>
      <c r="O49" s="4867"/>
      <c r="R49" s="3667" t="s">
        <v>3643</v>
      </c>
      <c r="S49" s="3665" t="s">
        <v>3644</v>
      </c>
    </row>
    <row r="50" spans="1:35" ht="25.5" customHeight="1">
      <c r="A50" s="3810"/>
      <c r="B50" s="4804" t="s">
        <v>1321</v>
      </c>
      <c r="C50" s="4804"/>
      <c r="D50" s="3949"/>
      <c r="E50" s="219"/>
      <c r="F50" s="3800"/>
      <c r="G50" s="4797"/>
      <c r="H50" s="3660" t="s">
        <v>2038</v>
      </c>
      <c r="I50" s="3659"/>
      <c r="J50" s="4863" t="s">
        <v>1322</v>
      </c>
      <c r="K50" s="4863"/>
      <c r="L50" s="4863"/>
      <c r="M50" s="4863"/>
      <c r="N50" s="4863"/>
      <c r="O50" s="4863"/>
      <c r="R50" s="3667" t="s">
        <v>3645</v>
      </c>
      <c r="S50" s="3665" t="s">
        <v>3646</v>
      </c>
    </row>
    <row r="51" spans="1:35" ht="20.399999999999999" customHeight="1">
      <c r="A51" s="3811"/>
      <c r="B51" s="4804" t="s">
        <v>1323</v>
      </c>
      <c r="C51" s="4804"/>
      <c r="D51" s="3950"/>
      <c r="E51" s="214"/>
      <c r="F51" s="3800"/>
      <c r="G51" s="4798"/>
      <c r="H51" s="3660" t="s">
        <v>2039</v>
      </c>
      <c r="I51" s="3659"/>
      <c r="J51" s="2008" t="s">
        <v>1324</v>
      </c>
      <c r="K51" s="4864" t="s">
        <v>1325</v>
      </c>
      <c r="L51" s="4864"/>
      <c r="M51" s="2008" t="s">
        <v>1326</v>
      </c>
      <c r="N51" s="2008" t="s">
        <v>1327</v>
      </c>
      <c r="O51" s="2008" t="s">
        <v>1328</v>
      </c>
      <c r="R51" s="3667" t="s">
        <v>3647</v>
      </c>
      <c r="S51" s="3666" t="s">
        <v>3648</v>
      </c>
    </row>
    <row r="52" spans="1:35" ht="24" customHeight="1">
      <c r="A52" s="3801" t="s">
        <v>1329</v>
      </c>
      <c r="B52" s="4804" t="s">
        <v>1330</v>
      </c>
      <c r="C52" s="4804"/>
      <c r="D52" s="3950">
        <f ca="1">ROUND(D45*F52/(1+F52),0)</f>
        <v>18</v>
      </c>
      <c r="E52" s="3802" t="s">
        <v>1331</v>
      </c>
      <c r="F52" s="2026">
        <v>0.03</v>
      </c>
      <c r="G52" s="947" t="s">
        <v>3689</v>
      </c>
      <c r="H52" s="2020"/>
      <c r="I52" s="1390"/>
      <c r="J52" s="2007">
        <v>1</v>
      </c>
      <c r="K52" s="4793" t="s">
        <v>1332</v>
      </c>
      <c r="L52" s="4793"/>
      <c r="M52" s="3952">
        <f>IF(D48&lt;=0,0,D48)</f>
        <v>0</v>
      </c>
      <c r="N52" s="2007" t="str">
        <f>E48</f>
        <v>销售额×税（费）率</v>
      </c>
      <c r="O52" s="3840">
        <f>F48</f>
        <v>0</v>
      </c>
      <c r="R52" s="3665" t="s">
        <v>3649</v>
      </c>
      <c r="S52" s="3665" t="s">
        <v>3653</v>
      </c>
    </row>
    <row r="53" spans="1:35" ht="12" customHeight="1">
      <c r="A53" s="3801" t="s">
        <v>1333</v>
      </c>
      <c r="B53" s="4805" t="s">
        <v>2194</v>
      </c>
      <c r="C53" s="4806"/>
      <c r="D53" s="3950">
        <f ca="1">IF(G53="2016年5月1日之前项目",ROUND(D45*F53/(1+F53),0),H63)</f>
        <v>50</v>
      </c>
      <c r="E53" s="3802" t="str">
        <f>IF(G53="2016年5月1日之前项目","全额计税","进销项计算")</f>
        <v>进销项计算</v>
      </c>
      <c r="F53" s="2026">
        <f>IF(G53="2016年5月1日之前项目",5%,9%)</f>
        <v>0.09</v>
      </c>
      <c r="G53" s="3905"/>
      <c r="H53" s="2020"/>
      <c r="I53" s="1390"/>
      <c r="J53" s="2007">
        <v>2</v>
      </c>
      <c r="K53" s="4793" t="s">
        <v>1334</v>
      </c>
      <c r="L53" s="4793"/>
      <c r="M53" s="3952">
        <f t="shared" ref="M53:O54" ca="1" si="0">D55</f>
        <v>0</v>
      </c>
      <c r="N53" s="2007" t="str">
        <f t="shared" si="0"/>
        <v>销售额×税（费）率</v>
      </c>
      <c r="O53" s="3840" t="str">
        <f t="shared" si="0"/>
        <v>免征</v>
      </c>
      <c r="R53" s="3665" t="s">
        <v>3650</v>
      </c>
      <c r="S53" s="3666" t="s">
        <v>3657</v>
      </c>
    </row>
    <row r="54" spans="1:35" ht="12" customHeight="1">
      <c r="A54" s="3801" t="s">
        <v>1335</v>
      </c>
      <c r="B54" s="4805" t="s">
        <v>2195</v>
      </c>
      <c r="C54" s="4806"/>
      <c r="D54" s="3950">
        <f ca="1">IF(G54="2016年5月1日之前项目",C68,H63)</f>
        <v>50</v>
      </c>
      <c r="E54" s="3823" t="str">
        <f>IF(G54="2016年5月1日之前项目","差额计税","进销项计算")</f>
        <v>进销项计算</v>
      </c>
      <c r="F54" s="2026">
        <f>IF(G54="2016年5月1日之前项目",5%,9%)</f>
        <v>0.09</v>
      </c>
      <c r="G54" s="3905"/>
      <c r="H54" s="2028"/>
      <c r="I54" s="1390"/>
      <c r="J54" s="2007">
        <v>3</v>
      </c>
      <c r="K54" s="4793" t="s">
        <v>1336</v>
      </c>
      <c r="L54" s="4793"/>
      <c r="M54" s="3952" t="e">
        <f t="shared" ca="1" si="0"/>
        <v>#VALUE!</v>
      </c>
      <c r="N54" s="2007" t="str">
        <f t="shared" si="0"/>
        <v>增值额×税（费）率</v>
      </c>
      <c r="O54" s="3841" t="str">
        <f t="shared" si="0"/>
        <v>免征</v>
      </c>
      <c r="P54" s="51"/>
      <c r="R54" s="3667" t="s">
        <v>3651</v>
      </c>
      <c r="S54" s="3666" t="s">
        <v>3654</v>
      </c>
    </row>
    <row r="55" spans="1:35" ht="24" customHeight="1">
      <c r="A55" s="4819" t="s">
        <v>1337</v>
      </c>
      <c r="B55" s="4820"/>
      <c r="C55" s="4820"/>
      <c r="D55" s="3947">
        <f ca="1">IF(H55="个人住宅",0,ROUND(D45*I55,0))</f>
        <v>0</v>
      </c>
      <c r="E55" s="3802" t="s">
        <v>1338</v>
      </c>
      <c r="F55" s="2026" t="str">
        <f>IF(H55="正常",I55,"免征")</f>
        <v>免征</v>
      </c>
      <c r="G55" s="2027"/>
      <c r="H55" s="2025"/>
      <c r="I55" s="69">
        <f>'数据-取费表'!B50</f>
        <v>5.0000000000000001E-4</v>
      </c>
      <c r="J55" s="2007">
        <f>IF(H59="非个人房产","",4)</f>
        <v>4</v>
      </c>
      <c r="K55" s="4793" t="str">
        <f>IF(H59="非个人房产","——","个人所得税")</f>
        <v>个人所得税</v>
      </c>
      <c r="L55" s="4793"/>
      <c r="M55" s="3953">
        <f ca="1">D59</f>
        <v>6</v>
      </c>
      <c r="N55" s="1588" t="str">
        <f>E59</f>
        <v>差额计税</v>
      </c>
      <c r="O55" s="3842">
        <f>F59</f>
        <v>0.01</v>
      </c>
      <c r="R55" s="3667" t="s">
        <v>3652</v>
      </c>
      <c r="S55" s="3666" t="s">
        <v>3655</v>
      </c>
    </row>
    <row r="56" spans="1:35" ht="25.2">
      <c r="A56" s="4819" t="s">
        <v>1339</v>
      </c>
      <c r="B56" s="4820"/>
      <c r="C56" s="4820"/>
      <c r="D56" s="3947" t="e">
        <f ca="1">IF(H56="个人住宅",D57,IF(H56="正常",D58,ROUND(D45*F56,0)))</f>
        <v>#VALUE!</v>
      </c>
      <c r="E56" s="3802" t="s">
        <v>1340</v>
      </c>
      <c r="F56" s="2026" t="str">
        <f>IF(H56="正常",F58,IF(H56="按预征率计算",5%,"免征"))</f>
        <v>免征</v>
      </c>
      <c r="G56" s="2029" t="s">
        <v>1341</v>
      </c>
      <c r="H56" s="2030"/>
      <c r="I56" s="1391"/>
      <c r="J56" s="2007" t="str">
        <f>IF(项目基本情况!K6="上海银行",IF(J55="",4,J55+1),"")</f>
        <v/>
      </c>
      <c r="K56" s="4757" t="str">
        <f>IF(项目基本情况!K6="上海银行","其他处置费用","")</f>
        <v/>
      </c>
      <c r="L56" s="4758"/>
      <c r="M56" s="3952" t="str">
        <f>IF(项目基本情况!K6="上海银行",M69,"")</f>
        <v/>
      </c>
      <c r="N56" s="4757" t="str">
        <f>IF(项目基本情况!K6="上海银行","包含处置中涉及的律师、诉讼、拍卖、评估等费用","")</f>
        <v/>
      </c>
      <c r="O56" s="4761"/>
      <c r="R56" s="3666"/>
      <c r="S56" s="3666" t="s">
        <v>3656</v>
      </c>
    </row>
    <row r="57" spans="1:35" ht="13.2">
      <c r="A57" s="1829" t="s">
        <v>1318</v>
      </c>
      <c r="B57" s="4805" t="s">
        <v>1342</v>
      </c>
      <c r="C57" s="4806"/>
      <c r="D57" s="3948">
        <v>0</v>
      </c>
      <c r="E57" s="211" t="s">
        <v>1320</v>
      </c>
      <c r="F57" s="190"/>
      <c r="G57" s="2027"/>
      <c r="H57" s="2031"/>
      <c r="I57" s="1391"/>
      <c r="J57" s="4793">
        <f>IF(AND(J55="",J56=""),4,IF(项目基本情况!K6="上海银行",结果表!J56+1,结果表!J55+1))</f>
        <v>5</v>
      </c>
      <c r="K57" s="4793" t="s">
        <v>1343</v>
      </c>
      <c r="L57" s="2009" t="s">
        <v>1344</v>
      </c>
      <c r="M57" s="2010"/>
      <c r="N57" s="3954">
        <f ca="1">SUMIF(M52:M56,"&lt;9e307")</f>
        <v>6</v>
      </c>
      <c r="O57" s="2011"/>
      <c r="P57" s="2121" t="e">
        <f ca="1">N57/M49</f>
        <v>#VALUE!</v>
      </c>
      <c r="R57" s="4846" t="s">
        <v>3701</v>
      </c>
      <c r="S57" s="4847"/>
    </row>
    <row r="58" spans="1:35" ht="25.2">
      <c r="A58" s="1829" t="s">
        <v>1329</v>
      </c>
      <c r="B58" s="4805" t="s">
        <v>1345</v>
      </c>
      <c r="C58" s="4804"/>
      <c r="D58" s="3947">
        <f ca="1">IF(H58="转让取得",C81,C97)</f>
        <v>273</v>
      </c>
      <c r="E58" s="3802" t="s">
        <v>1340</v>
      </c>
      <c r="F58" s="190" t="s">
        <v>26</v>
      </c>
      <c r="G58" s="2027"/>
      <c r="H58" s="2030"/>
      <c r="I58" s="1391"/>
      <c r="J58" s="4793"/>
      <c r="K58" s="4793"/>
      <c r="L58" s="2009" t="s">
        <v>1346</v>
      </c>
      <c r="M58" s="2012"/>
      <c r="N58" s="2013" t="str">
        <f ca="1">NUMBERSTRING(INT(N57*10000),2)&amp;"元整"</f>
        <v>陆万元整</v>
      </c>
      <c r="O58" s="2014"/>
      <c r="R58" s="4848"/>
      <c r="S58" s="4849"/>
    </row>
    <row r="59" spans="1:35" ht="24.6" thickBot="1">
      <c r="A59" s="4794" t="s">
        <v>1347</v>
      </c>
      <c r="B59" s="4795"/>
      <c r="C59" s="4795"/>
      <c r="D59" s="3951">
        <f ca="1">IF(H59="非个人房产","——",IF(H59="个人住宅（满五唯一有凭证）",0,IF(H59="个人其他（无凭证）",ROUND(D45/(1+'数据-取费表'!C43)*F59,0),ROUND(C67*F59,0))))</f>
        <v>6</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1341</v>
      </c>
      <c r="H59" s="3662"/>
      <c r="I59" s="3663" t="s">
        <v>2040</v>
      </c>
      <c r="J59" s="4791">
        <f>J57+1</f>
        <v>6</v>
      </c>
      <c r="K59" s="4793" t="s">
        <v>1348</v>
      </c>
      <c r="L59" s="2007" t="s">
        <v>1344</v>
      </c>
      <c r="M59" s="2015"/>
      <c r="N59" s="2823" t="e">
        <f ca="1">M49-N57</f>
        <v>#VALUE!</v>
      </c>
      <c r="O59" s="2016"/>
      <c r="R59" s="3665" t="s">
        <v>3658</v>
      </c>
      <c r="S59" s="3665" t="s">
        <v>3659</v>
      </c>
    </row>
    <row r="60" spans="1:35" ht="12" customHeight="1" thickBot="1">
      <c r="A60" s="1392"/>
      <c r="B60" s="1336"/>
      <c r="C60" s="1336"/>
      <c r="D60" s="1336"/>
      <c r="E60" s="1183"/>
      <c r="F60" s="1391"/>
      <c r="G60" s="1391"/>
      <c r="H60" s="1393"/>
      <c r="I60" s="51"/>
      <c r="J60" s="4792"/>
      <c r="K60" s="4793"/>
      <c r="L60" s="2009" t="s">
        <v>1346</v>
      </c>
      <c r="M60" s="2012"/>
      <c r="N60" s="2824" t="e">
        <f ca="1">NUMBERSTRING(INT(N59*10000),2)&amp;"元整"</f>
        <v>#VALUE!</v>
      </c>
      <c r="O60" s="2014"/>
      <c r="R60" s="3665" t="s">
        <v>3660</v>
      </c>
      <c r="S60" s="3665" t="s">
        <v>3700</v>
      </c>
    </row>
    <row r="61" spans="1:35" ht="15" thickBot="1">
      <c r="A61" s="4853" t="s">
        <v>3698</v>
      </c>
      <c r="B61" s="4854"/>
      <c r="C61" s="4854"/>
      <c r="D61" s="4854"/>
      <c r="E61" s="3831"/>
      <c r="F61" s="4830" t="s">
        <v>3699</v>
      </c>
      <c r="G61" s="4831"/>
      <c r="H61" s="4831"/>
      <c r="I61" s="4832"/>
      <c r="J61" s="3812">
        <f>J59+1</f>
        <v>7</v>
      </c>
      <c r="K61" s="4793" t="s">
        <v>1349</v>
      </c>
      <c r="L61" s="4793"/>
      <c r="M61" s="2017"/>
      <c r="N61" s="2825" t="e">
        <f ca="1">ROUND(N59*10000/'数据-汇总表'!E3,0)</f>
        <v>#VALUE!</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21.6">
      <c r="A63" s="74" t="s">
        <v>328</v>
      </c>
      <c r="B63" s="3834" t="s">
        <v>3706</v>
      </c>
      <c r="C63" s="3955">
        <f ca="1">ROUND(C64+C65,0)</f>
        <v>611</v>
      </c>
      <c r="D63" s="3826"/>
      <c r="E63" s="4850" t="s">
        <v>3703</v>
      </c>
      <c r="F63" s="3801">
        <v>1</v>
      </c>
      <c r="G63" s="2977" t="s">
        <v>3690</v>
      </c>
      <c r="H63" s="3959">
        <f ca="1">H64-H66</f>
        <v>50</v>
      </c>
      <c r="I63" s="3848"/>
      <c r="J63" s="4759" t="s">
        <v>1353</v>
      </c>
      <c r="K63" s="942" t="s">
        <v>1354</v>
      </c>
      <c r="L63" s="3978" t="e">
        <f>IF(M49&gt;10000,M49*0.5%,IF(AND(M49&gt;1000,M49&lt;=10000),M49*1%,IF(AND(M49&gt;100,M49&lt;=1000),M49*3%,IF(AND(M49&gt;10,M49&lt;=100),M49*5%,M49*8%))))</f>
        <v>#VALUE!</v>
      </c>
      <c r="M63" s="3926" t="e">
        <f>ROUND(L63,1)</f>
        <v>#VALUE!</v>
      </c>
      <c r="N63" s="2019"/>
      <c r="Z63" s="1341"/>
      <c r="AI63" s="1342"/>
    </row>
    <row r="64" spans="1:35" ht="14.25" customHeight="1">
      <c r="A64" s="71" t="s">
        <v>323</v>
      </c>
      <c r="B64" s="3835" t="s">
        <v>3707</v>
      </c>
      <c r="C64" s="3956">
        <f ca="1">D45</f>
        <v>611</v>
      </c>
      <c r="D64" s="3827"/>
      <c r="E64" s="4851"/>
      <c r="F64" s="3801">
        <v>2</v>
      </c>
      <c r="G64" s="2977" t="s">
        <v>3691</v>
      </c>
      <c r="H64" s="3959">
        <f ca="1">ROUND(H65*I64/(1+I64),0)</f>
        <v>50</v>
      </c>
      <c r="I64" s="3849">
        <v>0.09</v>
      </c>
      <c r="J64" s="4759"/>
      <c r="K64" s="942" t="s">
        <v>1355</v>
      </c>
      <c r="L64" s="3978" t="e">
        <f>IF(M49&gt;2000,M49*0.5%,IF(AND(M49&gt;1000,M49&lt;=2000),M49*0.6%,IF(AND(M49&gt;500,M49&lt;=1000),M49*0.7%,IF(AND(M49&gt;200,M49&lt;=500),M49*0.8%,IF(AND(M49&gt;100,M49&lt;=200),M49*0.9%,IF(AND(M49&gt;50,M49&lt;=100),M49*1%,IF(AND(M49&gt;20,M49&lt;=50),M49*1.5%,IF(AND(M49&gt;10,M49&lt;=20),M49*2%,IF(AND(M49&gt;1,M49&lt;=10),M49*2.5%)))))))))</f>
        <v>#VALUE!</v>
      </c>
      <c r="M64" s="3926" t="e">
        <f t="shared" ref="M64:M65" si="1">ROUND(L64,1)</f>
        <v>#VALUE!</v>
      </c>
      <c r="N64" s="2020" t="s">
        <v>1356</v>
      </c>
      <c r="Z64" s="1341"/>
      <c r="AI64" s="1342"/>
    </row>
    <row r="65" spans="1:35" ht="14.25" customHeight="1">
      <c r="A65" s="71" t="s">
        <v>324</v>
      </c>
      <c r="B65" s="3835" t="s">
        <v>3708</v>
      </c>
      <c r="C65" s="3957"/>
      <c r="D65" s="3828"/>
      <c r="E65" s="4851"/>
      <c r="F65" s="71" t="s">
        <v>323</v>
      </c>
      <c r="G65" s="3850" t="s">
        <v>3694</v>
      </c>
      <c r="H65" s="3959">
        <f ca="1">D45</f>
        <v>611</v>
      </c>
      <c r="I65" s="3848"/>
      <c r="J65" s="4759"/>
      <c r="K65" s="942" t="s">
        <v>1357</v>
      </c>
      <c r="L65" s="3978" t="e">
        <f>IF(M49&gt;1000,M49*0.1%,IF(AND(M49&gt;500,M49&lt;=1000),M49*0.5%,IF(AND(M49&gt;50,M49&lt;=500),M49*1%,IF(AND(M49&gt;1,M49&lt;=50),M49*1.5%))))</f>
        <v>#VALUE!</v>
      </c>
      <c r="M65" s="3926" t="e">
        <f t="shared" si="1"/>
        <v>#VALUE!</v>
      </c>
      <c r="N65" s="2020" t="s">
        <v>1356</v>
      </c>
      <c r="Z65" s="1341"/>
      <c r="AI65" s="1342"/>
    </row>
    <row r="66" spans="1:35" ht="14.25" customHeight="1">
      <c r="A66" s="74" t="s">
        <v>325</v>
      </c>
      <c r="B66" s="3836" t="s">
        <v>3709</v>
      </c>
      <c r="C66" s="3957"/>
      <c r="D66" s="3829"/>
      <c r="E66" s="4851"/>
      <c r="F66" s="3851">
        <v>3</v>
      </c>
      <c r="G66" s="2977" t="s">
        <v>3692</v>
      </c>
      <c r="H66" s="4468">
        <f>ROUND(H67*I67,0)+ROUND(H68*I68,0)</f>
        <v>0</v>
      </c>
      <c r="I66" s="4469"/>
      <c r="J66" s="4759"/>
      <c r="K66" s="942" t="s">
        <v>1358</v>
      </c>
      <c r="L66" s="3978" t="e">
        <f>M49*0.5%</f>
        <v>#VALUE!</v>
      </c>
      <c r="M66" s="3926" t="e">
        <f>IF(L66&gt;0.5,0.5,ROUND(L66,0))</f>
        <v>#VALUE!</v>
      </c>
      <c r="N66" s="2020" t="s">
        <v>1359</v>
      </c>
      <c r="Z66" s="1341"/>
      <c r="AI66" s="1342"/>
    </row>
    <row r="67" spans="1:35" ht="14.25" customHeight="1">
      <c r="A67" s="74" t="s">
        <v>326</v>
      </c>
      <c r="B67" s="3833" t="s">
        <v>3705</v>
      </c>
      <c r="C67" s="3956">
        <f ca="1">C63-C66</f>
        <v>611</v>
      </c>
      <c r="D67" s="3828"/>
      <c r="E67" s="4851"/>
      <c r="F67" s="71" t="s">
        <v>323</v>
      </c>
      <c r="G67" s="3850" t="s">
        <v>3696</v>
      </c>
      <c r="H67" s="3960"/>
      <c r="I67" s="3849">
        <v>0.09</v>
      </c>
      <c r="J67" s="4759"/>
      <c r="K67" s="942" t="s">
        <v>1360</v>
      </c>
      <c r="L67" s="3978" t="e">
        <f>IF(M49&gt;=10000,(8.25+(M49-10000)*0.01%),IF(AND(M49&gt;=8000,M49&lt;10000),(7.85+(M49-8000)*0.02%),IF(AND(M49&gt;=5000,M49&lt;8000),(6.65+(M49-5000)*0.04%),IF(AND(M49&gt;=2000,M49&lt;5000),(4.25+(PM49-2000)*0.08%),IF(AND(M49&gt;=1000,M49&lt;2000),(2.75+(M49-1000)*0.15%),IF(AND(M49&gt;=100,M49&lt;1000),(0.5+(M49-100)*0.25%),IF(AND(M49&gt;0,M49&lt;100),M49*0.5%)))))))</f>
        <v>#VALUE!</v>
      </c>
      <c r="M67" s="3926" t="e">
        <f>ROUND(L67*0.9,1)</f>
        <v>#VALUE!</v>
      </c>
      <c r="N67" s="2019"/>
      <c r="Z67" s="1341"/>
      <c r="AI67" s="1342"/>
    </row>
    <row r="68" spans="1:35" ht="14.25" customHeight="1" thickBot="1">
      <c r="A68" s="76" t="s">
        <v>327</v>
      </c>
      <c r="B68" s="3837" t="s">
        <v>3710</v>
      </c>
      <c r="C68" s="3958">
        <f ca="1">IF(C67&lt;=0,0,ROUND(C67*D68,0))</f>
        <v>31</v>
      </c>
      <c r="D68" s="3830">
        <v>0.05</v>
      </c>
      <c r="E68" s="4852"/>
      <c r="F68" s="3843" t="s">
        <v>324</v>
      </c>
      <c r="G68" s="3852" t="s">
        <v>3697</v>
      </c>
      <c r="H68" s="3961"/>
      <c r="I68" s="3853">
        <v>0.06</v>
      </c>
      <c r="J68" s="4759"/>
      <c r="K68" s="942" t="s">
        <v>1361</v>
      </c>
      <c r="L68" s="3978" t="e">
        <f>IF(M49&gt;10000,M49*0.5%,IF(AND(M49&gt;5000,M49&lt;=10000),M49*1%,IF(AND(M49&gt;1000,M49&lt;=5000),M49*2%,IF(AND(M49&gt;200,M49&lt;=1000),M49*3%,M49*5%))))</f>
        <v>#VALUE!</v>
      </c>
      <c r="M68" s="3926" t="e">
        <f>ROUND(L68,1)</f>
        <v>#VALUE!</v>
      </c>
      <c r="N68" s="2019"/>
      <c r="Z68" s="1341"/>
      <c r="AI68" s="1342"/>
    </row>
    <row r="69" spans="1:35" s="1355" customFormat="1" ht="16.5" customHeight="1">
      <c r="A69" s="1394"/>
      <c r="B69" s="1395"/>
      <c r="C69" s="1396"/>
      <c r="D69" s="1397"/>
      <c r="E69" s="1398"/>
      <c r="F69" s="1183"/>
      <c r="G69" s="1183"/>
      <c r="H69" s="1182"/>
      <c r="I69" s="1336"/>
      <c r="J69" s="4760"/>
      <c r="K69" s="942" t="s">
        <v>1362</v>
      </c>
      <c r="L69" s="3978"/>
      <c r="M69" s="3926"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10" t="s">
        <v>1363</v>
      </c>
      <c r="B70" s="4811"/>
      <c r="C70" s="4811"/>
      <c r="D70" s="4811"/>
      <c r="E70" s="4811"/>
      <c r="F70" s="4811"/>
      <c r="G70" s="4811"/>
      <c r="H70" s="4811"/>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807" t="s">
        <v>1350</v>
      </c>
      <c r="B71" s="4808"/>
      <c r="C71" s="1569"/>
      <c r="D71" s="1569" t="s">
        <v>1351</v>
      </c>
      <c r="E71" s="78" t="s">
        <v>1352</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1364</v>
      </c>
      <c r="C72" s="3962">
        <f ca="1">ROUND(D45/(1+D72),0)</f>
        <v>561</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1365</v>
      </c>
      <c r="C73" s="3962">
        <f ca="1">C74+C78</f>
        <v>67</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1366</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1367</v>
      </c>
      <c r="C75" s="3957"/>
      <c r="D75" s="3814" t="s">
        <v>24</v>
      </c>
      <c r="E75" s="83" t="s">
        <v>1368</v>
      </c>
      <c r="F75" s="2034"/>
      <c r="G75" s="83" t="s">
        <v>1369</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1370</v>
      </c>
      <c r="C76" s="3956">
        <f>IF(F75="购房发票",ROUND(C75*H75*D76,0),0)</f>
        <v>0</v>
      </c>
      <c r="D76" s="3817">
        <v>0.05</v>
      </c>
      <c r="E76" s="4805" t="s">
        <v>1371</v>
      </c>
      <c r="F76" s="4804"/>
      <c r="G76" s="4804"/>
      <c r="H76" s="4809"/>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1372</v>
      </c>
      <c r="C77" s="3956">
        <f>ROUND(IF(G77="个人住宅",0,IF(G77="2016年5月1日前购买",C75*D77,C75*D77/(1+D72))),0)</f>
        <v>0</v>
      </c>
      <c r="D77" s="3818">
        <f>'数据-取费表'!B49+'数据-取费表'!B50</f>
        <v>3.0499999999999999E-2</v>
      </c>
      <c r="E77" s="1820" t="s">
        <v>1373</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1374</v>
      </c>
      <c r="C78" s="3956">
        <f ca="1">ROUND(C72*D78,0)</f>
        <v>67</v>
      </c>
      <c r="D78" s="3819">
        <f>'数据-取费表'!B44</f>
        <v>0.12000000000000001</v>
      </c>
      <c r="E78" s="4799" t="s">
        <v>1375</v>
      </c>
      <c r="F78" s="4800"/>
      <c r="G78" s="4800"/>
      <c r="H78" s="4801"/>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1376</v>
      </c>
      <c r="C79" s="3962">
        <f ca="1">C72-C73</f>
        <v>494</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1377</v>
      </c>
      <c r="C80" s="4237">
        <f ca="1">IF(C79&lt;=0,0,C79/C73)</f>
        <v>7.3731343283582094</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1378</v>
      </c>
      <c r="C81" s="3963">
        <f ca="1">ROUND(IF(C79&lt;=0,0,IF(C80&gt;=200%,C79*60%-C73*35%,IF(C80&gt;=100%,C79*50%-C73*15%,IF(C80&gt;=50%,C79*40%-C73*5%,IF(C80&lt;50%,C79*30%,0))))),0)</f>
        <v>273</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10" t="s">
        <v>1379</v>
      </c>
      <c r="B83" s="4811"/>
      <c r="C83" s="4811"/>
      <c r="D83" s="4811"/>
      <c r="E83" s="4811"/>
      <c r="F83" s="4811"/>
      <c r="G83" s="4811"/>
      <c r="H83" s="4811"/>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807" t="s">
        <v>1350</v>
      </c>
      <c r="B84" s="4808"/>
      <c r="C84" s="1569"/>
      <c r="D84" s="1569" t="s">
        <v>1351</v>
      </c>
      <c r="E84" s="78" t="s">
        <v>1352</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1364</v>
      </c>
      <c r="C85" s="3962">
        <f ca="1">ROUND(D45/(1+D85),0)</f>
        <v>561</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1365</v>
      </c>
      <c r="C86" s="3962">
        <f ca="1">IF(H88="仅含出让金",C87+C90+C91+C92+C93+C94,C87+C91+C92+C93+C94)</f>
        <v>67</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1380</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1381</v>
      </c>
      <c r="C88" s="3957"/>
      <c r="D88" s="3819"/>
      <c r="E88" s="92" t="s">
        <v>1382</v>
      </c>
      <c r="F88" s="1823"/>
      <c r="G88" s="93" t="s">
        <v>1383</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1372</v>
      </c>
      <c r="C89" s="3956">
        <f>ROUND(C88*D89,0)</f>
        <v>0</v>
      </c>
      <c r="D89" s="3819">
        <f>'数据-取费表'!B49+'数据-取费表'!B50</f>
        <v>3.0499999999999999E-2</v>
      </c>
      <c r="E89" s="92" t="s">
        <v>1384</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1385</v>
      </c>
      <c r="C90" s="3957"/>
      <c r="D90" s="3819"/>
      <c r="E90" s="92" t="str">
        <f>IF(H88="-","土地取得成本中已包含该笔费用"," ")</f>
        <v xml:space="preserve"> </v>
      </c>
      <c r="F90" s="1823"/>
      <c r="G90" s="4762" t="s">
        <v>2032</v>
      </c>
      <c r="H90" s="4763"/>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1386</v>
      </c>
      <c r="B91" s="72" t="s">
        <v>1387</v>
      </c>
      <c r="C91" s="3956">
        <f>IF(H91="——",成本法!C9,I91)</f>
        <v>0</v>
      </c>
      <c r="D91" s="3819"/>
      <c r="E91" s="4799" t="s">
        <v>1388</v>
      </c>
      <c r="F91" s="4800"/>
      <c r="G91" s="4800"/>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1389</v>
      </c>
      <c r="B92" s="72" t="s">
        <v>1390</v>
      </c>
      <c r="C92" s="3956">
        <f>ROUND((C87+C90+C91)*D92,0)</f>
        <v>0</v>
      </c>
      <c r="D92" s="3822"/>
      <c r="E92" s="4799" t="s">
        <v>1391</v>
      </c>
      <c r="F92" s="4800"/>
      <c r="G92" s="4800"/>
      <c r="H92" s="4801"/>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1392</v>
      </c>
      <c r="B93" s="72" t="s">
        <v>1374</v>
      </c>
      <c r="C93" s="3956">
        <f ca="1">ROUND(C85*D93,0)</f>
        <v>67</v>
      </c>
      <c r="D93" s="3819">
        <f>'数据-取费表'!B44</f>
        <v>0.12000000000000001</v>
      </c>
      <c r="E93" s="4824" t="s">
        <v>3687</v>
      </c>
      <c r="F93" s="4800"/>
      <c r="G93" s="4800"/>
      <c r="H93" s="4801"/>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1393</v>
      </c>
      <c r="B94" s="72" t="s">
        <v>1394</v>
      </c>
      <c r="C94" s="3957">
        <f>ROUND((C87+C90+C91)*D94,0)</f>
        <v>0</v>
      </c>
      <c r="D94" s="3819">
        <v>0.2</v>
      </c>
      <c r="E94" s="4825" t="s">
        <v>1395</v>
      </c>
      <c r="F94" s="4826"/>
      <c r="G94" s="4826"/>
      <c r="H94" s="4827"/>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1376</v>
      </c>
      <c r="C95" s="3962">
        <f ca="1">ROUND(C85-C86,0)</f>
        <v>494</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1377</v>
      </c>
      <c r="C96" s="3962">
        <f ca="1">IF(C95&lt;=0,0,C95/C86)</f>
        <v>7.3731343283582094</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1378</v>
      </c>
      <c r="C97" s="3963">
        <f ca="1">ROUND(IF(C95&lt;=0,0,IF(C96&gt;=200%,C95*60%-C86*35%,IF(C96&gt;=100%,C95*50%-C86*15%,IF(C96&gt;=50%,C95*40%-C86*5%,IF(C96&lt;50%,C95*30%,0))))),0)</f>
        <v>273</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1396</v>
      </c>
      <c r="B99" s="1336"/>
      <c r="C99" s="1336"/>
      <c r="D99" s="1336"/>
      <c r="E99" s="1183"/>
      <c r="F99" s="1183"/>
      <c r="G99" s="1183"/>
      <c r="H99" s="1182"/>
      <c r="I99" s="51"/>
    </row>
    <row r="100" spans="1:35" ht="18.75" customHeight="1">
      <c r="A100" s="4749" t="s">
        <v>1397</v>
      </c>
      <c r="B100" s="4750"/>
      <c r="C100" s="4750"/>
      <c r="D100" s="4764"/>
      <c r="E100" s="4750" t="s">
        <v>1398</v>
      </c>
      <c r="F100" s="4750"/>
      <c r="G100" s="4750"/>
      <c r="H100" s="4764"/>
      <c r="I100" s="51"/>
    </row>
    <row r="101" spans="1:35" ht="18.75" customHeight="1">
      <c r="A101" s="4770" t="s">
        <v>1399</v>
      </c>
      <c r="B101" s="4771"/>
      <c r="C101" s="2036" t="str">
        <f>C4</f>
        <v>比较法-住宅</v>
      </c>
      <c r="D101" s="2037" t="str">
        <f>D4</f>
        <v>成本法 (元)</v>
      </c>
      <c r="E101" s="4755" t="s">
        <v>1400</v>
      </c>
      <c r="F101" s="4756"/>
      <c r="G101" s="1408" t="s">
        <v>1401</v>
      </c>
      <c r="H101" s="3970">
        <f ca="1">H118</f>
        <v>611.07159999999999</v>
      </c>
      <c r="I101" s="51"/>
    </row>
    <row r="102" spans="1:35" ht="18.75" customHeight="1">
      <c r="A102" s="4772" t="s">
        <v>1402</v>
      </c>
      <c r="B102" s="2035" t="s">
        <v>1401</v>
      </c>
      <c r="C102" s="3966">
        <f ca="1">C19</f>
        <v>635.98220000000003</v>
      </c>
      <c r="D102" s="3967">
        <f ca="1">D19</f>
        <v>511.4837</v>
      </c>
      <c r="E102" s="4755"/>
      <c r="F102" s="4756"/>
      <c r="G102" s="1408" t="s">
        <v>1403</v>
      </c>
      <c r="H102" s="3971">
        <f ca="1">I118</f>
        <v>884994</v>
      </c>
      <c r="I102" s="51"/>
    </row>
    <row r="103" spans="1:35" ht="42.75" customHeight="1">
      <c r="A103" s="4772"/>
      <c r="B103" s="2035" t="s">
        <v>1403</v>
      </c>
      <c r="C103" s="3968">
        <f ca="1">C20</f>
        <v>24203</v>
      </c>
      <c r="D103" s="3969">
        <f ca="1">D20</f>
        <v>19465</v>
      </c>
      <c r="E103" s="4817" t="s">
        <v>1404</v>
      </c>
      <c r="F103" s="4818"/>
      <c r="G103" s="1409" t="s">
        <v>1405</v>
      </c>
      <c r="H103" s="3970">
        <f>IF(D36="正常操作",H104+H105+H106,H105+H106)</f>
        <v>0</v>
      </c>
      <c r="I103" s="51"/>
    </row>
    <row r="104" spans="1:35" ht="18.75" customHeight="1">
      <c r="A104" s="4772" t="s">
        <v>1406</v>
      </c>
      <c r="B104" s="2038" t="s">
        <v>1401</v>
      </c>
      <c r="C104" s="4781">
        <f ca="1">H118</f>
        <v>611.07159999999999</v>
      </c>
      <c r="D104" s="4782"/>
      <c r="E104" s="1268" t="s">
        <v>1407</v>
      </c>
      <c r="F104" s="1264"/>
      <c r="G104" s="1409" t="s">
        <v>1405</v>
      </c>
      <c r="H104" s="3972">
        <f>IF(D36="同一抵押权人同一抵押物续贷",C36&amp;"（续贷，未扣减，详见特别提示）",C36)</f>
        <v>0</v>
      </c>
      <c r="I104" s="51"/>
    </row>
    <row r="105" spans="1:35" ht="18.75" customHeight="1" thickBot="1">
      <c r="A105" s="4802"/>
      <c r="B105" s="2039" t="s">
        <v>1403</v>
      </c>
      <c r="C105" s="4783">
        <f ca="1">I118</f>
        <v>884994</v>
      </c>
      <c r="D105" s="4784"/>
      <c r="E105" s="1268" t="s">
        <v>1408</v>
      </c>
      <c r="F105" s="1264"/>
      <c r="G105" s="1409" t="s">
        <v>1405</v>
      </c>
      <c r="H105" s="3973">
        <f>C37</f>
        <v>0</v>
      </c>
      <c r="I105" s="51"/>
    </row>
    <row r="106" spans="1:35" ht="18.75" customHeight="1">
      <c r="A106" s="1336" t="s">
        <v>1409</v>
      </c>
      <c r="B106" s="1336"/>
      <c r="C106" s="1336"/>
      <c r="D106" s="1336"/>
      <c r="E106" s="1410" t="s">
        <v>1410</v>
      </c>
      <c r="F106" s="1264"/>
      <c r="G106" s="1409" t="s">
        <v>1405</v>
      </c>
      <c r="H106" s="3973">
        <f>C38</f>
        <v>0</v>
      </c>
      <c r="I106" s="51"/>
    </row>
    <row r="107" spans="1:35" ht="18.75" customHeight="1">
      <c r="A107" s="51"/>
      <c r="B107" s="51"/>
      <c r="C107" s="51"/>
      <c r="D107" s="51"/>
      <c r="E107" s="4773" t="str">
        <f>IF(项目基本情况!E8="已注销","——","3.房地产抵押价值")</f>
        <v>3.房地产抵押价值</v>
      </c>
      <c r="F107" s="4756"/>
      <c r="G107" s="1408" t="s">
        <v>1401</v>
      </c>
      <c r="H107" s="3970">
        <f ca="1">IF(E107="——","——",H101-H103)</f>
        <v>611.07159999999999</v>
      </c>
      <c r="I107" s="51"/>
    </row>
    <row r="108" spans="1:35" ht="18.75" customHeight="1">
      <c r="A108" s="51"/>
      <c r="B108" s="51"/>
      <c r="C108" s="51"/>
      <c r="D108" s="51"/>
      <c r="E108" s="4773"/>
      <c r="F108" s="4756"/>
      <c r="G108" s="1408" t="s">
        <v>1403</v>
      </c>
      <c r="H108" s="3971">
        <f ca="1">IF(H107=H101,H102,ROUND(H107*10000/'数据-汇总表'!E3,0))</f>
        <v>884994</v>
      </c>
      <c r="I108" s="51"/>
    </row>
    <row r="109" spans="1:35" ht="18.75" customHeight="1">
      <c r="A109" s="51"/>
      <c r="B109" s="51"/>
      <c r="C109" s="51"/>
      <c r="D109" s="51"/>
      <c r="E109" s="4773" t="str">
        <f>IF(项目基本情况!E8="已注销及未注销","4.抵押担保权已注销时的房地产抵押价值",IF(项目基本情况!E8="已注销","3.抵押担保权已注销时的房地产抵押价值","——"))</f>
        <v>——</v>
      </c>
      <c r="F109" s="4756"/>
      <c r="G109" s="1408" t="s">
        <v>1401</v>
      </c>
      <c r="H109" s="3974" t="str">
        <f>IF(E109="——","——",H101-H105-H106)</f>
        <v>——</v>
      </c>
      <c r="I109" s="51"/>
    </row>
    <row r="110" spans="1:35" ht="18.75" customHeight="1">
      <c r="A110" s="51"/>
      <c r="B110" s="51"/>
      <c r="C110" s="51"/>
      <c r="D110" s="51"/>
      <c r="E110" s="4773"/>
      <c r="F110" s="4756"/>
      <c r="G110" s="1408" t="s">
        <v>1403</v>
      </c>
      <c r="H110" s="3971" t="str">
        <f>IF(H109="——","——",ROUND(H109*10000/'数据-汇总表'!E3,0))</f>
        <v>——</v>
      </c>
      <c r="I110" s="51"/>
    </row>
    <row r="111" spans="1:35" ht="18.75" customHeight="1">
      <c r="A111" s="51"/>
      <c r="B111" s="51"/>
      <c r="C111" s="51"/>
      <c r="D111" s="51"/>
      <c r="E111" s="4774" t="str">
        <f>IF(项目基本情况!E9="抵押净值",IF(OR(项目基本情况!E8="已注销",项目基本情况!E8="房地产抵押价值"),"4.抵押净值","5.抵押净值"),"——")</f>
        <v>——</v>
      </c>
      <c r="F111" s="4775"/>
      <c r="G111" s="1408" t="s">
        <v>1401</v>
      </c>
      <c r="H111" s="3970" t="str">
        <f>IF(E111="——","——",N59)</f>
        <v>——</v>
      </c>
      <c r="I111" s="51"/>
    </row>
    <row r="112" spans="1:35" ht="18.75" customHeight="1" thickBot="1">
      <c r="A112" s="51"/>
      <c r="B112" s="51"/>
      <c r="C112" s="51"/>
      <c r="D112" s="51"/>
      <c r="E112" s="4776"/>
      <c r="F112" s="4777"/>
      <c r="G112" s="1411" t="s">
        <v>1403</v>
      </c>
      <c r="H112" s="3921" t="str">
        <f>IF(E111="——","——",N61)</f>
        <v>——</v>
      </c>
      <c r="I112" s="51"/>
    </row>
    <row r="113" spans="1:27" ht="18.75" customHeight="1">
      <c r="A113" s="51"/>
      <c r="B113" s="51"/>
      <c r="C113" s="51"/>
      <c r="D113" s="51"/>
      <c r="E113" s="4803" t="s">
        <v>1409</v>
      </c>
      <c r="F113" s="4803"/>
      <c r="G113" s="4803"/>
      <c r="H113" s="4803"/>
      <c r="I113" s="51"/>
    </row>
    <row r="114" spans="1:27" ht="3.75" customHeight="1">
      <c r="A114" s="1336"/>
      <c r="B114" s="1336"/>
      <c r="C114" s="1336"/>
      <c r="D114" s="1336"/>
      <c r="E114" s="1392"/>
      <c r="F114" s="1392"/>
      <c r="G114" s="1392"/>
      <c r="H114" s="1392"/>
      <c r="I114" s="1336"/>
    </row>
    <row r="115" spans="1:27" ht="18.75" customHeight="1">
      <c r="A115" s="4813" t="s">
        <v>1411</v>
      </c>
      <c r="B115" s="4814"/>
      <c r="C115" s="4814"/>
      <c r="D115" s="4814"/>
      <c r="E115" s="4814"/>
      <c r="F115" s="4814"/>
      <c r="G115" s="4814"/>
      <c r="H115" s="4814"/>
      <c r="I115" s="4815"/>
    </row>
    <row r="116" spans="1:27" ht="27" customHeight="1">
      <c r="A116" s="4778" t="s">
        <v>1412</v>
      </c>
      <c r="B116" s="4779" t="s">
        <v>1413</v>
      </c>
      <c r="C116" s="4779" t="s">
        <v>1414</v>
      </c>
      <c r="D116" s="4766" t="s">
        <v>1415</v>
      </c>
      <c r="E116" s="4767"/>
      <c r="F116" s="4812"/>
      <c r="G116" s="4812"/>
      <c r="H116" s="4778" t="s">
        <v>1416</v>
      </c>
      <c r="I116" s="4778"/>
      <c r="K116" s="3280"/>
      <c r="L116" s="3281" t="s">
        <v>3478</v>
      </c>
      <c r="M116" s="3281" t="s">
        <v>3479</v>
      </c>
      <c r="N116" s="3281" t="s">
        <v>3480</v>
      </c>
    </row>
    <row r="117" spans="1:27" ht="18.75" customHeight="1">
      <c r="A117" s="4778"/>
      <c r="B117" s="4780"/>
      <c r="C117" s="4780"/>
      <c r="D117" s="1825" t="s">
        <v>1417</v>
      </c>
      <c r="E117" s="1825" t="s">
        <v>1418</v>
      </c>
      <c r="F117" s="1825" t="s">
        <v>1417</v>
      </c>
      <c r="G117" s="1825" t="s">
        <v>1419</v>
      </c>
      <c r="H117" s="1825" t="s">
        <v>1417</v>
      </c>
      <c r="I117" s="1825" t="s">
        <v>1419</v>
      </c>
      <c r="K117" s="3281" t="s">
        <v>3476</v>
      </c>
      <c r="L117" s="3975" t="e">
        <f ca="1">C34</f>
        <v>#REF!</v>
      </c>
      <c r="M117" s="3976" t="e">
        <f ca="1">C35</f>
        <v>#REF!</v>
      </c>
      <c r="N117" s="3976">
        <f ca="1">C32</f>
        <v>23255</v>
      </c>
    </row>
    <row r="118" spans="1:27" ht="24.75" customHeight="1">
      <c r="A118" s="2040" t="str">
        <f>项目基本情况!S2</f>
        <v>北京市房地产</v>
      </c>
      <c r="B118" s="2832">
        <f>M18</f>
        <v>262.77</v>
      </c>
      <c r="C118" s="2832">
        <f>M19</f>
        <v>623.5</v>
      </c>
      <c r="D118" s="4346" t="e">
        <f ca="1">ROUND(IF(D32="总价",L117,L119*B118/10000),0)</f>
        <v>#REF!</v>
      </c>
      <c r="E118" s="4346" t="e">
        <f ca="1">ROUND(IF(C33="自定义",IF(D32="楼面单价",L119,D118*10000/B118),I118-G118),0)</f>
        <v>#REF!</v>
      </c>
      <c r="F118" s="4346" t="e">
        <f ca="1">ROUND(IF(D32="总价",M117,M119*B118/10000),0)</f>
        <v>#REF!</v>
      </c>
      <c r="G118" s="4346" t="e">
        <f ca="1">ROUND(IF(D32="楼面单价",,F118*10000/B118),0)</f>
        <v>#REF!</v>
      </c>
      <c r="H118" s="4346">
        <f ca="1">ROUND(IF(D32="总价",C32,N119*B118/10000),4)</f>
        <v>611.07159999999999</v>
      </c>
      <c r="I118" s="4346">
        <f ca="1">ROUND(IF(D32="楼面单价",C32,N117*10000/B118),0)</f>
        <v>884994</v>
      </c>
      <c r="K118" s="3280"/>
      <c r="L118" s="3977"/>
      <c r="M118" s="3977"/>
      <c r="N118" s="3977"/>
    </row>
    <row r="119" spans="1:27" ht="18.75" customHeight="1">
      <c r="A119" s="4778" t="s">
        <v>1420</v>
      </c>
      <c r="B119" s="4778"/>
      <c r="C119" s="4778"/>
      <c r="D119" s="4768" t="e">
        <f ca="1">NUMBERSTRING(INT(D118*10000),2)&amp;"元整"</f>
        <v>#REF!</v>
      </c>
      <c r="E119" s="4769"/>
      <c r="F119" s="4768" t="e">
        <f ca="1">NUMBERSTRING(INT(F118*10000),2)&amp;"元整"</f>
        <v>#REF!</v>
      </c>
      <c r="G119" s="4769"/>
      <c r="H119" s="4768" t="str">
        <f ca="1">NUMBERSTRING(INT(H118*10000),2)&amp;"元整"</f>
        <v>陆佰壹拾壹万零柒佰壹拾陆元整</v>
      </c>
      <c r="I119" s="4769"/>
      <c r="K119" s="3281" t="s">
        <v>3477</v>
      </c>
      <c r="L119" s="3976" t="e">
        <f ca="1">C34</f>
        <v>#REF!</v>
      </c>
      <c r="M119" s="3976" t="e">
        <f ca="1">C35</f>
        <v>#REF!</v>
      </c>
      <c r="N119" s="3976">
        <f ca="1">C32</f>
        <v>23255</v>
      </c>
    </row>
    <row r="120" spans="1:27" ht="18.75" customHeight="1">
      <c r="A120" s="4787" t="str">
        <f>IF(项目基本情况!B9="房地产市场价值","",MID(E103,3,LEN(E103)-2))</f>
        <v/>
      </c>
      <c r="B120" s="4788"/>
      <c r="C120" s="4788"/>
      <c r="D120" s="4788"/>
      <c r="E120" s="4788"/>
      <c r="F120" s="4788"/>
      <c r="G120" s="4789"/>
      <c r="H120" s="4868">
        <f>H103</f>
        <v>0</v>
      </c>
      <c r="I120" s="4869"/>
      <c r="J120" s="1341"/>
      <c r="K120" s="1341" t="str">
        <f>IF(H120=0,"故，本次评估不存在"&amp;A120,"故，本次评估"&amp;A120&amp;"为人民币"&amp;H120&amp;"万元整。")</f>
        <v>故，本次评估不存在</v>
      </c>
      <c r="L120" s="1341"/>
      <c r="M120" s="1341"/>
      <c r="N120" s="1341"/>
      <c r="O120" s="1341"/>
      <c r="P120" s="1341"/>
      <c r="Q120" s="1341"/>
      <c r="R120" s="1341"/>
      <c r="S120" s="1341"/>
    </row>
    <row r="121" spans="1:27" ht="18.75" customHeight="1">
      <c r="A121" s="4768" t="s">
        <v>1420</v>
      </c>
      <c r="B121" s="4790"/>
      <c r="C121" s="4790"/>
      <c r="D121" s="4790"/>
      <c r="E121" s="4790"/>
      <c r="F121" s="4790"/>
      <c r="G121" s="4769"/>
      <c r="H121" s="4870" t="str">
        <f>IF(H120=0,"零元整",NUMBERSTRING(INT(H120*10000),2)&amp;"元整")</f>
        <v>零元整</v>
      </c>
      <c r="I121" s="4871"/>
      <c r="AA121" s="518"/>
    </row>
    <row r="122" spans="1:27" ht="18.75" customHeight="1">
      <c r="A122" s="4787" t="str">
        <f>IF(项目基本情况!B9="房地产市场价值","",MID(E107,3,LEN(E107)-2))</f>
        <v/>
      </c>
      <c r="B122" s="4788"/>
      <c r="C122" s="4788"/>
      <c r="D122" s="4788"/>
      <c r="E122" s="4788"/>
      <c r="F122" s="4788"/>
      <c r="G122" s="4789"/>
      <c r="H122" s="4785">
        <f ca="1">H107</f>
        <v>611.07159999999999</v>
      </c>
      <c r="I122" s="4786"/>
      <c r="AA122" s="518"/>
    </row>
    <row r="123" spans="1:27" ht="18.75" customHeight="1">
      <c r="A123" s="4768" t="s">
        <v>1420</v>
      </c>
      <c r="B123" s="4790"/>
      <c r="C123" s="4790"/>
      <c r="D123" s="4790"/>
      <c r="E123" s="4790"/>
      <c r="F123" s="4790"/>
      <c r="G123" s="4769"/>
      <c r="H123" s="4768" t="str">
        <f ca="1">NUMBERSTRING(INT(H122*10000),2)&amp;"元整"</f>
        <v>陆佰壹拾壹万零柒佰壹拾陆元整</v>
      </c>
      <c r="I123" s="4769"/>
      <c r="AA123" s="518"/>
    </row>
    <row r="124" spans="1:27" ht="18.75" customHeight="1">
      <c r="A124" s="4787" t="str">
        <f>IF(项目基本情况!B9="房地产市场价值","",MID(E109,3,LEN(E109)-2))</f>
        <v/>
      </c>
      <c r="B124" s="4788"/>
      <c r="C124" s="4788"/>
      <c r="D124" s="4788"/>
      <c r="E124" s="4788"/>
      <c r="F124" s="4788"/>
      <c r="G124" s="4789"/>
      <c r="H124" s="4785" t="str">
        <f>H109</f>
        <v>——</v>
      </c>
      <c r="I124" s="4786"/>
      <c r="AA124" s="518"/>
    </row>
    <row r="125" spans="1:27" ht="18.75" customHeight="1">
      <c r="A125" s="4768" t="s">
        <v>1420</v>
      </c>
      <c r="B125" s="4790"/>
      <c r="C125" s="4790"/>
      <c r="D125" s="4790"/>
      <c r="E125" s="4790"/>
      <c r="F125" s="4790"/>
      <c r="G125" s="4769"/>
      <c r="H125" s="4768" t="e">
        <f>NUMBERSTRING(INT(H124*10000),2)&amp;"元整"</f>
        <v>#VALUE!</v>
      </c>
      <c r="I125" s="4769"/>
      <c r="AA125" s="518"/>
    </row>
    <row r="126" spans="1:27" ht="18.75" customHeight="1">
      <c r="A126" s="4787" t="str">
        <f>IF(项目基本情况!B9="房地产市场价值","",MID(E111,3,LEN(E111)-2))</f>
        <v/>
      </c>
      <c r="B126" s="4788"/>
      <c r="C126" s="4788"/>
      <c r="D126" s="4788"/>
      <c r="E126" s="4788"/>
      <c r="F126" s="4788"/>
      <c r="G126" s="4789"/>
      <c r="H126" s="4785" t="str">
        <f>H111</f>
        <v>——</v>
      </c>
      <c r="I126" s="4786"/>
      <c r="AA126" s="518"/>
    </row>
    <row r="127" spans="1:27" ht="18.75" customHeight="1">
      <c r="A127" s="4768" t="s">
        <v>1420</v>
      </c>
      <c r="B127" s="4790"/>
      <c r="C127" s="4790"/>
      <c r="D127" s="4790"/>
      <c r="E127" s="4790"/>
      <c r="F127" s="4790"/>
      <c r="G127" s="4769"/>
      <c r="H127" s="4768" t="e">
        <f>NUMBERSTRING(INT(H126*10000),2)&amp;"元整"</f>
        <v>#VALUE!</v>
      </c>
      <c r="I127" s="4769"/>
      <c r="AA127" s="518"/>
    </row>
    <row r="128" spans="1:27" ht="21.75" customHeight="1">
      <c r="A128" s="4765" t="s">
        <v>1421</v>
      </c>
      <c r="B128" s="4765"/>
      <c r="C128" s="4765"/>
      <c r="D128" s="4765"/>
      <c r="E128" s="4765"/>
      <c r="F128" s="4765"/>
      <c r="G128" s="4765"/>
      <c r="H128" s="4765"/>
      <c r="I128" s="4765"/>
      <c r="AA128" s="518"/>
    </row>
    <row r="129" spans="1:35" ht="21.75" customHeight="1">
      <c r="A129" s="1412" t="s">
        <v>1422</v>
      </c>
      <c r="B129" s="1413"/>
      <c r="C129" s="1414" t="s">
        <v>1423</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1424</v>
      </c>
      <c r="G135" s="1429"/>
      <c r="H135" s="1429"/>
      <c r="I135" s="1430" t="s">
        <v>1425</v>
      </c>
    </row>
    <row r="136" spans="1:35" ht="21.75" customHeight="1">
      <c r="A136" s="518"/>
      <c r="B136" s="1431" t="s">
        <v>1426</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1427</v>
      </c>
    </row>
    <row r="139" spans="1:35" ht="21.75" customHeight="1">
      <c r="A139" s="518"/>
      <c r="B139" s="1431" t="s">
        <v>1428</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1427</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200" priority="22" stopIfTrue="1" operator="equal">
      <formula>25</formula>
    </cfRule>
  </conditionalFormatting>
  <conditionalFormatting sqref="C8:C9">
    <cfRule type="cellIs" dxfId="199" priority="20" stopIfTrue="1" operator="equal">
      <formula>15</formula>
    </cfRule>
  </conditionalFormatting>
  <conditionalFormatting sqref="C14:C16">
    <cfRule type="cellIs" dxfId="198" priority="14" stopIfTrue="1" operator="equal">
      <formula>30</formula>
    </cfRule>
  </conditionalFormatting>
  <conditionalFormatting sqref="D5:D7">
    <cfRule type="cellIs" dxfId="197" priority="11" stopIfTrue="1" operator="equal">
      <formula>25</formula>
    </cfRule>
  </conditionalFormatting>
  <conditionalFormatting sqref="D8:D9">
    <cfRule type="cellIs" dxfId="196" priority="10" stopIfTrue="1" operator="equal">
      <formula>15</formula>
    </cfRule>
  </conditionalFormatting>
  <conditionalFormatting sqref="C10:D13">
    <cfRule type="cellIs" dxfId="195" priority="9" stopIfTrue="1" operator="equal">
      <formula>15</formula>
    </cfRule>
  </conditionalFormatting>
  <conditionalFormatting sqref="D14:D16">
    <cfRule type="cellIs" dxfId="194" priority="7" stopIfTrue="1" operator="equal">
      <formula>30</formula>
    </cfRule>
  </conditionalFormatting>
  <conditionalFormatting sqref="C90">
    <cfRule type="expression" dxfId="193" priority="4" stopIfTrue="1">
      <formula>$H$88&lt;&gt;"仅含出让金"</formula>
    </cfRule>
  </conditionalFormatting>
  <conditionalFormatting sqref="C91">
    <cfRule type="expression" dxfId="192" priority="3" stopIfTrue="1">
      <formula>$H$91="由企业提供"</formula>
    </cfRule>
  </conditionalFormatting>
  <conditionalFormatting sqref="E36">
    <cfRule type="expression" dxfId="191" priority="2" stopIfTrue="1">
      <formula>$D$36="同一抵押权人同一抵押物续贷"</formula>
    </cfRule>
  </conditionalFormatting>
  <conditionalFormatting sqref="H66">
    <cfRule type="expression" dxfId="190"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1429</v>
      </c>
      <c r="B1" s="3070"/>
      <c r="C1" s="3586"/>
      <c r="D1" s="97"/>
      <c r="E1" s="97"/>
      <c r="F1" s="97"/>
      <c r="G1" s="795">
        <f>MATCH(B1,'数据-取费表'!A6:A16,0)+5</f>
        <v>7</v>
      </c>
    </row>
    <row r="2" spans="1:9" s="99" customFormat="1" ht="15.6">
      <c r="A2" s="100" t="s">
        <v>1430</v>
      </c>
      <c r="B2" s="2756">
        <f ca="1">IF(C1="含税",E2+C33,E2+C32)</f>
        <v>16</v>
      </c>
      <c r="C2" s="98" t="s">
        <v>1431</v>
      </c>
      <c r="D2" s="1434" t="s">
        <v>41</v>
      </c>
      <c r="E2" s="3675">
        <f ca="1">IF(D2="——",0,SUMIF(INDIRECT("'"&amp;G2&amp;"'"&amp;"!A:A"),"承租人权益价值",INDIRECT("'"&amp;G2&amp;"'"&amp;"!c:c")))</f>
        <v>0</v>
      </c>
      <c r="F2" s="1435" t="s">
        <v>1431</v>
      </c>
      <c r="G2" s="1436"/>
    </row>
    <row r="3" spans="1:9" s="99" customFormat="1" ht="16.2" thickBot="1">
      <c r="A3" s="102" t="s">
        <v>1432</v>
      </c>
      <c r="B3" s="2757">
        <f ca="1">ROUND(B2*10000/(IF(B1="",'数据-汇总表'!E3,INDIRECT("'数据-取费表'!k"&amp;$G$1))),0)</f>
        <v>609</v>
      </c>
      <c r="C3" s="98" t="s">
        <v>1433</v>
      </c>
      <c r="D3" s="98"/>
      <c r="E3" s="2744"/>
      <c r="F3" s="98"/>
      <c r="G3" s="98"/>
    </row>
    <row r="4" spans="1:9" s="99" customFormat="1" ht="16.2" thickBot="1">
      <c r="A4" s="2801" t="s">
        <v>3328</v>
      </c>
      <c r="B4" s="2802" t="s">
        <v>3329</v>
      </c>
      <c r="C4" s="2741" t="s">
        <v>3952</v>
      </c>
      <c r="D4" s="2777" t="s">
        <v>3334</v>
      </c>
      <c r="E4" s="2778" t="s">
        <v>3335</v>
      </c>
      <c r="F4" s="2778" t="s">
        <v>3336</v>
      </c>
      <c r="G4" s="2742" t="s">
        <v>3330</v>
      </c>
    </row>
    <row r="5" spans="1:9" s="107" customFormat="1" ht="15.6">
      <c r="A5" s="2779" t="s">
        <v>3327</v>
      </c>
      <c r="B5" s="2780" t="s">
        <v>3331</v>
      </c>
      <c r="C5" s="2754">
        <f ca="1">ROUND((C6+C9+C21+C24+C25+C28)/(1-F22-C26-C29),0)</f>
        <v>16</v>
      </c>
      <c r="D5" s="2781"/>
      <c r="E5" s="2781"/>
      <c r="F5" s="2781"/>
      <c r="G5" s="2936" t="s">
        <v>3470</v>
      </c>
    </row>
    <row r="6" spans="1:9" s="2767" customFormat="1" ht="14.4">
      <c r="A6" s="2746" t="s">
        <v>3337</v>
      </c>
      <c r="B6" s="2805" t="s">
        <v>3338</v>
      </c>
      <c r="C6" s="2782">
        <f>C7+C8</f>
        <v>0</v>
      </c>
      <c r="D6" s="2745"/>
      <c r="E6" s="2745"/>
      <c r="F6" s="2745"/>
      <c r="G6" s="2783"/>
    </row>
    <row r="7" spans="1:9" s="113" customFormat="1">
      <c r="A7" s="2784" t="s">
        <v>1440</v>
      </c>
      <c r="B7" s="2806" t="s">
        <v>1441</v>
      </c>
      <c r="C7" s="3264"/>
      <c r="D7" s="2785"/>
      <c r="E7" s="2786"/>
      <c r="F7" s="2786"/>
      <c r="G7" s="160"/>
    </row>
    <row r="8" spans="1:9" s="113" customFormat="1">
      <c r="A8" s="2784" t="s">
        <v>1442</v>
      </c>
      <c r="B8" s="2806" t="s">
        <v>1443</v>
      </c>
      <c r="C8" s="2755">
        <f>ROUND(C7*F8,0)</f>
        <v>0</v>
      </c>
      <c r="D8" s="148"/>
      <c r="E8" s="2786"/>
      <c r="F8" s="2787">
        <f>IF(项目基本情况!B8="出让",0,'数据-取费表'!B49+'数据-取费表'!B50)</f>
        <v>3.0499999999999999E-2</v>
      </c>
      <c r="G8" s="160"/>
    </row>
    <row r="9" spans="1:9" s="2767" customFormat="1" ht="14.4">
      <c r="A9" s="2788" t="s">
        <v>336</v>
      </c>
      <c r="B9" s="2807" t="s">
        <v>3286</v>
      </c>
      <c r="C9" s="2768">
        <f ca="1">C10+C11+C12+C13+C19+C20</f>
        <v>13</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0.6</v>
      </c>
      <c r="G10" s="160" t="s">
        <v>1466</v>
      </c>
    </row>
    <row r="11" spans="1:9" s="113" customFormat="1">
      <c r="A11" s="2808" t="s">
        <v>349</v>
      </c>
      <c r="B11" s="2809" t="s">
        <v>3322</v>
      </c>
      <c r="C11" s="2755">
        <f ca="1">ROUND(C10*F11,0)</f>
        <v>0</v>
      </c>
      <c r="D11" s="148"/>
      <c r="E11" s="148"/>
      <c r="F11" s="2766">
        <f>'数据-取费表'!B33</f>
        <v>0.05</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0.02</v>
      </c>
      <c r="G12" s="4264" t="s">
        <v>3994</v>
      </c>
    </row>
    <row r="13" spans="1:9" s="113" customFormat="1">
      <c r="A13" s="2808" t="s">
        <v>3287</v>
      </c>
      <c r="B13" s="2809" t="s">
        <v>3324</v>
      </c>
      <c r="C13" s="2755">
        <f ca="1">C14+C17+C18</f>
        <v>13</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row>
    <row r="15" spans="1:9" s="113" customFormat="1">
      <c r="A15" s="2811" t="s">
        <v>353</v>
      </c>
      <c r="B15" s="2812" t="s">
        <v>1446</v>
      </c>
      <c r="C15" s="2795">
        <f ca="1">ROUND(D15*E15/10000,0)</f>
        <v>4</v>
      </c>
      <c r="D15" s="2795">
        <f ca="1">IF(B1="",'数据-汇总表'!E5,IF(INDIRECT("'数据-取费表'!c"&amp;$G$1)="住宅",INDIRECT("'数据-取费表'!k"&amp;$G$1),0))</f>
        <v>262.77</v>
      </c>
      <c r="E15" s="2795">
        <f>'数据-取费表'!B27</f>
        <v>160</v>
      </c>
      <c r="F15" s="2787"/>
      <c r="G15" s="1438"/>
      <c r="H15" s="803"/>
      <c r="I15" s="1439" t="s">
        <v>1447</v>
      </c>
    </row>
    <row r="16" spans="1:9" s="113" customFormat="1">
      <c r="A16" s="2811" t="s">
        <v>354</v>
      </c>
      <c r="B16" s="2812" t="s">
        <v>1448</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3289</v>
      </c>
      <c r="B17" s="2813" t="s">
        <v>3294</v>
      </c>
      <c r="C17" s="2755">
        <f ca="1">IF(G17="已包含在土地取得成本中","0",ROUND(D17*E17/10000,0))</f>
        <v>7</v>
      </c>
      <c r="D17" s="2796">
        <f ca="1">D15+D16</f>
        <v>262.77</v>
      </c>
      <c r="E17" s="2796">
        <f>'数据-取费表'!B31</f>
        <v>265</v>
      </c>
      <c r="F17" s="2763"/>
      <c r="G17" s="1437"/>
    </row>
    <row r="18" spans="1:7" s="113" customFormat="1">
      <c r="A18" s="2814" t="s">
        <v>3290</v>
      </c>
      <c r="B18" s="2813" t="s">
        <v>1471</v>
      </c>
      <c r="C18" s="2755">
        <f ca="1">ROUND(E18*D18*F10/10000,0)</f>
        <v>6</v>
      </c>
      <c r="D18" s="2755">
        <f ca="1">D17</f>
        <v>262.77</v>
      </c>
      <c r="E18" s="2755">
        <f>'数据-取费表'!B35</f>
        <v>360</v>
      </c>
      <c r="F18" s="2766"/>
      <c r="G18" s="160" t="str">
        <f ca="1">IF(F10=100%,"","按工程进度计取")</f>
        <v>按工程进度计取</v>
      </c>
    </row>
    <row r="19" spans="1:7" s="113" customFormat="1">
      <c r="A19" s="2808" t="s">
        <v>352</v>
      </c>
      <c r="B19" s="2809" t="s">
        <v>3325</v>
      </c>
      <c r="C19" s="2755">
        <f ca="1">ROUND(C10*F19,0)</f>
        <v>0</v>
      </c>
      <c r="D19" s="148"/>
      <c r="E19" s="148"/>
      <c r="F19" s="2766">
        <f>'数据-取费表'!B36</f>
        <v>0</v>
      </c>
      <c r="G19" s="160" t="s">
        <v>1468</v>
      </c>
    </row>
    <row r="20" spans="1:7" s="113" customFormat="1">
      <c r="A20" s="2808" t="s">
        <v>3291</v>
      </c>
      <c r="B20" s="2809" t="s">
        <v>3326</v>
      </c>
      <c r="C20" s="2755">
        <f ca="1">ROUND(C10*F20,0)</f>
        <v>0</v>
      </c>
      <c r="D20" s="2797"/>
      <c r="E20" s="144"/>
      <c r="F20" s="2766">
        <f>'数据-取费表'!B37</f>
        <v>0</v>
      </c>
      <c r="G20" s="160" t="s">
        <v>1468</v>
      </c>
    </row>
    <row r="21" spans="1:7" s="2767" customFormat="1" ht="14.4">
      <c r="A21" s="2746" t="s">
        <v>3339</v>
      </c>
      <c r="B21" s="2805" t="s">
        <v>3340</v>
      </c>
      <c r="C21" s="2768">
        <f ca="1">ROUND((C6+C9)*F21,0)</f>
        <v>0</v>
      </c>
      <c r="D21" s="2769"/>
      <c r="E21" s="2769"/>
      <c r="F21" s="2773">
        <f>'数据-取费表'!B38</f>
        <v>1.4999999999999999E-2</v>
      </c>
      <c r="G21" s="2770" t="s">
        <v>3341</v>
      </c>
    </row>
    <row r="22" spans="1:7" s="2767" customFormat="1" ht="14.4">
      <c r="A22" s="2746" t="s">
        <v>3342</v>
      </c>
      <c r="B22" s="2805" t="s">
        <v>3343</v>
      </c>
      <c r="C22" s="2771" t="str">
        <f>F22&amp;"V"</f>
        <v>0.03V</v>
      </c>
      <c r="D22" s="302"/>
      <c r="E22" s="2769"/>
      <c r="F22" s="2773">
        <f>'数据-取费表'!B39</f>
        <v>0.03</v>
      </c>
      <c r="G22" s="3804" t="s">
        <v>3988</v>
      </c>
    </row>
    <row r="23" spans="1:7" s="2767" customFormat="1" ht="14.4">
      <c r="A23" s="2746" t="s">
        <v>3344</v>
      </c>
      <c r="B23" s="2807" t="s">
        <v>3295</v>
      </c>
      <c r="C23" s="2747" t="str">
        <f ca="1">SUM(C24:C25)&amp;"+"&amp;C26&amp;"V"</f>
        <v>0+0V</v>
      </c>
      <c r="D23" s="2772"/>
      <c r="E23" s="302"/>
      <c r="F23" s="2773">
        <f ca="1">'数据-取费表'!B41</f>
        <v>0.03</v>
      </c>
      <c r="G23" s="2770" t="str">
        <f>IF('数据-取费表'!B22&lt;=1,"单利计息","复利计息")</f>
        <v>单利计息</v>
      </c>
    </row>
    <row r="24" spans="1:7" s="113" customFormat="1">
      <c r="A24" s="2815" t="s">
        <v>1450</v>
      </c>
      <c r="B24" s="2813" t="s">
        <v>1451</v>
      </c>
      <c r="C24" s="2761">
        <f ca="1">ROUND(IF('数据-取费表'!B22&lt;=1,C6*F23*'数据-取费表'!B23,C6*(POWER((1+F23),'数据-取费表'!B23)-1)),0)</f>
        <v>0</v>
      </c>
      <c r="D24" s="137"/>
      <c r="E24" s="137"/>
      <c r="F24" s="2762"/>
      <c r="G24" s="4264" t="s">
        <v>3989</v>
      </c>
    </row>
    <row r="25" spans="1:7" s="113" customFormat="1">
      <c r="A25" s="2815" t="s">
        <v>1452</v>
      </c>
      <c r="B25" s="2813" t="s">
        <v>3296</v>
      </c>
      <c r="C25" s="2761">
        <f ca="1">ROUND(IF('数据-取费表'!B22&lt;=1,(C9+C21)*F23*'数据-取费表'!B23/2,(C9+C21)*(POWER((1+F23),'数据-取费表'!B23/2)-1)),0)</f>
        <v>0</v>
      </c>
      <c r="D25" s="137"/>
      <c r="E25" s="137"/>
      <c r="F25" s="2762"/>
      <c r="G25" s="4264" t="s">
        <v>3990</v>
      </c>
    </row>
    <row r="26" spans="1:7" s="113" customFormat="1">
      <c r="A26" s="2815" t="s">
        <v>348</v>
      </c>
      <c r="B26" s="2813" t="s">
        <v>1453</v>
      </c>
      <c r="C26" s="2758">
        <f ca="1">ROUND(IF('数据-取费表'!B22&lt;=1,F22*F23*'数据-取费表'!B23/2,F22*(POWER((1+F23),'数据-取费表'!B23/2)-1)),4)</f>
        <v>0</v>
      </c>
      <c r="D26" s="137"/>
      <c r="E26" s="140"/>
      <c r="F26" s="2762"/>
      <c r="G26" s="4610" t="s">
        <v>3991</v>
      </c>
    </row>
    <row r="27" spans="1:7" s="2767" customFormat="1" ht="14.4">
      <c r="A27" s="2746" t="s">
        <v>3345</v>
      </c>
      <c r="B27" s="2807" t="s">
        <v>3297</v>
      </c>
      <c r="C27" s="2774" t="str">
        <f ca="1">C28&amp;"+"&amp;C29&amp;"V"</f>
        <v>2+0.0045V</v>
      </c>
      <c r="D27" s="2772"/>
      <c r="E27" s="302"/>
      <c r="F27" s="2775">
        <f ca="1">IF(B1="",'数据-取费表'!Q16,INDIRECT("'数据-取费表'!q"&amp;$G$1))</f>
        <v>0.15</v>
      </c>
      <c r="G27" s="2770" t="s">
        <v>3996</v>
      </c>
    </row>
    <row r="28" spans="1:7" s="113" customFormat="1">
      <c r="A28" s="2808" t="s">
        <v>344</v>
      </c>
      <c r="B28" s="2813" t="s">
        <v>1458</v>
      </c>
      <c r="C28" s="2740">
        <f ca="1">ROUND(C6*F27*'数据-取费表'!B23/'数据-取费表'!B22+(C9+C21)*F27,0)</f>
        <v>2</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1459</v>
      </c>
      <c r="C29" s="2758">
        <f ca="1">ROUND(F22*F27,4)</f>
        <v>4.4999999999999997E-3</v>
      </c>
      <c r="D29" s="134"/>
      <c r="E29" s="135"/>
      <c r="F29" s="2763"/>
      <c r="G29" s="146"/>
    </row>
    <row r="30" spans="1:7" s="2767" customFormat="1" ht="14.4">
      <c r="A30" s="2746" t="s">
        <v>3346</v>
      </c>
      <c r="B30" s="2805" t="s">
        <v>3347</v>
      </c>
      <c r="C30" s="2768">
        <v>0</v>
      </c>
      <c r="D30" s="302"/>
      <c r="E30" s="2748"/>
      <c r="F30" s="2773"/>
      <c r="G30" s="2776" t="s">
        <v>3298</v>
      </c>
    </row>
    <row r="31" spans="1:7" s="113" customFormat="1" ht="15.6">
      <c r="A31" s="2816">
        <v>2</v>
      </c>
      <c r="B31" s="2817" t="s">
        <v>3299</v>
      </c>
      <c r="C31" s="2759">
        <f ca="1">C57</f>
        <v>0</v>
      </c>
      <c r="D31" s="2750"/>
      <c r="E31" s="2750"/>
      <c r="F31" s="2764">
        <f>IF('数据-取费表'!B24=0,'数据-取费表'!N16,1)</f>
        <v>1</v>
      </c>
      <c r="G31" s="2751" t="s">
        <v>3810</v>
      </c>
    </row>
    <row r="32" spans="1:7" s="113" customFormat="1" ht="15.6">
      <c r="A32" s="2738" t="s">
        <v>3300</v>
      </c>
      <c r="B32" s="2737" t="s">
        <v>3301</v>
      </c>
      <c r="C32" s="2759">
        <f ca="1">C5-C31</f>
        <v>16</v>
      </c>
      <c r="D32" s="2750"/>
      <c r="E32" s="2750"/>
      <c r="F32" s="2749"/>
      <c r="G32" s="2752" t="s">
        <v>3332</v>
      </c>
    </row>
    <row r="33" spans="1:7" s="113" customFormat="1" ht="16.2" thickBot="1">
      <c r="A33" s="2818">
        <v>4</v>
      </c>
      <c r="B33" s="2819" t="s">
        <v>3333</v>
      </c>
      <c r="C33" s="2760">
        <f ca="1">ROUND(C32*(1+F33),0)</f>
        <v>17</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 thickBot="1">
      <c r="A38" s="3007" t="s">
        <v>3302</v>
      </c>
      <c r="B38" s="3008"/>
      <c r="C38" s="3008"/>
      <c r="D38" s="3008"/>
      <c r="E38" s="3008"/>
      <c r="F38" s="3008"/>
      <c r="G38" s="3009"/>
    </row>
    <row r="39" spans="1:7" ht="15" thickBot="1">
      <c r="A39" s="3010" t="s">
        <v>3328</v>
      </c>
      <c r="B39" s="3011" t="s">
        <v>3329</v>
      </c>
      <c r="C39" s="3012" t="s">
        <v>3952</v>
      </c>
      <c r="D39" s="3013" t="s">
        <v>3452</v>
      </c>
      <c r="E39" s="3014" t="s">
        <v>3453</v>
      </c>
      <c r="F39" s="3014" t="s">
        <v>3454</v>
      </c>
      <c r="G39" s="3015" t="s">
        <v>3330</v>
      </c>
    </row>
    <row r="40" spans="1:7" ht="14.4">
      <c r="A40" s="2868" t="s">
        <v>3455</v>
      </c>
      <c r="B40" s="3017" t="s">
        <v>3303</v>
      </c>
      <c r="C40" s="3018">
        <f ca="1">SUM(C41:C46)</f>
        <v>6</v>
      </c>
      <c r="D40" s="3016"/>
      <c r="E40" s="3016"/>
      <c r="F40" s="3016"/>
      <c r="G40" s="4349"/>
    </row>
    <row r="41" spans="1:7" ht="15.6">
      <c r="A41" s="2800" t="s">
        <v>3304</v>
      </c>
      <c r="B41" s="2867" t="str">
        <f t="shared" ref="B41:C43" si="0">B10</f>
        <v xml:space="preserve">  建安费用</v>
      </c>
      <c r="C41" s="2735">
        <f t="shared" ca="1" si="0"/>
        <v>0</v>
      </c>
      <c r="D41" s="2730"/>
      <c r="E41" s="2730"/>
      <c r="F41" s="2731"/>
      <c r="G41" s="4350"/>
    </row>
    <row r="42" spans="1:7" ht="15.6">
      <c r="A42" s="2800" t="s">
        <v>3305</v>
      </c>
      <c r="B42" s="2867" t="str">
        <f t="shared" si="0"/>
        <v xml:space="preserve">  前期费用</v>
      </c>
      <c r="C42" s="2735">
        <f t="shared" ca="1" si="0"/>
        <v>0</v>
      </c>
      <c r="D42" s="2730"/>
      <c r="E42" s="2730"/>
      <c r="F42" s="2731"/>
      <c r="G42" s="4350"/>
    </row>
    <row r="43" spans="1:7" ht="15.6">
      <c r="A43" s="2800" t="s">
        <v>3369</v>
      </c>
      <c r="B43" s="2804" t="str">
        <f t="shared" si="0"/>
        <v xml:space="preserve">  公共配套设施费用</v>
      </c>
      <c r="C43" s="2735">
        <f t="shared" ca="1" si="0"/>
        <v>0</v>
      </c>
      <c r="D43" s="2730"/>
      <c r="E43" s="2730"/>
      <c r="F43" s="2731"/>
      <c r="G43" s="4350"/>
    </row>
    <row r="44" spans="1:7" ht="15.6">
      <c r="A44" s="2800" t="s">
        <v>3287</v>
      </c>
      <c r="B44" s="2804" t="str">
        <f>B18</f>
        <v>红线内市政费用</v>
      </c>
      <c r="C44" s="2735">
        <f ca="1">C18</f>
        <v>6</v>
      </c>
      <c r="D44" s="2730"/>
      <c r="E44" s="2730"/>
      <c r="F44" s="2731"/>
      <c r="G44" s="4350"/>
    </row>
    <row r="45" spans="1:7" ht="15.6">
      <c r="A45" s="2815" t="s">
        <v>3306</v>
      </c>
      <c r="B45" s="2810" t="str">
        <f>B19</f>
        <v xml:space="preserve">  其他工程费</v>
      </c>
      <c r="C45" s="2740">
        <f ca="1">C19</f>
        <v>0</v>
      </c>
      <c r="D45" s="2865"/>
      <c r="E45" s="2865"/>
      <c r="F45" s="2866"/>
      <c r="G45" s="4351"/>
    </row>
    <row r="46" spans="1:7" ht="15.6">
      <c r="A46" s="2815" t="s">
        <v>3368</v>
      </c>
      <c r="B46" s="2810" t="s">
        <v>3307</v>
      </c>
      <c r="C46" s="2740">
        <f ca="1">C20</f>
        <v>0</v>
      </c>
      <c r="D46" s="2865"/>
      <c r="E46" s="2865"/>
      <c r="F46" s="2866"/>
      <c r="G46" s="4351"/>
    </row>
    <row r="47" spans="1:7" ht="14.4">
      <c r="A47" s="2868" t="s">
        <v>3456</v>
      </c>
      <c r="B47" s="2869" t="s">
        <v>3457</v>
      </c>
      <c r="C47" s="2870">
        <f ca="1">ROUND(C40*F47,0)</f>
        <v>0</v>
      </c>
      <c r="D47" s="2871"/>
      <c r="E47" s="2871"/>
      <c r="F47" s="2872">
        <f>F21</f>
        <v>1.4999999999999999E-2</v>
      </c>
      <c r="G47" s="2873" t="s">
        <v>3458</v>
      </c>
    </row>
    <row r="48" spans="1:7" ht="14.4">
      <c r="A48" s="2868" t="s">
        <v>3459</v>
      </c>
      <c r="B48" s="2869" t="s">
        <v>3460</v>
      </c>
      <c r="C48" s="2874" t="str">
        <f>F48&amp;"V建1"</f>
        <v>0.03V建1</v>
      </c>
      <c r="D48" s="2871"/>
      <c r="E48" s="2871"/>
      <c r="F48" s="2872">
        <f>F22</f>
        <v>0.03</v>
      </c>
      <c r="G48" s="4611" t="s">
        <v>3992</v>
      </c>
    </row>
    <row r="49" spans="1:7" ht="14.4">
      <c r="A49" s="2868" t="s">
        <v>3461</v>
      </c>
      <c r="B49" s="2875" t="s">
        <v>3367</v>
      </c>
      <c r="C49" s="2768" t="str">
        <f ca="1">C50&amp;"+"&amp;C51&amp;"V建1"</f>
        <v>0+0.0005V建1</v>
      </c>
      <c r="D49" s="302"/>
      <c r="E49" s="302"/>
      <c r="F49" s="2884">
        <f ca="1">F23</f>
        <v>0.03</v>
      </c>
      <c r="G49" s="4352" t="str">
        <f>IF('数据-取费表'!B22&lt;=1,"单利计息","复利计息")</f>
        <v>单利计息</v>
      </c>
    </row>
    <row r="50" spans="1:7">
      <c r="A50" s="2800" t="s">
        <v>3304</v>
      </c>
      <c r="B50" s="2803" t="s">
        <v>3371</v>
      </c>
      <c r="C50" s="2887">
        <f ca="1">ROUND(IF('数据-取费表'!B22&lt;=1,(C40+C47)*F49*'数据-取费表'!B22/2,(C40+C47)*(POWER((1+F49),'数据-取费表'!B22/2)-1)),0)</f>
        <v>0</v>
      </c>
      <c r="D50" s="1070"/>
      <c r="E50" s="1070"/>
      <c r="F50" s="1053"/>
      <c r="G50" s="4872" t="str">
        <f ca="1">IF(F10=100%,"建设期均匀投入","已建工期均匀投入")</f>
        <v>已建工期均匀投入</v>
      </c>
    </row>
    <row r="51" spans="1:7">
      <c r="A51" s="2800" t="s">
        <v>3305</v>
      </c>
      <c r="B51" s="2804" t="s">
        <v>3310</v>
      </c>
      <c r="C51" s="2888">
        <f ca="1">ROUND(IF('数据-取费表'!B22&lt;=1,F48*F23*'数据-取费表'!B22/2,F48*(POWER((1+F23),'数据-取费表'!B22/2)-1)),4)</f>
        <v>5.0000000000000001E-4</v>
      </c>
      <c r="D51" s="1070"/>
      <c r="E51" s="1070"/>
      <c r="F51" s="1053"/>
      <c r="G51" s="4873"/>
    </row>
    <row r="52" spans="1:7" ht="14.4">
      <c r="A52" s="2868" t="s">
        <v>3462</v>
      </c>
      <c r="B52" s="2877" t="s">
        <v>3311</v>
      </c>
      <c r="C52" s="2878" t="str">
        <f ca="1">C53&amp;"+"&amp;C54&amp;"V建1"</f>
        <v>1+0.0045V建1</v>
      </c>
      <c r="D52" s="2879"/>
      <c r="E52" s="2871"/>
      <c r="F52" s="2880">
        <f ca="1">F27</f>
        <v>0.15</v>
      </c>
      <c r="G52" s="2881" t="s">
        <v>3463</v>
      </c>
    </row>
    <row r="53" spans="1:7">
      <c r="A53" s="2800" t="s">
        <v>3308</v>
      </c>
      <c r="B53" s="2803" t="s">
        <v>3312</v>
      </c>
      <c r="C53" s="2735">
        <f ca="1">ROUND((C40+C47)*F27,0)</f>
        <v>1</v>
      </c>
      <c r="D53" s="2736"/>
      <c r="E53" s="2732"/>
      <c r="F53" s="2733"/>
      <c r="G53" s="2734"/>
    </row>
    <row r="54" spans="1:7">
      <c r="A54" s="2800" t="s">
        <v>3309</v>
      </c>
      <c r="B54" s="2803" t="s">
        <v>3313</v>
      </c>
      <c r="C54" s="2799">
        <f ca="1">ROUND(F48*F27,4)</f>
        <v>4.4999999999999997E-3</v>
      </c>
      <c r="D54" s="2736"/>
      <c r="E54" s="2732"/>
      <c r="F54" s="2733"/>
      <c r="G54" s="2734"/>
    </row>
    <row r="55" spans="1:7" ht="14.4">
      <c r="A55" s="2746" t="s">
        <v>3464</v>
      </c>
      <c r="B55" s="2886" t="s">
        <v>3465</v>
      </c>
      <c r="C55" s="4353">
        <v>0</v>
      </c>
      <c r="D55" s="2772"/>
      <c r="E55" s="302"/>
      <c r="F55" s="2876"/>
      <c r="G55" s="2883" t="s">
        <v>3316</v>
      </c>
    </row>
    <row r="56" spans="1:7" ht="16.8">
      <c r="A56" s="2746" t="s">
        <v>3469</v>
      </c>
      <c r="B56" s="2882" t="s">
        <v>3466</v>
      </c>
      <c r="C56" s="2768">
        <f ca="1">ROUND((C40+C47+C50+C53)/(1-F48-C51-C54),0)</f>
        <v>7</v>
      </c>
      <c r="D56" s="302"/>
      <c r="E56" s="302"/>
      <c r="F56" s="2884"/>
      <c r="G56" s="2883" t="s">
        <v>3317</v>
      </c>
    </row>
    <row r="57" spans="1:7" ht="14.4">
      <c r="A57" s="2746" t="s">
        <v>3433</v>
      </c>
      <c r="B57" s="2885" t="s">
        <v>3314</v>
      </c>
      <c r="C57" s="2768">
        <f ca="1">ROUND(C56*(1-F57),0)</f>
        <v>0</v>
      </c>
      <c r="D57" s="302"/>
      <c r="E57" s="302"/>
      <c r="F57" s="2884">
        <f>F31</f>
        <v>1</v>
      </c>
      <c r="G57" s="2883" t="s">
        <v>3318</v>
      </c>
    </row>
    <row r="58" spans="1:7" ht="16.8">
      <c r="A58" s="2746" t="s">
        <v>3467</v>
      </c>
      <c r="B58" s="2882" t="s">
        <v>3468</v>
      </c>
      <c r="C58" s="2768">
        <f ca="1">C56-C57</f>
        <v>7</v>
      </c>
      <c r="D58" s="302"/>
      <c r="E58" s="302"/>
      <c r="F58" s="2884"/>
      <c r="G58" s="2883" t="s">
        <v>3319</v>
      </c>
    </row>
    <row r="59" spans="1:7" ht="15" thickBot="1">
      <c r="A59" s="4354" t="s">
        <v>3370</v>
      </c>
      <c r="B59" s="4355" t="s">
        <v>3315</v>
      </c>
      <c r="C59" s="4356">
        <f ca="1">ROUND(C58*(1+F59),0)</f>
        <v>8</v>
      </c>
      <c r="D59" s="4357"/>
      <c r="E59" s="4357"/>
      <c r="F59" s="4358">
        <f>F33</f>
        <v>0.09</v>
      </c>
      <c r="G59" s="4359" t="s">
        <v>3993</v>
      </c>
    </row>
    <row r="60" spans="1:7" ht="15.6">
      <c r="A60" s="2728"/>
      <c r="B60" s="2729"/>
    </row>
    <row r="62" spans="1:7" ht="21" customHeight="1">
      <c r="B62" s="2798" t="s">
        <v>1497</v>
      </c>
      <c r="C62" s="170"/>
    </row>
    <row r="63" spans="1:7" ht="21" customHeight="1">
      <c r="B63" s="216" t="s">
        <v>787</v>
      </c>
      <c r="C63" s="4427">
        <f ca="1">1-C64</f>
        <v>0.56200000000000006</v>
      </c>
    </row>
    <row r="64" spans="1:7" ht="21" customHeight="1">
      <c r="B64" s="216" t="s">
        <v>788</v>
      </c>
      <c r="C64" s="4428">
        <f ca="1">ROUND(C58/C32,3)</f>
        <v>0.438</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60" t="str">
        <f>项目基本情况!B1</f>
        <v>北京市房地产市场价值预评估</v>
      </c>
      <c r="C37" s="4660"/>
      <c r="D37" s="4660"/>
      <c r="E37" s="4660"/>
      <c r="F37" s="4660"/>
      <c r="G37" s="4660"/>
      <c r="H37" s="4660"/>
      <c r="I37" s="4660"/>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 ca="1">项目基本情况!K4</f>
        <v>陈颖（注册号：0)、（注册号：0)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1429</v>
      </c>
      <c r="B1" s="3070" t="s">
        <v>3271</v>
      </c>
      <c r="C1" s="3586" t="s">
        <v>4023</v>
      </c>
      <c r="D1" s="1440" t="s">
        <v>1498</v>
      </c>
      <c r="E1" s="97"/>
      <c r="F1" s="97"/>
      <c r="G1" s="795">
        <f>MATCH(B1,'数据-取费表'!A6:A16,0)+5</f>
        <v>6</v>
      </c>
      <c r="H1" s="3263" t="str">
        <f>IF(ISERROR(FIND("住宅",B1)),"非住宅","住宅")</f>
        <v>住宅</v>
      </c>
    </row>
    <row r="2" spans="1:10" s="99" customFormat="1" ht="15.6">
      <c r="A2" s="100" t="s">
        <v>1430</v>
      </c>
      <c r="B2" s="3979">
        <f ca="1">ROUND(D3/10000,4)</f>
        <v>511.4837</v>
      </c>
      <c r="C2" s="98" t="s">
        <v>1431</v>
      </c>
      <c r="D2" s="1434" t="s">
        <v>41</v>
      </c>
      <c r="E2" s="2743">
        <f ca="1">IF(D2="——",0,SUMIF(INDIRECT("'"&amp;G2&amp;"'"&amp;"!A:A"),"承租人权益价值",INDIRECT("'"&amp;G2&amp;"'"&amp;"!c:c")))</f>
        <v>0</v>
      </c>
      <c r="F2" s="1435" t="s">
        <v>1431</v>
      </c>
      <c r="G2" s="1436"/>
    </row>
    <row r="3" spans="1:10" s="99" customFormat="1" ht="16.2" thickBot="1">
      <c r="A3" s="102" t="s">
        <v>672</v>
      </c>
      <c r="B3" s="2757">
        <f ca="1">ROUND(D3/(IF(B1="",'数据-汇总表'!E3,INDIRECT("'数据-取费表'!k"&amp;$G$1))),0)</f>
        <v>19465</v>
      </c>
      <c r="C3" s="98" t="s">
        <v>1433</v>
      </c>
      <c r="D3" s="98">
        <f ca="1">IF(C1="含税",E2+C33,E2+C32)</f>
        <v>5114837</v>
      </c>
      <c r="E3" s="2744"/>
      <c r="F3" s="98"/>
      <c r="G3" s="98"/>
    </row>
    <row r="4" spans="1:10" s="99" customFormat="1" ht="16.2" thickBot="1">
      <c r="A4" s="2801" t="s">
        <v>3328</v>
      </c>
      <c r="B4" s="2802" t="s">
        <v>3329</v>
      </c>
      <c r="C4" s="2741" t="s">
        <v>3952</v>
      </c>
      <c r="D4" s="2777" t="s">
        <v>3334</v>
      </c>
      <c r="E4" s="2778" t="s">
        <v>3335</v>
      </c>
      <c r="F4" s="2778" t="s">
        <v>3336</v>
      </c>
      <c r="G4" s="2742" t="s">
        <v>3330</v>
      </c>
    </row>
    <row r="5" spans="1:10" s="107" customFormat="1" ht="15.6">
      <c r="A5" s="2779" t="s">
        <v>3327</v>
      </c>
      <c r="B5" s="2780" t="s">
        <v>3331</v>
      </c>
      <c r="C5" s="2754">
        <f ca="1">ROUND((C6+C9+C21+C24+C25+C28)/(1-F22-C26-C29),0)</f>
        <v>4692511</v>
      </c>
      <c r="D5" s="2781"/>
      <c r="E5" s="2781"/>
      <c r="F5" s="2781"/>
      <c r="G5" s="2936" t="s">
        <v>3470</v>
      </c>
      <c r="J5" s="99"/>
    </row>
    <row r="6" spans="1:10" s="2767" customFormat="1" ht="15">
      <c r="A6" s="2746" t="s">
        <v>3337</v>
      </c>
      <c r="B6" s="2805" t="s">
        <v>3338</v>
      </c>
      <c r="C6" s="2782">
        <f>C7+C8</f>
        <v>3699999</v>
      </c>
      <c r="D6" s="2745"/>
      <c r="E6" s="2745"/>
      <c r="F6" s="2745"/>
      <c r="G6" s="2783"/>
      <c r="J6" s="99"/>
    </row>
    <row r="7" spans="1:10" s="113" customFormat="1" ht="15">
      <c r="A7" s="2784" t="s">
        <v>344</v>
      </c>
      <c r="B7" s="2806" t="s">
        <v>1441</v>
      </c>
      <c r="C7" s="3264">
        <f>ROUND(基准地价修正!C33*基准地价修正!D33,0)</f>
        <v>3590489</v>
      </c>
      <c r="D7" s="2785"/>
      <c r="E7" s="2786"/>
      <c r="F7" s="2786"/>
      <c r="G7" s="160"/>
      <c r="J7" s="99"/>
    </row>
    <row r="8" spans="1:10" s="113" customFormat="1" ht="15">
      <c r="A8" s="2784" t="s">
        <v>345</v>
      </c>
      <c r="B8" s="2806" t="s">
        <v>1443</v>
      </c>
      <c r="C8" s="2755">
        <f>ROUND(C7*F8,0)</f>
        <v>109510</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656924</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525540</v>
      </c>
      <c r="D10" s="2785"/>
      <c r="E10" s="148"/>
      <c r="F10" s="2793">
        <f ca="1">IF('数据-取费表'!B24=0,1,IF(B1="",'数据-取费表'!N16,INDIRECT("'数据-取费表'!n"&amp;$G$1)))</f>
        <v>0.6</v>
      </c>
      <c r="G10" s="160" t="s">
        <v>1466</v>
      </c>
      <c r="J10" s="99"/>
    </row>
    <row r="11" spans="1:10" s="113" customFormat="1" ht="15">
      <c r="A11" s="2808" t="s">
        <v>349</v>
      </c>
      <c r="B11" s="2809" t="s">
        <v>3322</v>
      </c>
      <c r="C11" s="2755">
        <f ca="1">ROUND(C10*F11,0)</f>
        <v>26277</v>
      </c>
      <c r="D11" s="148"/>
      <c r="E11" s="148"/>
      <c r="F11" s="2766">
        <f>'数据-取费表'!B33</f>
        <v>0.05</v>
      </c>
      <c r="G11" s="160" t="s">
        <v>1468</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6306</v>
      </c>
      <c r="D12" s="148"/>
      <c r="E12" s="148"/>
      <c r="F12" s="2766">
        <f>'数据-取费表'!B34</f>
        <v>0.02</v>
      </c>
      <c r="G12" s="4264" t="s">
        <v>3995</v>
      </c>
      <c r="J12" s="99"/>
    </row>
    <row r="13" spans="1:10" s="113" customFormat="1" ht="15">
      <c r="A13" s="2808" t="s">
        <v>3287</v>
      </c>
      <c r="B13" s="2809" t="s">
        <v>3324</v>
      </c>
      <c r="C13" s="2755">
        <f ca="1">C14+C17+C18</f>
        <v>98801</v>
      </c>
      <c r="D13" s="148"/>
      <c r="E13" s="2786"/>
      <c r="F13" s="2787"/>
      <c r="G13" s="160"/>
      <c r="J13" s="99"/>
    </row>
    <row r="14" spans="1:10" s="122" customFormat="1" ht="15">
      <c r="A14" s="2739" t="s">
        <v>3288</v>
      </c>
      <c r="B14" s="2810" t="s">
        <v>3320</v>
      </c>
      <c r="C14" s="2755">
        <f ca="1">IF(G14="已包含在土地购买价格中","0",IF(B1="",'数据-取费表'!B29,IF(G15="全部缴纳",C15+C16,H15)))</f>
        <v>42043</v>
      </c>
      <c r="D14" s="2794"/>
      <c r="E14" s="148"/>
      <c r="F14" s="2787"/>
      <c r="G14" s="1437" t="s">
        <v>4024</v>
      </c>
      <c r="J14" s="99"/>
    </row>
    <row r="15" spans="1:10" s="113" customFormat="1" ht="15">
      <c r="A15" s="2811" t="s">
        <v>353</v>
      </c>
      <c r="B15" s="2812" t="s">
        <v>1446</v>
      </c>
      <c r="C15" s="2795">
        <f ca="1">ROUND(D15*E15,0)</f>
        <v>42043</v>
      </c>
      <c r="D15" s="2795">
        <f ca="1">IF(B1="",'数据-汇总表'!E5,IF(INDIRECT("'数据-取费表'!c"&amp;$G$1)="住宅",INDIRECT("'数据-取费表'!k"&amp;$G$1),0))</f>
        <v>262.77</v>
      </c>
      <c r="E15" s="2795">
        <f>'数据-取费表'!B27</f>
        <v>160</v>
      </c>
      <c r="F15" s="2787"/>
      <c r="G15" s="1438" t="s">
        <v>4025</v>
      </c>
      <c r="H15" s="803"/>
      <c r="I15" s="1439" t="s">
        <v>1447</v>
      </c>
      <c r="J15" s="99"/>
    </row>
    <row r="16" spans="1:10" s="113" customFormat="1" ht="15">
      <c r="A16" s="2811" t="s">
        <v>354</v>
      </c>
      <c r="B16" s="2812" t="s">
        <v>1448</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3289</v>
      </c>
      <c r="B17" s="2813" t="s">
        <v>3294</v>
      </c>
      <c r="C17" s="2755" t="str">
        <f>IF(G17="已包含在土地取得成本中","0",ROUND(D17*E17,0))</f>
        <v>0</v>
      </c>
      <c r="D17" s="2796">
        <f ca="1">D15+D16</f>
        <v>262.77</v>
      </c>
      <c r="E17" s="2796">
        <f>'数据-取费表'!B31</f>
        <v>265</v>
      </c>
      <c r="F17" s="2763"/>
      <c r="G17" s="1437" t="s">
        <v>4026</v>
      </c>
      <c r="J17" s="99"/>
    </row>
    <row r="18" spans="1:10" s="113" customFormat="1" ht="15">
      <c r="A18" s="2814" t="s">
        <v>3290</v>
      </c>
      <c r="B18" s="2813" t="s">
        <v>1471</v>
      </c>
      <c r="C18" s="2755">
        <f ca="1">ROUND(E18*D18*F10,0)</f>
        <v>56758</v>
      </c>
      <c r="D18" s="2755">
        <f ca="1">D17</f>
        <v>262.77</v>
      </c>
      <c r="E18" s="2755">
        <f>'数据-取费表'!B35</f>
        <v>360</v>
      </c>
      <c r="F18" s="2766"/>
      <c r="G18" s="160" t="str">
        <f ca="1">IF(F10=100%,"","按工程进度计取")</f>
        <v>按工程进度计取</v>
      </c>
      <c r="J18" s="99"/>
    </row>
    <row r="19" spans="1:10" s="113" customFormat="1" ht="15">
      <c r="A19" s="2808" t="s">
        <v>352</v>
      </c>
      <c r="B19" s="2809" t="s">
        <v>3325</v>
      </c>
      <c r="C19" s="2755">
        <f ca="1">ROUND(C10*F19,0)</f>
        <v>0</v>
      </c>
      <c r="D19" s="148"/>
      <c r="E19" s="148"/>
      <c r="F19" s="2766">
        <f>'数据-取费表'!B36</f>
        <v>0</v>
      </c>
      <c r="G19" s="160" t="s">
        <v>1468</v>
      </c>
      <c r="J19" s="99"/>
    </row>
    <row r="20" spans="1:10" s="113" customFormat="1" ht="15">
      <c r="A20" s="2808" t="s">
        <v>3291</v>
      </c>
      <c r="B20" s="2809" t="s">
        <v>3326</v>
      </c>
      <c r="C20" s="2755">
        <f ca="1">ROUND(C10*F20,0)</f>
        <v>0</v>
      </c>
      <c r="D20" s="2797"/>
      <c r="E20" s="144"/>
      <c r="F20" s="2766">
        <f>'数据-取费表'!B37</f>
        <v>0</v>
      </c>
      <c r="G20" s="160" t="s">
        <v>1468</v>
      </c>
      <c r="J20" s="99"/>
    </row>
    <row r="21" spans="1:10" s="2767" customFormat="1" ht="15">
      <c r="A21" s="2746" t="s">
        <v>3339</v>
      </c>
      <c r="B21" s="2805" t="s">
        <v>3340</v>
      </c>
      <c r="C21" s="2768">
        <f ca="1">ROUND((C6+C9)*F21,0)</f>
        <v>65354</v>
      </c>
      <c r="D21" s="2769"/>
      <c r="E21" s="2769"/>
      <c r="F21" s="2773">
        <f>'数据-取费表'!B38</f>
        <v>1.4999999999999999E-2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0+0V</v>
      </c>
      <c r="D23" s="2772"/>
      <c r="E23" s="302"/>
      <c r="F23" s="2773">
        <f ca="1">'数据-取费表'!B41</f>
        <v>0.03</v>
      </c>
      <c r="G23" s="2770" t="str">
        <f>IF('数据-取费表'!B22&lt;=1,"单利计息","复利计息")</f>
        <v>单利计息</v>
      </c>
      <c r="J23" s="99"/>
    </row>
    <row r="24" spans="1:10" s="113" customFormat="1" ht="15">
      <c r="A24" s="2815" t="s">
        <v>344</v>
      </c>
      <c r="B24" s="2813" t="s">
        <v>1451</v>
      </c>
      <c r="C24" s="2761">
        <f ca="1">ROUND(IF('数据-取费表'!B22&lt;=1,C6*F23*'数据-取费表'!B23,C6*(POWER((1+F23),'数据-取费表'!B23)-1)),0)</f>
        <v>0</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0</v>
      </c>
      <c r="D25" s="137"/>
      <c r="E25" s="137"/>
      <c r="F25" s="2762"/>
      <c r="G25" s="4264" t="s">
        <v>3990</v>
      </c>
      <c r="J25" s="99"/>
    </row>
    <row r="26" spans="1:10" s="113" customFormat="1" ht="15">
      <c r="A26" s="2815" t="s">
        <v>348</v>
      </c>
      <c r="B26" s="2813" t="s">
        <v>1453</v>
      </c>
      <c r="C26" s="2758">
        <f ca="1">ROUND(IF('数据-取费表'!B22&lt;=1,F22*F23*'数据-取费表'!B23/2,F22*(POWER((1+F23),'数据-取费表'!B23/2)-1)),4)</f>
        <v>0</v>
      </c>
      <c r="D26" s="137"/>
      <c r="E26" s="140"/>
      <c r="F26" s="2762"/>
      <c r="G26" s="4610" t="s">
        <v>3991</v>
      </c>
      <c r="J26" s="99"/>
    </row>
    <row r="27" spans="1:10" s="2767" customFormat="1" ht="15">
      <c r="A27" s="2746" t="s">
        <v>3345</v>
      </c>
      <c r="B27" s="2807" t="s">
        <v>3297</v>
      </c>
      <c r="C27" s="2774" t="str">
        <f ca="1">C28&amp;"+"&amp;C29&amp;"V"</f>
        <v>108342+0.0045V</v>
      </c>
      <c r="D27" s="2772"/>
      <c r="E27" s="302"/>
      <c r="F27" s="2775">
        <f ca="1">IF(B1="",'数据-取费表'!Q16,INDIRECT("'数据-取费表'!q"&amp;$G$1))</f>
        <v>0.15</v>
      </c>
      <c r="G27" s="2770" t="s">
        <v>3997</v>
      </c>
      <c r="J27" s="99"/>
    </row>
    <row r="28" spans="1:10" s="113" customFormat="1" ht="15">
      <c r="A28" s="2808" t="s">
        <v>344</v>
      </c>
      <c r="B28" s="2813" t="s">
        <v>1458</v>
      </c>
      <c r="C28" s="2740">
        <f ca="1">ROUND(C6*F27*'数据-取费表'!B23/'数据-取费表'!B22+(C9+C21)*F27,0)</f>
        <v>108342</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1459</v>
      </c>
      <c r="C29" s="2758">
        <f ca="1">ROUND(F22*F27,4)</f>
        <v>4.4999999999999997E-3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6">
      <c r="A31" s="2816">
        <v>2</v>
      </c>
      <c r="B31" s="2817" t="s">
        <v>3299</v>
      </c>
      <c r="C31" s="2759">
        <f ca="1">C57</f>
        <v>0</v>
      </c>
      <c r="D31" s="2750"/>
      <c r="E31" s="2750"/>
      <c r="F31" s="2764">
        <f>IF('数据-取费表'!B24=0,'数据-取费表'!N16,1)</f>
        <v>1</v>
      </c>
      <c r="G31" s="2751" t="s">
        <v>3809</v>
      </c>
      <c r="J31" s="99"/>
    </row>
    <row r="32" spans="1:10" s="113" customFormat="1" ht="15.6">
      <c r="A32" s="2738" t="s">
        <v>3300</v>
      </c>
      <c r="B32" s="2737" t="s">
        <v>3301</v>
      </c>
      <c r="C32" s="2759">
        <f ca="1">C5-C31</f>
        <v>4692511</v>
      </c>
      <c r="D32" s="2750"/>
      <c r="E32" s="2750"/>
      <c r="F32" s="2749"/>
      <c r="G32" s="2752" t="s">
        <v>3332</v>
      </c>
      <c r="J32" s="99"/>
    </row>
    <row r="33" spans="1:10" s="113" customFormat="1" ht="16.2" thickBot="1">
      <c r="A33" s="2818">
        <v>4</v>
      </c>
      <c r="B33" s="2819" t="s">
        <v>3333</v>
      </c>
      <c r="C33" s="2760">
        <f ca="1">ROUND(C32*(1+F33),0)</f>
        <v>5114837</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 thickBot="1">
      <c r="A38" s="3007" t="s">
        <v>3302</v>
      </c>
      <c r="B38" s="3008"/>
      <c r="C38" s="3008"/>
      <c r="D38" s="3008"/>
      <c r="E38" s="3008"/>
      <c r="F38" s="3008"/>
      <c r="G38" s="3009"/>
    </row>
    <row r="39" spans="1:10" ht="15" thickBot="1">
      <c r="A39" s="4488" t="s">
        <v>3328</v>
      </c>
      <c r="B39" s="3010" t="s">
        <v>3329</v>
      </c>
      <c r="C39" s="3012" t="s">
        <v>3952</v>
      </c>
      <c r="D39" s="3013" t="s">
        <v>3452</v>
      </c>
      <c r="E39" s="3014" t="s">
        <v>3453</v>
      </c>
      <c r="F39" s="3014" t="s">
        <v>3454</v>
      </c>
      <c r="G39" s="3015" t="s">
        <v>3330</v>
      </c>
    </row>
    <row r="40" spans="1:10" ht="14.4">
      <c r="A40" s="2869" t="s">
        <v>3455</v>
      </c>
      <c r="B40" s="4493" t="s">
        <v>3303</v>
      </c>
      <c r="C40" s="3018">
        <f ca="1">SUM(C41:C46)</f>
        <v>614881</v>
      </c>
      <c r="D40" s="3016"/>
      <c r="E40" s="3016"/>
      <c r="F40" s="3016"/>
      <c r="G40" s="4349"/>
    </row>
    <row r="41" spans="1:10" ht="15.6">
      <c r="A41" s="4489" t="s">
        <v>3304</v>
      </c>
      <c r="B41" s="4494" t="str">
        <f t="shared" ref="B41:C43" si="0">B10</f>
        <v xml:space="preserve">  建安费用</v>
      </c>
      <c r="C41" s="2735">
        <f t="shared" ca="1" si="0"/>
        <v>525540</v>
      </c>
      <c r="D41" s="2730"/>
      <c r="E41" s="2730"/>
      <c r="F41" s="2731"/>
      <c r="G41" s="4350"/>
    </row>
    <row r="42" spans="1:10" ht="15.6">
      <c r="A42" s="4489" t="s">
        <v>3305</v>
      </c>
      <c r="B42" s="4494" t="str">
        <f t="shared" si="0"/>
        <v xml:space="preserve">  前期费用</v>
      </c>
      <c r="C42" s="2735">
        <f t="shared" ca="1" si="0"/>
        <v>26277</v>
      </c>
      <c r="D42" s="2730"/>
      <c r="E42" s="2730"/>
      <c r="F42" s="2731"/>
      <c r="G42" s="4350"/>
    </row>
    <row r="43" spans="1:10" ht="15.6">
      <c r="A43" s="4489" t="s">
        <v>3369</v>
      </c>
      <c r="B43" s="4495" t="str">
        <f t="shared" si="0"/>
        <v xml:space="preserve">  公共配套设施费用</v>
      </c>
      <c r="C43" s="2735">
        <f t="shared" ca="1" si="0"/>
        <v>6306</v>
      </c>
      <c r="D43" s="2730"/>
      <c r="E43" s="2730"/>
      <c r="F43" s="2731"/>
      <c r="G43" s="4350"/>
    </row>
    <row r="44" spans="1:10" ht="15.6">
      <c r="A44" s="4489" t="s">
        <v>3287</v>
      </c>
      <c r="B44" s="4495" t="str">
        <f>B18</f>
        <v>红线内市政费用</v>
      </c>
      <c r="C44" s="2735">
        <f ca="1">C18</f>
        <v>56758</v>
      </c>
      <c r="D44" s="2730"/>
      <c r="E44" s="2730"/>
      <c r="F44" s="2731"/>
      <c r="G44" s="4350"/>
    </row>
    <row r="45" spans="1:10" ht="15.6">
      <c r="A45" s="4490" t="s">
        <v>3306</v>
      </c>
      <c r="B45" s="4496" t="str">
        <f>B19</f>
        <v xml:space="preserve">  其他工程费</v>
      </c>
      <c r="C45" s="2740">
        <f ca="1">C19</f>
        <v>0</v>
      </c>
      <c r="D45" s="2865"/>
      <c r="E45" s="2865"/>
      <c r="F45" s="2866"/>
      <c r="G45" s="4351"/>
    </row>
    <row r="46" spans="1:10" ht="15.6">
      <c r="A46" s="4490" t="s">
        <v>3368</v>
      </c>
      <c r="B46" s="4496" t="s">
        <v>3307</v>
      </c>
      <c r="C46" s="2740">
        <f ca="1">C20</f>
        <v>0</v>
      </c>
      <c r="D46" s="2865"/>
      <c r="E46" s="2865"/>
      <c r="F46" s="2866"/>
      <c r="G46" s="4351"/>
    </row>
    <row r="47" spans="1:10" ht="14.4">
      <c r="A47" s="4491" t="s">
        <v>3456</v>
      </c>
      <c r="B47" s="4491" t="s">
        <v>3457</v>
      </c>
      <c r="C47" s="2870">
        <f ca="1">ROUND(C40*F47,0)</f>
        <v>9223</v>
      </c>
      <c r="D47" s="2871"/>
      <c r="E47" s="2871"/>
      <c r="F47" s="2872">
        <f>F21</f>
        <v>1.4999999999999999E-2</v>
      </c>
      <c r="G47" s="2873" t="s">
        <v>3458</v>
      </c>
    </row>
    <row r="48" spans="1:10" ht="14.4">
      <c r="A48" s="4491" t="s">
        <v>3459</v>
      </c>
      <c r="B48" s="4491" t="s">
        <v>3460</v>
      </c>
      <c r="C48" s="2874" t="str">
        <f>F48&amp;"V建1"</f>
        <v>0.03V建1</v>
      </c>
      <c r="D48" s="2871"/>
      <c r="E48" s="2871"/>
      <c r="F48" s="2872">
        <f>F22</f>
        <v>0.03</v>
      </c>
      <c r="G48" s="4611" t="s">
        <v>3992</v>
      </c>
    </row>
    <row r="49" spans="1:7" ht="14.4">
      <c r="A49" s="4491" t="s">
        <v>3461</v>
      </c>
      <c r="B49" s="4497" t="s">
        <v>3367</v>
      </c>
      <c r="C49" s="2768" t="str">
        <f ca="1">C50&amp;"+"&amp;C51&amp;"V建1"</f>
        <v>9362+0.0005V建1</v>
      </c>
      <c r="D49" s="302"/>
      <c r="E49" s="302"/>
      <c r="F49" s="2876">
        <f ca="1">F23</f>
        <v>0.03</v>
      </c>
      <c r="G49" s="4352" t="str">
        <f>IF('数据-取费表'!B22&lt;=1,"单利计息","复利计息")</f>
        <v>单利计息</v>
      </c>
    </row>
    <row r="50" spans="1:7">
      <c r="A50" s="4489" t="s">
        <v>3304</v>
      </c>
      <c r="B50" s="4498" t="s">
        <v>3371</v>
      </c>
      <c r="C50" s="2887">
        <f ca="1">ROUND(IF('数据-取费表'!B22&lt;=1,(C40+C47)*F49*'数据-取费表'!B22/2,(C40+C47)*(POWER((1+F49),'数据-取费表'!B22/2)-1)),0)</f>
        <v>9362</v>
      </c>
      <c r="D50" s="1070"/>
      <c r="E50" s="1070"/>
      <c r="F50" s="1053"/>
      <c r="G50" s="4872" t="str">
        <f ca="1">IF(F10=100%,"建设期均匀投入","已建工期均匀投入")</f>
        <v>已建工期均匀投入</v>
      </c>
    </row>
    <row r="51" spans="1:7">
      <c r="A51" s="4489" t="s">
        <v>3305</v>
      </c>
      <c r="B51" s="4495" t="s">
        <v>3310</v>
      </c>
      <c r="C51" s="2888">
        <f ca="1">ROUND(IF('数据-取费表'!B22&lt;=1,F48*F23*'数据-取费表'!B22/2,F48*(POWER((1+F23),'数据-取费表'!B22/2)-1)),4)</f>
        <v>5.0000000000000001E-4</v>
      </c>
      <c r="D51" s="1070"/>
      <c r="E51" s="1070"/>
      <c r="F51" s="1053"/>
      <c r="G51" s="4873"/>
    </row>
    <row r="52" spans="1:7" ht="14.4">
      <c r="A52" s="4491" t="s">
        <v>3462</v>
      </c>
      <c r="B52" s="3007" t="s">
        <v>3311</v>
      </c>
      <c r="C52" s="2878" t="str">
        <f ca="1">C53&amp;"+"&amp;C54&amp;"V建1"</f>
        <v>93616+0.0045V建1</v>
      </c>
      <c r="D52" s="2879"/>
      <c r="E52" s="2871"/>
      <c r="F52" s="2880">
        <f ca="1">F27</f>
        <v>0.15</v>
      </c>
      <c r="G52" s="2881" t="s">
        <v>3463</v>
      </c>
    </row>
    <row r="53" spans="1:7">
      <c r="A53" s="4489" t="s">
        <v>3304</v>
      </c>
      <c r="B53" s="4498" t="s">
        <v>3312</v>
      </c>
      <c r="C53" s="2735">
        <f ca="1">ROUND((C40+C47)*F27,0)</f>
        <v>93616</v>
      </c>
      <c r="D53" s="2736"/>
      <c r="E53" s="2732"/>
      <c r="F53" s="2733"/>
      <c r="G53" s="2734"/>
    </row>
    <row r="54" spans="1:7">
      <c r="A54" s="4489" t="s">
        <v>3305</v>
      </c>
      <c r="B54" s="4498" t="s">
        <v>3313</v>
      </c>
      <c r="C54" s="2799">
        <f ca="1">ROUND(F48*F27,4)</f>
        <v>4.4999999999999997E-3</v>
      </c>
      <c r="D54" s="2736"/>
      <c r="E54" s="2732"/>
      <c r="F54" s="2733"/>
      <c r="G54" s="2734"/>
    </row>
    <row r="55" spans="1:7" ht="14.4">
      <c r="A55" s="4492" t="s">
        <v>3464</v>
      </c>
      <c r="B55" s="2746" t="s">
        <v>3465</v>
      </c>
      <c r="C55" s="4353">
        <v>0</v>
      </c>
      <c r="D55" s="2772"/>
      <c r="E55" s="302"/>
      <c r="F55" s="2876"/>
      <c r="G55" s="2883" t="s">
        <v>3316</v>
      </c>
    </row>
    <row r="56" spans="1:7" ht="16.8">
      <c r="A56" s="4492" t="s">
        <v>3469</v>
      </c>
      <c r="B56" s="4492" t="s">
        <v>3466</v>
      </c>
      <c r="C56" s="2768">
        <f ca="1">ROUND((C40+C47+C50+C53)/(1-F48-C51-C54),0)</f>
        <v>753453</v>
      </c>
      <c r="D56" s="302"/>
      <c r="E56" s="302"/>
      <c r="F56" s="2884"/>
      <c r="G56" s="2883" t="s">
        <v>3317</v>
      </c>
    </row>
    <row r="57" spans="1:7" ht="14.4">
      <c r="A57" s="4492" t="s">
        <v>3433</v>
      </c>
      <c r="B57" s="4499" t="s">
        <v>3299</v>
      </c>
      <c r="C57" s="2768">
        <f ca="1">ROUND(C56*(1-F57),0)</f>
        <v>0</v>
      </c>
      <c r="D57" s="302"/>
      <c r="E57" s="302"/>
      <c r="F57" s="2884">
        <f>F31</f>
        <v>1</v>
      </c>
      <c r="G57" s="2883" t="s">
        <v>3318</v>
      </c>
    </row>
    <row r="58" spans="1:7" ht="16.8">
      <c r="A58" s="4492" t="s">
        <v>3467</v>
      </c>
      <c r="B58" s="4492" t="s">
        <v>3468</v>
      </c>
      <c r="C58" s="2768">
        <f ca="1">C56-C57</f>
        <v>753453</v>
      </c>
      <c r="D58" s="302"/>
      <c r="E58" s="302"/>
      <c r="F58" s="2884"/>
      <c r="G58" s="2883" t="s">
        <v>3319</v>
      </c>
    </row>
    <row r="59" spans="1:7" ht="15" thickBot="1">
      <c r="A59" s="2882" t="s">
        <v>3370</v>
      </c>
      <c r="B59" s="4500" t="s">
        <v>3315</v>
      </c>
      <c r="C59" s="4356">
        <f ca="1">ROUND(C58*(1+F59),0)</f>
        <v>821264</v>
      </c>
      <c r="D59" s="4357"/>
      <c r="E59" s="4357"/>
      <c r="F59" s="4358">
        <f>F33</f>
        <v>0.09</v>
      </c>
      <c r="G59" s="4359" t="s">
        <v>3993</v>
      </c>
    </row>
    <row r="60" spans="1:7" ht="15.6">
      <c r="A60" s="2728"/>
      <c r="B60" s="2729"/>
    </row>
    <row r="62" spans="1:7" ht="21" customHeight="1">
      <c r="B62" s="2798" t="s">
        <v>1497</v>
      </c>
      <c r="C62" s="170"/>
    </row>
    <row r="63" spans="1:7" ht="21" customHeight="1">
      <c r="B63" s="3030" t="s">
        <v>787</v>
      </c>
      <c r="C63" s="4427">
        <f ca="1">1-C64</f>
        <v>0.83899999999999997</v>
      </c>
    </row>
    <row r="64" spans="1:7" ht="21" customHeight="1">
      <c r="B64" s="3030" t="s">
        <v>788</v>
      </c>
      <c r="C64" s="4428">
        <f ca="1">ROUND(C58/C32,3)</f>
        <v>0.161</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1429</v>
      </c>
      <c r="B1" s="1076"/>
      <c r="C1" s="1440" t="s">
        <v>1498</v>
      </c>
      <c r="D1" s="97"/>
      <c r="E1" s="97"/>
      <c r="F1" s="97"/>
      <c r="G1" s="795">
        <f>MATCH(B1,'数据-取费表'!A6:A16,0)+5</f>
        <v>7</v>
      </c>
      <c r="H1" s="741" t="str">
        <f>IF(ISERROR(FIND("住宅",B1)),"非住宅","住宅")</f>
        <v>非住宅</v>
      </c>
    </row>
    <row r="2" spans="1:8" s="99" customFormat="1" ht="18" customHeight="1">
      <c r="A2" s="100" t="s">
        <v>1430</v>
      </c>
      <c r="B2" s="2699">
        <f ca="1">ROUND(IF(D2="——",C52/10000,C52/10000-E2),4)</f>
        <v>2656.0729999999999</v>
      </c>
      <c r="C2" s="98" t="s">
        <v>1431</v>
      </c>
      <c r="D2" s="1434" t="s">
        <v>41</v>
      </c>
      <c r="E2" s="817" t="e">
        <f ca="1">SUMIF(INDIRECT("'"&amp;G2&amp;"'"&amp;"!A:A"),"承租人权益价值",INDIRECT("'"&amp;G2&amp;"'"&amp;"!c:c"))</f>
        <v>#REF!</v>
      </c>
      <c r="F2" s="1435" t="s">
        <v>1431</v>
      </c>
      <c r="G2" s="1436"/>
    </row>
    <row r="3" spans="1:8" s="99" customFormat="1" ht="18" customHeight="1" thickBot="1">
      <c r="A3" s="102" t="s">
        <v>1432</v>
      </c>
      <c r="B3" s="103">
        <f ca="1">ROUND(B2*10000/(IF(B1="",'数据-汇总表'!E3,INDIRECT("'数据-取费表'!k"&amp;$G$1))),0)</f>
        <v>101080</v>
      </c>
      <c r="C3" s="98" t="s">
        <v>1433</v>
      </c>
      <c r="D3" s="98"/>
      <c r="E3" s="98"/>
      <c r="F3" s="98"/>
      <c r="G3" s="98"/>
    </row>
    <row r="4" spans="1:8" s="107" customFormat="1" ht="16.2">
      <c r="A4" s="104" t="s">
        <v>1434</v>
      </c>
      <c r="B4" s="105"/>
      <c r="C4" s="105"/>
      <c r="D4" s="105"/>
      <c r="E4" s="105"/>
      <c r="F4" s="105"/>
      <c r="G4" s="106"/>
    </row>
    <row r="5" spans="1:8" s="113" customFormat="1" ht="13.5" customHeight="1">
      <c r="A5" s="154" t="s">
        <v>1435</v>
      </c>
      <c r="B5" s="109" t="s">
        <v>1436</v>
      </c>
      <c r="C5" s="110">
        <f ca="1">C6+C7+C8</f>
        <v>20672653</v>
      </c>
      <c r="D5" s="110" t="s">
        <v>1437</v>
      </c>
      <c r="E5" s="111" t="s">
        <v>1438</v>
      </c>
      <c r="F5" s="111" t="s">
        <v>1439</v>
      </c>
      <c r="G5" s="112"/>
    </row>
    <row r="6" spans="1:8" s="113" customFormat="1" ht="13.5" customHeight="1">
      <c r="A6" s="538" t="s">
        <v>1440</v>
      </c>
      <c r="B6" s="114" t="s">
        <v>1441</v>
      </c>
      <c r="C6" s="115">
        <v>20020000</v>
      </c>
      <c r="D6" s="116"/>
      <c r="E6" s="117"/>
      <c r="F6" s="117"/>
      <c r="G6" s="118"/>
    </row>
    <row r="7" spans="1:8" s="113" customFormat="1" ht="13.5" customHeight="1">
      <c r="A7" s="538" t="s">
        <v>1442</v>
      </c>
      <c r="B7" s="114" t="s">
        <v>1443</v>
      </c>
      <c r="C7" s="119">
        <f>ROUND(C6*F7,0)</f>
        <v>610610</v>
      </c>
      <c r="D7" s="119"/>
      <c r="E7" s="117"/>
      <c r="F7" s="120">
        <f>IF(项目基本情况!B8="出让",0,'数据-取费表'!B49+'数据-取费表'!B50)</f>
        <v>3.0499999999999999E-2</v>
      </c>
      <c r="G7" s="118"/>
    </row>
    <row r="8" spans="1:8" s="122" customFormat="1">
      <c r="A8" s="538" t="s">
        <v>1444</v>
      </c>
      <c r="B8" s="114" t="s">
        <v>1445</v>
      </c>
      <c r="C8" s="119">
        <f ca="1">IF(G8="已包含在土地购买价格中",0,C9+C10)</f>
        <v>42043</v>
      </c>
      <c r="D8" s="121"/>
      <c r="E8" s="119"/>
      <c r="F8" s="120"/>
      <c r="G8" s="1437"/>
    </row>
    <row r="9" spans="1:8" s="113" customFormat="1" ht="13.5" customHeight="1">
      <c r="A9" s="539" t="s">
        <v>353</v>
      </c>
      <c r="B9" s="123" t="s">
        <v>1446</v>
      </c>
      <c r="C9" s="124">
        <f ca="1">ROUND(D9*E9,0)</f>
        <v>42043</v>
      </c>
      <c r="D9" s="568">
        <f ca="1">IF(B1="",'数据-汇总表'!E5,IF(INDIRECT("'数据-取费表'!c"&amp;$G$1)="住宅",INDIRECT("'数据-取费表'!k"&amp;$G$1),0))</f>
        <v>262.77</v>
      </c>
      <c r="E9" s="124">
        <f>'数据-取费表'!B27</f>
        <v>160</v>
      </c>
      <c r="F9" s="120"/>
      <c r="G9" s="125"/>
    </row>
    <row r="10" spans="1:8" s="113" customFormat="1" ht="13.5" customHeight="1">
      <c r="A10" s="539" t="s">
        <v>354</v>
      </c>
      <c r="B10" s="123" t="s">
        <v>1448</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1449</v>
      </c>
      <c r="C11" s="110"/>
      <c r="D11" s="570"/>
      <c r="E11" s="117"/>
      <c r="F11" s="117"/>
      <c r="G11" s="118"/>
    </row>
    <row r="12" spans="1:8" s="113" customFormat="1" ht="13.5" customHeight="1">
      <c r="A12" s="126" t="s">
        <v>5</v>
      </c>
      <c r="B12" s="114" t="s">
        <v>1499</v>
      </c>
      <c r="C12" s="110">
        <v>0</v>
      </c>
      <c r="D12" s="570"/>
      <c r="E12" s="127"/>
      <c r="F12" s="120">
        <v>3.0499999999999999E-2</v>
      </c>
      <c r="G12" s="118"/>
    </row>
    <row r="13" spans="1:8" s="113" customFormat="1" ht="13.5" customHeight="1">
      <c r="A13" s="126" t="s">
        <v>6</v>
      </c>
      <c r="B13" s="114" t="s">
        <v>1500</v>
      </c>
      <c r="C13" s="110"/>
      <c r="D13" s="570"/>
      <c r="E13" s="117"/>
      <c r="F13" s="117"/>
      <c r="G13" s="118"/>
    </row>
    <row r="14" spans="1:8" s="113" customFormat="1" ht="13.5" customHeight="1">
      <c r="A14" s="126" t="s">
        <v>7</v>
      </c>
      <c r="B14" s="114" t="s">
        <v>1445</v>
      </c>
      <c r="C14" s="110"/>
      <c r="D14" s="570"/>
      <c r="E14" s="117"/>
      <c r="F14" s="117"/>
      <c r="G14" s="118" t="s">
        <v>1501</v>
      </c>
    </row>
    <row r="15" spans="1:8" s="113" customFormat="1" ht="13.5" customHeight="1">
      <c r="A15" s="126" t="s">
        <v>8</v>
      </c>
      <c r="B15" s="114" t="s">
        <v>1502</v>
      </c>
      <c r="C15" s="119"/>
      <c r="D15" s="570"/>
      <c r="E15" s="117"/>
      <c r="F15" s="117"/>
      <c r="G15" s="118" t="s">
        <v>1503</v>
      </c>
    </row>
    <row r="16" spans="1:8" s="113" customFormat="1" ht="13.5" customHeight="1">
      <c r="A16" s="126" t="s">
        <v>9</v>
      </c>
      <c r="B16" s="114" t="s">
        <v>1445</v>
      </c>
      <c r="C16" s="119"/>
      <c r="D16" s="570"/>
      <c r="E16" s="117"/>
      <c r="F16" s="117"/>
      <c r="G16" s="118"/>
    </row>
    <row r="17" spans="1:7" s="113" customFormat="1" ht="13.5" customHeight="1">
      <c r="A17" s="126" t="s">
        <v>10</v>
      </c>
      <c r="B17" s="114" t="s">
        <v>1504</v>
      </c>
      <c r="C17" s="128"/>
      <c r="D17" s="571"/>
      <c r="E17" s="128"/>
      <c r="F17" s="128"/>
      <c r="G17" s="118" t="s">
        <v>1503</v>
      </c>
    </row>
    <row r="18" spans="1:7" s="113" customFormat="1" ht="13.5" customHeight="1">
      <c r="A18" s="126" t="s">
        <v>11</v>
      </c>
      <c r="B18" s="114" t="s">
        <v>1505</v>
      </c>
      <c r="C18" s="119">
        <v>0</v>
      </c>
      <c r="D18" s="570"/>
      <c r="E18" s="117"/>
      <c r="F18" s="120">
        <v>3.0499999999999999E-2</v>
      </c>
      <c r="G18" s="118" t="s">
        <v>1506</v>
      </c>
    </row>
    <row r="19" spans="1:7" s="122" customFormat="1" ht="13.5" customHeight="1">
      <c r="A19" s="154" t="s">
        <v>1507</v>
      </c>
      <c r="B19" s="109" t="s">
        <v>1508</v>
      </c>
      <c r="C19" s="110">
        <f ca="1">IF(G19="已包含在土地取得成本中","0",ROUND(D19*E19,0))</f>
        <v>69634</v>
      </c>
      <c r="D19" s="572">
        <f ca="1">D9+D10</f>
        <v>262.77</v>
      </c>
      <c r="E19" s="110">
        <f>'数据-取费表'!B31</f>
        <v>265</v>
      </c>
      <c r="F19" s="130"/>
      <c r="G19" s="1437"/>
    </row>
    <row r="20" spans="1:7" s="113" customFormat="1" ht="13.5" customHeight="1">
      <c r="A20" s="154" t="s">
        <v>1509</v>
      </c>
      <c r="B20" s="109" t="s">
        <v>1510</v>
      </c>
      <c r="C20" s="131">
        <f ca="1">ROUND((C5+C19)*F20,0)</f>
        <v>311134</v>
      </c>
      <c r="D20" s="131"/>
      <c r="E20" s="131"/>
      <c r="F20" s="132">
        <f>'数据-取费表'!B38</f>
        <v>1.4999999999999999E-2</v>
      </c>
      <c r="G20" s="133" t="s">
        <v>1511</v>
      </c>
    </row>
    <row r="21" spans="1:7" s="113" customFormat="1" ht="13.5" customHeight="1">
      <c r="A21" s="154" t="s">
        <v>1512</v>
      </c>
      <c r="B21" s="109" t="s">
        <v>1513</v>
      </c>
      <c r="C21" s="134">
        <f>F21</f>
        <v>0.03</v>
      </c>
      <c r="D21" s="135" t="s">
        <v>1514</v>
      </c>
      <c r="E21" s="131"/>
      <c r="F21" s="132">
        <f>'数据-取费表'!B39</f>
        <v>0.03</v>
      </c>
      <c r="G21" s="133" t="s">
        <v>1515</v>
      </c>
    </row>
    <row r="22" spans="1:7" s="113" customFormat="1" ht="13.5" customHeight="1">
      <c r="A22" s="154" t="s">
        <v>1516</v>
      </c>
      <c r="B22" s="109" t="s">
        <v>1517</v>
      </c>
      <c r="C22" s="796">
        <f ca="1">ROUND(SUM(C23:C25),0)</f>
        <v>626936</v>
      </c>
      <c r="D22" s="134">
        <f ca="1">C26</f>
        <v>5.0000000000000001E-4</v>
      </c>
      <c r="E22" s="135" t="s">
        <v>1514</v>
      </c>
      <c r="F22" s="136">
        <f ca="1">'数据-取费表'!B41</f>
        <v>0.03</v>
      </c>
      <c r="G22" s="133" t="str">
        <f>IF('数据-取费表'!B22&lt;=1,"单利计息","复利计息")</f>
        <v>单利计息</v>
      </c>
    </row>
    <row r="23" spans="1:7" s="113" customFormat="1" ht="13.5" customHeight="1">
      <c r="A23" s="540" t="s">
        <v>1440</v>
      </c>
      <c r="B23" s="114" t="s">
        <v>1518</v>
      </c>
      <c r="C23" s="797">
        <f ca="1">ROUND(IF('数据-取费表'!B22&lt;=1,C5*F22*'数据-取费表'!B22,C5*(POWER((1+F22),'数据-取费表'!B22)-1)),0)</f>
        <v>620180</v>
      </c>
      <c r="D23" s="137"/>
      <c r="E23" s="137"/>
      <c r="F23" s="138"/>
      <c r="G23" s="139" t="s">
        <v>1519</v>
      </c>
    </row>
    <row r="24" spans="1:7" s="113" customFormat="1" ht="13.5" customHeight="1">
      <c r="A24" s="540" t="s">
        <v>1442</v>
      </c>
      <c r="B24" s="114" t="s">
        <v>1520</v>
      </c>
      <c r="C24" s="797">
        <f ca="1">ROUND(IF('数据-取费表'!B22&lt;=1,C19*F22*('数据-取费表'!B19/2+'数据-取费表'!B20),C19*(POWER((1+F22),('数据-取费表'!B19/2+'数据-取费表'!B20))-1)),0)</f>
        <v>2089</v>
      </c>
      <c r="D24" s="137"/>
      <c r="E24" s="137"/>
      <c r="F24" s="138"/>
      <c r="G24" s="139" t="s">
        <v>1521</v>
      </c>
    </row>
    <row r="25" spans="1:7" s="113" customFormat="1" ht="24">
      <c r="A25" s="540" t="s">
        <v>1444</v>
      </c>
      <c r="B25" s="114" t="s">
        <v>1522</v>
      </c>
      <c r="C25" s="797">
        <f ca="1">ROUND(IF('数据-取费表'!B22&lt;=1,C20*F22*'数据-取费表'!B22/2,C20*(POWER((1+F22),'数据-取费表'!B22/2)-1)),0)</f>
        <v>4667</v>
      </c>
      <c r="D25" s="137"/>
      <c r="E25" s="140"/>
      <c r="F25" s="138"/>
      <c r="G25" s="141" t="s">
        <v>1523</v>
      </c>
    </row>
    <row r="26" spans="1:7" s="113" customFormat="1">
      <c r="A26" s="540" t="s">
        <v>348</v>
      </c>
      <c r="B26" s="114" t="s">
        <v>1453</v>
      </c>
      <c r="C26" s="137">
        <f ca="1">ROUND(IF('数据-取费表'!B22&lt;=1,F21*F22*'数据-取费表'!B22/2,F21*(POWER((1+F22),'数据-取费表'!B22/2)-1)),4)</f>
        <v>5.0000000000000001E-4</v>
      </c>
      <c r="D26" s="137"/>
      <c r="E26" s="140"/>
      <c r="F26" s="138"/>
      <c r="G26" s="142"/>
    </row>
    <row r="27" spans="1:7" s="113" customFormat="1" ht="26.4">
      <c r="A27" s="154" t="s">
        <v>1454</v>
      </c>
      <c r="B27" s="143" t="s">
        <v>1455</v>
      </c>
      <c r="C27" s="144">
        <f ca="1">C28</f>
        <v>3158013</v>
      </c>
      <c r="D27" s="134">
        <f ca="1">C29</f>
        <v>4.4999999999999997E-3</v>
      </c>
      <c r="E27" s="135" t="s">
        <v>1456</v>
      </c>
      <c r="F27" s="145">
        <f ca="1">IF(B1="",'数据-取费表'!Q16,INDIRECT("'数据-取费表'!q"&amp;$G$1))</f>
        <v>0.15</v>
      </c>
      <c r="G27" s="146" t="s">
        <v>1457</v>
      </c>
    </row>
    <row r="28" spans="1:7" s="113" customFormat="1" ht="13.5" customHeight="1">
      <c r="A28" s="540" t="s">
        <v>344</v>
      </c>
      <c r="B28" s="147" t="s">
        <v>1458</v>
      </c>
      <c r="C28" s="148">
        <f ca="1">ROUND((C5+C19+C20)*F27,0)</f>
        <v>3158013</v>
      </c>
      <c r="D28" s="134"/>
      <c r="E28" s="135"/>
      <c r="F28" s="145"/>
      <c r="G28" s="146"/>
    </row>
    <row r="29" spans="1:7" s="113" customFormat="1" ht="13.5" customHeight="1">
      <c r="A29" s="540" t="s">
        <v>345</v>
      </c>
      <c r="B29" s="147" t="s">
        <v>1459</v>
      </c>
      <c r="C29" s="137">
        <f ca="1">ROUND(C21*F27,4)</f>
        <v>4.4999999999999997E-3</v>
      </c>
      <c r="D29" s="134"/>
      <c r="E29" s="135"/>
      <c r="F29" s="145"/>
      <c r="G29" s="146"/>
    </row>
    <row r="30" spans="1:7" s="113" customFormat="1" ht="13.5" customHeight="1">
      <c r="A30" s="154" t="s">
        <v>1460</v>
      </c>
      <c r="B30" s="109" t="s">
        <v>1461</v>
      </c>
      <c r="C30" s="134">
        <f>ROUND(F30/(1+'数据-取费表'!C43),4)</f>
        <v>5.9999999999999995E-4</v>
      </c>
      <c r="D30" s="135" t="s">
        <v>1456</v>
      </c>
      <c r="E30" s="140"/>
      <c r="F30" s="3265">
        <v>5.5999999999999995E-4</v>
      </c>
      <c r="G30" s="133" t="s">
        <v>1462</v>
      </c>
    </row>
    <row r="31" spans="1:7" ht="16.5" customHeight="1">
      <c r="A31" s="108">
        <v>1</v>
      </c>
      <c r="B31" s="109" t="s">
        <v>1463</v>
      </c>
      <c r="C31" s="110">
        <f ca="1">ROUND((C5+C19+C20+C22+C27)/(1-C21-D22-D27-C30),0)</f>
        <v>25755257</v>
      </c>
      <c r="D31" s="129"/>
      <c r="E31" s="110"/>
      <c r="F31" s="149"/>
      <c r="G31" s="133" t="s">
        <v>1464</v>
      </c>
    </row>
    <row r="32" spans="1:7" s="107" customFormat="1" ht="16.2">
      <c r="A32" s="151" t="s">
        <v>1524</v>
      </c>
      <c r="B32" s="152"/>
      <c r="C32" s="152"/>
      <c r="D32" s="152"/>
      <c r="E32" s="152"/>
      <c r="F32" s="152"/>
      <c r="G32" s="153"/>
    </row>
    <row r="33" spans="1:7" s="113" customFormat="1" ht="13.5" customHeight="1">
      <c r="A33" s="154" t="s">
        <v>335</v>
      </c>
      <c r="B33" s="109" t="s">
        <v>1525</v>
      </c>
      <c r="C33" s="155">
        <f ca="1">SUM(C34:C38)</f>
        <v>656925</v>
      </c>
      <c r="D33" s="131"/>
      <c r="E33" s="111"/>
      <c r="F33" s="140"/>
      <c r="G33" s="133"/>
    </row>
    <row r="34" spans="1:7" s="157" customFormat="1" ht="13.5" customHeight="1">
      <c r="A34" s="540" t="s">
        <v>344</v>
      </c>
      <c r="B34" s="114" t="s">
        <v>1465</v>
      </c>
      <c r="C34" s="119">
        <f ca="1">ROUND(IF(B1="",SUMPRODUCT('数据-取费表'!K6:K14,'数据-取费表'!L6:L14),INDIRECT("'数据-取费表'!l"&amp;$G$1)*INDIRECT("'数据-取费表'!k"&amp;$G$1)+'数据-取费表'!L14*INDIRECT("'数据-取费表'!S"&amp;$G$1)),0)</f>
        <v>525540</v>
      </c>
      <c r="D34" s="116"/>
      <c r="E34" s="119"/>
      <c r="F34" s="156"/>
      <c r="G34" s="118"/>
    </row>
    <row r="35" spans="1:7" ht="13.5" customHeight="1">
      <c r="A35" s="540" t="s">
        <v>349</v>
      </c>
      <c r="B35" s="114" t="s">
        <v>1467</v>
      </c>
      <c r="C35" s="119">
        <f ca="1">ROUND(C34*F35,0)</f>
        <v>26277</v>
      </c>
      <c r="D35" s="119"/>
      <c r="E35" s="119"/>
      <c r="F35" s="158">
        <f>'数据-取费表'!B33</f>
        <v>0.05</v>
      </c>
      <c r="G35" s="118" t="s">
        <v>1468</v>
      </c>
    </row>
    <row r="36" spans="1:7" ht="24">
      <c r="A36" s="540" t="s">
        <v>350</v>
      </c>
      <c r="B36" s="114" t="s">
        <v>1469</v>
      </c>
      <c r="C36" s="119">
        <f ca="1">ROUND(IF(B1="",SUM('数据-取费表'!AP6:AP13)*F36,IF(INDIRECT("'数据-取费表'!c"&amp;$G$1)="住宅",INDIRECT("'数据-取费表'!k"&amp;$G$1)*INDIRECT("'数据-取费表'!l"&amp;$G$1)*F36,0)),0)</f>
        <v>10511</v>
      </c>
      <c r="D36" s="119"/>
      <c r="E36" s="119"/>
      <c r="F36" s="158">
        <f>'数据-取费表'!B34</f>
        <v>0.02</v>
      </c>
      <c r="G36" s="159" t="s">
        <v>1470</v>
      </c>
    </row>
    <row r="37" spans="1:7" s="157" customFormat="1" ht="13.5" customHeight="1">
      <c r="A37" s="540" t="s">
        <v>351</v>
      </c>
      <c r="B37" s="114" t="s">
        <v>1471</v>
      </c>
      <c r="C37" s="148">
        <f ca="1">ROUND(E37*D37,0)</f>
        <v>94597</v>
      </c>
      <c r="D37" s="116">
        <f ca="1">D19</f>
        <v>262.77</v>
      </c>
      <c r="E37" s="148">
        <f>'数据-取费表'!B35</f>
        <v>360</v>
      </c>
      <c r="F37" s="158"/>
      <c r="G37" s="160"/>
    </row>
    <row r="38" spans="1:7" ht="13.5" customHeight="1">
      <c r="A38" s="540" t="s">
        <v>352</v>
      </c>
      <c r="B38" s="114" t="s">
        <v>1472</v>
      </c>
      <c r="C38" s="119">
        <f ca="1">ROUND(C34*F38,0)</f>
        <v>0</v>
      </c>
      <c r="D38" s="119"/>
      <c r="E38" s="119"/>
      <c r="F38" s="158">
        <f>'数据-取费表'!B36</f>
        <v>0</v>
      </c>
      <c r="G38" s="118" t="s">
        <v>1468</v>
      </c>
    </row>
    <row r="39" spans="1:7" s="113" customFormat="1" ht="13.5" customHeight="1">
      <c r="A39" s="154" t="s">
        <v>1473</v>
      </c>
      <c r="B39" s="109" t="s">
        <v>1474</v>
      </c>
      <c r="C39" s="131">
        <f ca="1">ROUND(C33*F20,0)</f>
        <v>9854</v>
      </c>
      <c r="D39" s="131"/>
      <c r="E39" s="131"/>
      <c r="F39" s="132">
        <f>F20</f>
        <v>1.4999999999999999E-2</v>
      </c>
      <c r="G39" s="133" t="s">
        <v>1475</v>
      </c>
    </row>
    <row r="40" spans="1:7" s="113" customFormat="1" ht="13.5" customHeight="1">
      <c r="A40" s="154" t="s">
        <v>1476</v>
      </c>
      <c r="B40" s="109" t="s">
        <v>1477</v>
      </c>
      <c r="C40" s="939">
        <f>F21</f>
        <v>0.03</v>
      </c>
      <c r="D40" s="135" t="s">
        <v>1478</v>
      </c>
      <c r="E40" s="131"/>
      <c r="F40" s="132">
        <f>F21</f>
        <v>0.03</v>
      </c>
      <c r="G40" s="133" t="s">
        <v>1479</v>
      </c>
    </row>
    <row r="41" spans="1:7" s="113" customFormat="1" ht="13.5" customHeight="1">
      <c r="A41" s="154" t="s">
        <v>1480</v>
      </c>
      <c r="B41" s="109" t="s">
        <v>1481</v>
      </c>
      <c r="C41" s="131">
        <f ca="1">ROUND(SUM(C42:C43),0)</f>
        <v>10002</v>
      </c>
      <c r="D41" s="134">
        <f ca="1">C44</f>
        <v>5.0000000000000001E-4</v>
      </c>
      <c r="E41" s="135" t="s">
        <v>1478</v>
      </c>
      <c r="F41" s="136">
        <f ca="1">F22</f>
        <v>0.03</v>
      </c>
      <c r="G41" s="133" t="str">
        <f>IF('数据-取费表'!B22&lt;=1,"单利计息","复利计息")</f>
        <v>单利计息</v>
      </c>
    </row>
    <row r="42" spans="1:7" ht="13.5" customHeight="1">
      <c r="A42" s="540" t="s">
        <v>344</v>
      </c>
      <c r="B42" s="114" t="s">
        <v>1482</v>
      </c>
      <c r="C42" s="137">
        <f ca="1">ROUND(IF('数据-取费表'!B22&lt;=1,C33*F22*'数据-取费表'!B20/2,C33*(POWER((1+F22),'数据-取费表'!B20/2)-1)),0)</f>
        <v>9854</v>
      </c>
      <c r="D42" s="137"/>
      <c r="E42" s="137"/>
      <c r="F42" s="138"/>
      <c r="G42" s="4872" t="s">
        <v>1526</v>
      </c>
    </row>
    <row r="43" spans="1:7" ht="13.5" customHeight="1">
      <c r="A43" s="540" t="s">
        <v>345</v>
      </c>
      <c r="B43" s="114" t="s">
        <v>1483</v>
      </c>
      <c r="C43" s="137">
        <f ca="1">ROUND(IF('数据-取费表'!B22&lt;=1,C39*F22*'数据-取费表'!B20/2,C39*(POWER((1+F22),'数据-取费表'!B20/2)-1)),0)</f>
        <v>148</v>
      </c>
      <c r="D43" s="137"/>
      <c r="E43" s="137"/>
      <c r="F43" s="138"/>
      <c r="G43" s="4874"/>
    </row>
    <row r="44" spans="1:7" ht="13.5" customHeight="1">
      <c r="A44" s="540" t="s">
        <v>346</v>
      </c>
      <c r="B44" s="114" t="s">
        <v>1484</v>
      </c>
      <c r="C44" s="137">
        <f ca="1">ROUND(IF('数据-取费表'!B22&lt;=1,C40*F22*'数据-取费表'!B20/2,C40*(POWER((1+F22),'数据-取费表'!B20/2)-1)),4)</f>
        <v>5.0000000000000001E-4</v>
      </c>
      <c r="D44" s="137"/>
      <c r="E44" s="137"/>
      <c r="F44" s="138"/>
      <c r="G44" s="4873"/>
    </row>
    <row r="45" spans="1:7" s="113" customFormat="1" ht="13.5" customHeight="1">
      <c r="A45" s="154" t="s">
        <v>1485</v>
      </c>
      <c r="B45" s="143" t="s">
        <v>1455</v>
      </c>
      <c r="C45" s="144">
        <f ca="1">C46</f>
        <v>100017</v>
      </c>
      <c r="D45" s="134">
        <f ca="1">C47</f>
        <v>4.4999999999999997E-3</v>
      </c>
      <c r="E45" s="135" t="s">
        <v>1478</v>
      </c>
      <c r="F45" s="145">
        <f ca="1">F27</f>
        <v>0.15</v>
      </c>
      <c r="G45" s="146" t="s">
        <v>1486</v>
      </c>
    </row>
    <row r="46" spans="1:7" s="113" customFormat="1" ht="13.5" customHeight="1">
      <c r="A46" s="540" t="s">
        <v>344</v>
      </c>
      <c r="B46" s="147" t="s">
        <v>1487</v>
      </c>
      <c r="C46" s="148">
        <f ca="1">ROUND((C33+C39)*F27,0)</f>
        <v>100017</v>
      </c>
      <c r="D46" s="162"/>
      <c r="E46" s="135"/>
      <c r="F46" s="145"/>
      <c r="G46" s="146"/>
    </row>
    <row r="47" spans="1:7" s="113" customFormat="1" ht="13.5" customHeight="1">
      <c r="A47" s="540" t="s">
        <v>345</v>
      </c>
      <c r="B47" s="147" t="s">
        <v>1488</v>
      </c>
      <c r="C47" s="137">
        <f ca="1">ROUND(C40*F27,4)</f>
        <v>4.4999999999999997E-3</v>
      </c>
      <c r="D47" s="162"/>
      <c r="E47" s="135"/>
      <c r="F47" s="145"/>
      <c r="G47" s="146"/>
    </row>
    <row r="48" spans="1:7" s="113" customFormat="1" ht="13.5" customHeight="1">
      <c r="A48" s="154" t="s">
        <v>1454</v>
      </c>
      <c r="B48" s="109" t="s">
        <v>1489</v>
      </c>
      <c r="C48" s="161">
        <f>ROUND(F30/(1+'数据-取费表'!C43),4)</f>
        <v>5.9999999999999995E-4</v>
      </c>
      <c r="D48" s="135" t="s">
        <v>1478</v>
      </c>
      <c r="E48" s="131"/>
      <c r="F48" s="3266">
        <f>F30</f>
        <v>5.5999999999999995E-4</v>
      </c>
      <c r="G48" s="133" t="s">
        <v>1490</v>
      </c>
    </row>
    <row r="49" spans="1:7" ht="16.5" customHeight="1">
      <c r="A49" s="154" t="s">
        <v>1460</v>
      </c>
      <c r="B49" s="109" t="s">
        <v>1527</v>
      </c>
      <c r="C49" s="131">
        <f ca="1">ROUND((C33+C39+C41+C45)/(1-C40-D41-D45-C48),0)</f>
        <v>805473</v>
      </c>
      <c r="D49" s="131"/>
      <c r="E49" s="131"/>
      <c r="F49" s="163"/>
      <c r="G49" s="133" t="s">
        <v>1491</v>
      </c>
    </row>
    <row r="50" spans="1:7" s="157" customFormat="1">
      <c r="A50" s="154" t="s">
        <v>1492</v>
      </c>
      <c r="B50" s="109" t="s">
        <v>1493</v>
      </c>
      <c r="C50" s="131"/>
      <c r="D50" s="131"/>
      <c r="E50" s="131"/>
      <c r="F50" s="163">
        <f>IF('数据-取费表'!B24=0,'数据-取费表'!N16,1)</f>
        <v>1</v>
      </c>
      <c r="G50" s="146"/>
    </row>
    <row r="51" spans="1:7" ht="16.5" customHeight="1">
      <c r="A51" s="154" t="s">
        <v>1494</v>
      </c>
      <c r="B51" s="109" t="s">
        <v>1528</v>
      </c>
      <c r="C51" s="131">
        <f ca="1">ROUND(C49*F50,0)</f>
        <v>805473</v>
      </c>
      <c r="D51" s="131"/>
      <c r="E51" s="131"/>
      <c r="F51" s="163"/>
      <c r="G51" s="133" t="s">
        <v>1495</v>
      </c>
    </row>
    <row r="52" spans="1:7" s="107" customFormat="1" ht="16.8" thickBot="1">
      <c r="A52" s="164" t="s">
        <v>1496</v>
      </c>
      <c r="B52" s="165"/>
      <c r="C52" s="166">
        <f ca="1">C31+C51</f>
        <v>26560730</v>
      </c>
      <c r="D52" s="165"/>
      <c r="E52" s="165"/>
      <c r="F52" s="165"/>
      <c r="G52" s="167"/>
    </row>
    <row r="55" spans="1:7" ht="15">
      <c r="B55" s="169" t="s">
        <v>1497</v>
      </c>
      <c r="C55" s="170"/>
    </row>
    <row r="56" spans="1:7">
      <c r="B56" s="172" t="s">
        <v>787</v>
      </c>
      <c r="C56" s="174">
        <f ca="1">1-C57</f>
        <v>0.97</v>
      </c>
    </row>
    <row r="57" spans="1:7">
      <c r="B57" s="172" t="s">
        <v>788</v>
      </c>
      <c r="C57" s="173">
        <f ca="1">ROUND(C51/C52,3)</f>
        <v>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84" t="s">
        <v>391</v>
      </c>
      <c r="B7" s="4877" t="s">
        <v>3793</v>
      </c>
      <c r="C7" s="4879">
        <f ca="1">ROUND(F6*F7*F8/10000,2)</f>
        <v>0</v>
      </c>
      <c r="D7" s="4880" t="s">
        <v>3471</v>
      </c>
      <c r="E7" s="4453" t="s">
        <v>682</v>
      </c>
      <c r="F7" s="3974">
        <f ca="1">IF(INDIRECT("'数据-取费表'!ah"&amp;$G$1)="",INDIRECT("'数据-取费表'!k"&amp;$G$1),INDIRECT("'数据-取费表'!ah"&amp;$G$1))</f>
        <v>0</v>
      </c>
      <c r="G7" s="991"/>
      <c r="H7" s="4884" t="s">
        <v>391</v>
      </c>
      <c r="I7" s="4877" t="s">
        <v>3793</v>
      </c>
      <c r="J7" s="4886">
        <f ca="1">ROUND(M6*M8*M7/10000,2)</f>
        <v>0</v>
      </c>
      <c r="K7" s="4880" t="s">
        <v>3471</v>
      </c>
      <c r="L7" s="190" t="s">
        <v>682</v>
      </c>
      <c r="M7" s="3974">
        <f ca="1">F7</f>
        <v>0</v>
      </c>
    </row>
    <row r="8" spans="1:37" ht="18" customHeight="1">
      <c r="A8" s="4885"/>
      <c r="B8" s="4878"/>
      <c r="C8" s="4879"/>
      <c r="D8" s="4880"/>
      <c r="E8" s="190" t="str">
        <f ca="1">IF(F8=1,"年",IF(F8=12,"月","天"))</f>
        <v>天</v>
      </c>
      <c r="F8" s="3677">
        <f ca="1">INDIRECT("'数据-取费表'!ai"&amp;$G$1)</f>
        <v>0</v>
      </c>
      <c r="G8" s="991"/>
      <c r="H8" s="4885"/>
      <c r="I8" s="4878"/>
      <c r="J8" s="4886"/>
      <c r="K8" s="4880"/>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0.12000000000000001</v>
      </c>
      <c r="G18" s="1002"/>
      <c r="H18" s="2739" t="s">
        <v>3962</v>
      </c>
      <c r="I18" s="2954" t="s">
        <v>3961</v>
      </c>
      <c r="J18" s="2978">
        <f ca="1">ROUND((J16-J17)*M18,2)</f>
        <v>0</v>
      </c>
      <c r="K18" s="2977" t="s">
        <v>3984</v>
      </c>
      <c r="L18" s="190" t="s">
        <v>3985</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0.05</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360</v>
      </c>
      <c r="G39" s="991"/>
    </row>
    <row r="40" spans="1:37" ht="18" customHeight="1">
      <c r="A40" s="2937" t="s">
        <v>3412</v>
      </c>
      <c r="B40" s="2954" t="s">
        <v>3413</v>
      </c>
      <c r="C40" s="2939">
        <f ca="1">ROUND(C36*F40,0)</f>
        <v>0</v>
      </c>
      <c r="D40" s="190" t="s">
        <v>696</v>
      </c>
      <c r="E40" s="190" t="s">
        <v>697</v>
      </c>
      <c r="F40" s="3002">
        <f>'数据-取费表'!B36</f>
        <v>0</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8" thickBot="1">
      <c r="A55" s="1010" t="s">
        <v>794</v>
      </c>
      <c r="C55" s="4231" t="e">
        <f ca="1">IF(D2="含税",C83-C31,C80-C28)</f>
        <v>#VALUE!</v>
      </c>
      <c r="D55" s="1012" t="str">
        <f>C2</f>
        <v>万元</v>
      </c>
      <c r="E55" s="1006"/>
      <c r="F55" s="1006"/>
      <c r="I55" s="1013" t="s">
        <v>795</v>
      </c>
      <c r="J55" s="1014"/>
      <c r="K55" s="1015"/>
      <c r="L55" s="4250" t="e">
        <f ca="1">IF(M56="住宅",0,IF(L57&gt;J60,L69,J69))</f>
        <v>#DIV/0!</v>
      </c>
      <c r="O55" s="4403" t="s">
        <v>1324</v>
      </c>
      <c r="P55" s="4404" t="s">
        <v>3907</v>
      </c>
      <c r="Q55" s="4405" t="s">
        <v>3908</v>
      </c>
      <c r="R55" s="4405" t="s">
        <v>3909</v>
      </c>
    </row>
    <row r="56" spans="1:18" s="991" customFormat="1" ht="13.8"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0.200000000000003"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6.2"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8" thickBot="1">
      <c r="A59" s="4224" t="s">
        <v>3403</v>
      </c>
      <c r="B59" s="4881" t="s">
        <v>3793</v>
      </c>
      <c r="C59" s="4882">
        <f ca="1">ROUND(F58*F60*F59/10000,2)</f>
        <v>0</v>
      </c>
      <c r="D59" s="4880"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8" thickBot="1">
      <c r="A60" s="4225"/>
      <c r="B60" s="4881"/>
      <c r="C60" s="4883"/>
      <c r="D60" s="4880"/>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8"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36.6"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875" t="s">
        <v>822</v>
      </c>
      <c r="L62" s="4876"/>
      <c r="O62" s="4406" t="s">
        <v>403</v>
      </c>
      <c r="P62" s="4410" t="s">
        <v>3917</v>
      </c>
      <c r="Q62" s="4409" t="e">
        <f ca="1">ROUND((Q56+Q57)*(1+F31),0)</f>
        <v>#DIV/0!</v>
      </c>
      <c r="R62" s="4408" t="s">
        <v>3918</v>
      </c>
    </row>
    <row r="63" spans="1:18" s="991" customFormat="1" ht="13.8"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8" thickBot="1">
      <c r="A64" s="4219" t="s">
        <v>3805</v>
      </c>
      <c r="B64" s="976" t="s">
        <v>688</v>
      </c>
      <c r="C64" s="4207"/>
      <c r="D64" s="973"/>
      <c r="E64" s="4454"/>
      <c r="F64" s="1046"/>
      <c r="I64" s="1049" t="s">
        <v>825</v>
      </c>
      <c r="J64" s="4244" t="e">
        <f ca="1">ROUND(IF(J56="钢混",J66/J59,1-(1-2%)*(J59-J66)/J59),3)</f>
        <v>#DIV/0!</v>
      </c>
      <c r="K64" s="1051" t="s">
        <v>826</v>
      </c>
      <c r="L64" s="1052"/>
      <c r="O64" s="4403" t="s">
        <v>1324</v>
      </c>
      <c r="P64" s="4404" t="s">
        <v>3907</v>
      </c>
      <c r="Q64" s="4405" t="s">
        <v>3908</v>
      </c>
      <c r="R64" s="4405" t="s">
        <v>3909</v>
      </c>
    </row>
    <row r="65" spans="1:18" s="991" customFormat="1" ht="37.200000000000003" thickTop="1" thickBot="1">
      <c r="A65" s="203" t="s">
        <v>3676</v>
      </c>
      <c r="B65" s="668" t="s">
        <v>3885</v>
      </c>
      <c r="C65" s="4466" t="e">
        <f ca="1">ROUND(C66+C74+C76+C78,0)</f>
        <v>#VALUE!</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6" thickBot="1">
      <c r="A66" s="546" t="s">
        <v>392</v>
      </c>
      <c r="B66" s="2932" t="s">
        <v>3969</v>
      </c>
      <c r="C66" s="4458" t="e">
        <f ca="1">ROUND(IF(AND(项目基本情况!B11="自然人",项目基本情况!B10="北京市",M56="住宅"),C58*F66,C67+C71+C72),2)</f>
        <v>#VALUE!</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6"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8" thickBot="1">
      <c r="A70" s="2739" t="s">
        <v>3962</v>
      </c>
      <c r="B70" s="2954" t="s">
        <v>3961</v>
      </c>
      <c r="C70" s="4458">
        <f ca="1">ROUND((C68-C69)*F70,2)</f>
        <v>0</v>
      </c>
      <c r="D70" s="2977" t="s">
        <v>3984</v>
      </c>
      <c r="E70" s="190" t="s">
        <v>3985</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25.8" thickBot="1">
      <c r="A71" s="4220" t="s">
        <v>766</v>
      </c>
      <c r="B71" s="2932" t="s">
        <v>3972</v>
      </c>
      <c r="C71" s="4458"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8" thickBot="1">
      <c r="A72" s="4464" t="s">
        <v>769</v>
      </c>
      <c r="B72" s="4451" t="s">
        <v>3967</v>
      </c>
      <c r="C72" s="4460" t="str">
        <f>IF(项目基本情况!B11="自然人","——",ROUND(F72*F73/10000,2))</f>
        <v>——</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8"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8"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6.2" thickBot="1">
      <c r="A75" s="4222"/>
      <c r="B75" s="666"/>
      <c r="C75" s="4214"/>
      <c r="D75" s="4216"/>
      <c r="E75" s="660" t="s">
        <v>768</v>
      </c>
      <c r="F75" s="3004">
        <f ca="1">F22</f>
        <v>0</v>
      </c>
      <c r="O75" s="4406" t="s">
        <v>398</v>
      </c>
      <c r="P75" s="4407" t="s">
        <v>3914</v>
      </c>
      <c r="Q75" s="4411" t="e">
        <f ca="1">L69</f>
        <v>#DIV/0!</v>
      </c>
      <c r="R75" s="4408" t="s">
        <v>3916</v>
      </c>
    </row>
    <row r="76" spans="1:18" s="991" customFormat="1" ht="13.8" thickBot="1">
      <c r="A76" s="4221" t="s">
        <v>777</v>
      </c>
      <c r="B76" s="659" t="s">
        <v>727</v>
      </c>
      <c r="C76" s="4213">
        <f ca="1">ROUND(F76*F77,2)</f>
        <v>0</v>
      </c>
      <c r="D76" s="4215" t="s">
        <v>3442</v>
      </c>
      <c r="E76" s="4228" t="s">
        <v>3801</v>
      </c>
      <c r="F76" s="4230">
        <f ca="1">C53</f>
        <v>0</v>
      </c>
      <c r="O76" s="1024"/>
      <c r="P76" s="1025"/>
      <c r="Q76" s="3694"/>
      <c r="R76" s="1026"/>
    </row>
    <row r="77" spans="1:18" s="991" customFormat="1" ht="17.399999999999999" thickBot="1">
      <c r="A77" s="4223"/>
      <c r="B77" s="666"/>
      <c r="C77" s="4214"/>
      <c r="D77" s="4216"/>
      <c r="E77" s="660" t="s">
        <v>729</v>
      </c>
      <c r="F77" s="3004">
        <f ca="1">F24</f>
        <v>0</v>
      </c>
      <c r="O77" s="1034" t="s">
        <v>399</v>
      </c>
      <c r="P77" s="1025" t="s">
        <v>834</v>
      </c>
      <c r="Q77" s="3698">
        <f ca="1">L60</f>
        <v>0</v>
      </c>
      <c r="R77" s="1026" t="s">
        <v>854</v>
      </c>
    </row>
    <row r="78" spans="1:18" s="991" customFormat="1" ht="13.8" thickBot="1">
      <c r="A78" s="4223" t="s">
        <v>778</v>
      </c>
      <c r="B78" s="660" t="s">
        <v>713</v>
      </c>
      <c r="C78" s="4458">
        <f ca="1">ROUND(C57*F78,2)</f>
        <v>0</v>
      </c>
      <c r="D78" s="674" t="s">
        <v>3866</v>
      </c>
      <c r="E78" s="660" t="s">
        <v>697</v>
      </c>
      <c r="F78" s="3004">
        <f ca="1">F26</f>
        <v>0</v>
      </c>
      <c r="O78" s="1034"/>
      <c r="P78" s="1025"/>
      <c r="Q78" s="3698"/>
      <c r="R78" s="1026"/>
    </row>
    <row r="79" spans="1:18" s="991" customFormat="1" ht="24.6" thickBot="1">
      <c r="A79" s="667" t="s">
        <v>3802</v>
      </c>
      <c r="B79" s="677" t="s">
        <v>737</v>
      </c>
      <c r="C79" s="4466" t="e">
        <f ca="1">C57-C65</f>
        <v>#VALUE!</v>
      </c>
      <c r="D79" s="677" t="s">
        <v>3906</v>
      </c>
      <c r="E79" s="4395"/>
      <c r="F79" s="4396"/>
      <c r="O79" s="1034" t="s">
        <v>400</v>
      </c>
      <c r="P79" s="1073" t="s">
        <v>855</v>
      </c>
      <c r="Q79" s="3698">
        <f ca="1">ROUND(Q80-Q81*Q82,0)</f>
        <v>0</v>
      </c>
      <c r="R79" s="1026" t="s">
        <v>408</v>
      </c>
    </row>
    <row r="80" spans="1:18" s="991" customFormat="1" ht="13.8" thickBot="1">
      <c r="A80" s="3453" t="s">
        <v>3803</v>
      </c>
      <c r="B80" s="658" t="s">
        <v>759</v>
      </c>
      <c r="C80" s="4271" t="e">
        <f ca="1">ROUND(C79*(1-((1+F82)/(1+F80))^F81)/(F80-F82),0)</f>
        <v>#VALUE!</v>
      </c>
      <c r="D80" s="4397" t="s">
        <v>3891</v>
      </c>
      <c r="E80" s="668" t="s">
        <v>3892</v>
      </c>
      <c r="F80" s="3004">
        <f ca="1">F28</f>
        <v>0</v>
      </c>
      <c r="O80" s="1034" t="s">
        <v>405</v>
      </c>
      <c r="P80" s="1073" t="s">
        <v>856</v>
      </c>
      <c r="Q80" s="3698">
        <f ca="1">C27</f>
        <v>0</v>
      </c>
      <c r="R80" s="1026" t="s">
        <v>803</v>
      </c>
    </row>
    <row r="81" spans="1:18" s="991" customFormat="1" ht="13.8" thickBot="1">
      <c r="A81" s="3454"/>
      <c r="B81" s="662"/>
      <c r="C81" s="4467"/>
      <c r="D81" s="4398" t="s">
        <v>3896</v>
      </c>
      <c r="E81" s="668" t="s">
        <v>3895</v>
      </c>
      <c r="F81" s="3005">
        <f ca="1">F29</f>
        <v>0</v>
      </c>
      <c r="O81" s="1034" t="s">
        <v>406</v>
      </c>
      <c r="P81" s="1073" t="s">
        <v>857</v>
      </c>
      <c r="Q81" s="3698">
        <f ca="1">C52</f>
        <v>0</v>
      </c>
      <c r="R81" s="1026" t="s">
        <v>803</v>
      </c>
    </row>
    <row r="82" spans="1:18" s="991" customFormat="1" ht="13.8" thickBot="1">
      <c r="A82" s="3455"/>
      <c r="B82" s="3020"/>
      <c r="C82" s="3020"/>
      <c r="D82" s="4399"/>
      <c r="E82" s="668" t="s">
        <v>3897</v>
      </c>
      <c r="F82" s="2999"/>
      <c r="O82" s="1034" t="s">
        <v>407</v>
      </c>
      <c r="P82" s="1073" t="s">
        <v>858</v>
      </c>
      <c r="Q82" s="3695">
        <f ca="1">C88</f>
        <v>0</v>
      </c>
      <c r="R82" s="1026"/>
    </row>
    <row r="83" spans="1:18" s="991" customFormat="1" ht="13.8" thickBot="1">
      <c r="A83" s="664" t="s">
        <v>3806</v>
      </c>
      <c r="B83" s="2979" t="s">
        <v>3446</v>
      </c>
      <c r="C83" s="4206" t="e">
        <f ca="1">ROUND(C80*(1+F31),0)</f>
        <v>#VALUE!</v>
      </c>
      <c r="D83" s="4400" t="str">
        <f>D31</f>
        <v>其他类型公式—收益价值×（1+9%）</v>
      </c>
      <c r="E83" s="1077"/>
      <c r="F83" s="4401"/>
      <c r="O83" s="1034" t="s">
        <v>401</v>
      </c>
      <c r="P83" s="1025" t="s">
        <v>836</v>
      </c>
      <c r="Q83" s="3695">
        <f>L61</f>
        <v>0</v>
      </c>
      <c r="R83" s="1026"/>
    </row>
    <row r="84" spans="1:18" ht="16.2" thickBot="1">
      <c r="A84" s="681" t="s">
        <v>390</v>
      </c>
      <c r="B84" s="682" t="s">
        <v>761</v>
      </c>
      <c r="C84" s="2991" t="e">
        <f ca="1">ROUND(C83*10000/F84,0)</f>
        <v>#VALUE!</v>
      </c>
      <c r="D84" s="4402" t="s">
        <v>3900</v>
      </c>
      <c r="E84" s="682" t="s">
        <v>3901</v>
      </c>
      <c r="F84" s="3006">
        <f ca="1">F32</f>
        <v>0</v>
      </c>
      <c r="G84" s="991"/>
      <c r="H84" s="991"/>
      <c r="O84" s="1034" t="s">
        <v>402</v>
      </c>
      <c r="P84" s="1025" t="s">
        <v>839</v>
      </c>
      <c r="Q84" s="4412" t="e">
        <f ca="1">L67</f>
        <v>#DIV/0!</v>
      </c>
      <c r="R84" s="1026" t="s">
        <v>840</v>
      </c>
    </row>
    <row r="85" spans="1:18" ht="13.8" thickBot="1">
      <c r="A85" s="991"/>
      <c r="B85" s="519"/>
      <c r="C85" s="519"/>
      <c r="D85" s="991"/>
      <c r="E85" s="991"/>
      <c r="F85" s="991"/>
      <c r="O85" s="1034" t="s">
        <v>409</v>
      </c>
      <c r="P85" s="1025" t="str">
        <f>K68</f>
        <v>建筑物剩余耐用年限下的土地年期修正系数Kn</v>
      </c>
      <c r="Q85" s="4412" t="e">
        <f ca="1">L68</f>
        <v>#DIV/0!</v>
      </c>
      <c r="R85" s="1026" t="s">
        <v>841</v>
      </c>
    </row>
    <row r="86" spans="1:18" ht="25.8"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89" priority="56">
      <formula>$L$57&gt;$J$60</formula>
    </cfRule>
  </conditionalFormatting>
  <conditionalFormatting sqref="I64 I69">
    <cfRule type="expression" dxfId="188" priority="57">
      <formula>$J$60&gt;$L$57</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63">
    <cfRule type="expression" dxfId="185"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Normal="100" zoomScaleSheetLayoutView="100" workbookViewId="0">
      <selection activeCell="F83" sqref="F83"/>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3271</v>
      </c>
      <c r="D1" s="969" t="s">
        <v>41</v>
      </c>
      <c r="E1" s="970" t="s">
        <v>665</v>
      </c>
      <c r="F1" s="742">
        <f ca="1">J62</f>
        <v>37.36</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347.15030000000002</v>
      </c>
      <c r="C2" s="993" t="s">
        <v>790</v>
      </c>
      <c r="D2" s="3585" t="s">
        <v>4023</v>
      </c>
      <c r="E2" s="994"/>
      <c r="F2" s="995"/>
      <c r="G2" s="2137"/>
      <c r="H2" s="2126"/>
      <c r="I2" s="2126"/>
      <c r="J2" s="2126"/>
      <c r="K2" s="2127"/>
      <c r="L2" s="2126"/>
      <c r="M2" s="2126"/>
    </row>
    <row r="3" spans="1:37" ht="18" customHeight="1" thickBot="1">
      <c r="A3" s="996" t="s">
        <v>791</v>
      </c>
      <c r="B3" s="997">
        <f ca="1">IF(ISERROR(D3/F32),0,ROUND(D3/F32,0))</f>
        <v>13211</v>
      </c>
      <c r="C3" s="993" t="s">
        <v>792</v>
      </c>
      <c r="D3" s="993">
        <f ca="1">IF(D2="含税",ROUND((C28+J31+L55)*(1+F31),0),C28+J31+L55)</f>
        <v>3471503</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f ca="1">C6+C10+C12</f>
        <v>140314</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f ca="1">C7-C9</f>
        <v>140139</v>
      </c>
      <c r="D6" s="2952" t="s">
        <v>3799</v>
      </c>
      <c r="E6" s="2950" t="s">
        <v>3982</v>
      </c>
      <c r="F6" s="3684">
        <f ca="1">INDIRECT("'数据-取费表'!u"&amp;$G$1)</f>
        <v>52.285714285714292</v>
      </c>
      <c r="G6" s="991"/>
      <c r="H6" s="745" t="s">
        <v>392</v>
      </c>
      <c r="I6" s="2951" t="s">
        <v>3795</v>
      </c>
      <c r="J6" s="2939">
        <f ca="1">J7-J9</f>
        <v>0</v>
      </c>
      <c r="K6" s="2952" t="s">
        <v>3799</v>
      </c>
      <c r="L6" s="2950" t="s">
        <v>3982</v>
      </c>
      <c r="M6" s="3703">
        <f ca="1">INDIRECT("'数据-取费表'!z"&amp;$G$1)</f>
        <v>0</v>
      </c>
    </row>
    <row r="7" spans="1:37" ht="18" customHeight="1">
      <c r="A7" s="4884" t="s">
        <v>391</v>
      </c>
      <c r="B7" s="4877" t="s">
        <v>3793</v>
      </c>
      <c r="C7" s="4887">
        <f ca="1">ROUND(F6*F7*F8,0)</f>
        <v>164869</v>
      </c>
      <c r="D7" s="4880" t="s">
        <v>3471</v>
      </c>
      <c r="E7" s="4453" t="s">
        <v>682</v>
      </c>
      <c r="F7" s="3974">
        <f ca="1">IF(INDIRECT("'数据-取费表'!ah"&amp;$G$1)="",INDIRECT("'数据-取费表'!k"&amp;$G$1),INDIRECT("'数据-取费表'!ah"&amp;$G$1))</f>
        <v>262.77</v>
      </c>
      <c r="G7" s="991"/>
      <c r="H7" s="4884" t="s">
        <v>391</v>
      </c>
      <c r="I7" s="4877" t="s">
        <v>3793</v>
      </c>
      <c r="J7" s="4888">
        <f ca="1">ROUND(M6*M8*M7,0)</f>
        <v>0</v>
      </c>
      <c r="K7" s="4880" t="s">
        <v>3471</v>
      </c>
      <c r="L7" s="190" t="s">
        <v>682</v>
      </c>
      <c r="M7" s="4602">
        <f ca="1">F7</f>
        <v>262.77</v>
      </c>
    </row>
    <row r="8" spans="1:37" ht="18" customHeight="1">
      <c r="A8" s="4885"/>
      <c r="B8" s="4878"/>
      <c r="C8" s="4887"/>
      <c r="D8" s="4880"/>
      <c r="E8" s="190" t="str">
        <f ca="1">IF(F8=1,"年",IF(F8=12,"月","天"))</f>
        <v>月</v>
      </c>
      <c r="F8" s="3677">
        <f ca="1">INDIRECT("'数据-取费表'!ai"&amp;$G$1)</f>
        <v>12</v>
      </c>
      <c r="G8" s="991"/>
      <c r="H8" s="4885"/>
      <c r="I8" s="4878"/>
      <c r="J8" s="4888"/>
      <c r="K8" s="4880"/>
      <c r="L8" s="190" t="str">
        <f ca="1">IF(M8=1,"年",IF(M8=12,"月","天"))</f>
        <v>月</v>
      </c>
      <c r="M8" s="3705">
        <f ca="1">INDIRECT("'数据-取费表'!ai"&amp;$G$1)</f>
        <v>12</v>
      </c>
    </row>
    <row r="9" spans="1:37" ht="18" customHeight="1">
      <c r="A9" s="2937" t="s">
        <v>3401</v>
      </c>
      <c r="B9" s="4457" t="s">
        <v>3794</v>
      </c>
      <c r="C9" s="4467">
        <f ca="1">ROUND(C7*F9,0)</f>
        <v>24730</v>
      </c>
      <c r="D9" s="2952" t="s">
        <v>3798</v>
      </c>
      <c r="E9" s="190" t="s">
        <v>684</v>
      </c>
      <c r="F9" s="3004">
        <f ca="1">INDIRECT("'数据-取费表'!w"&amp;$G$1)</f>
        <v>0.15</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f ca="1">ROUND(IF(F10="押一",C6/12*F11,IF(F10="押二",C6/12*2*F11,IF(F10="押三",C6/12*3*F11,C11*F11))),0)</f>
        <v>175</v>
      </c>
      <c r="D10" s="973" t="s">
        <v>2019</v>
      </c>
      <c r="E10" s="201" t="s">
        <v>686</v>
      </c>
      <c r="F10" s="787" t="s">
        <v>4029</v>
      </c>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f ca="1">ROUND(C14+C22+C24+C26,0)</f>
        <v>6965</v>
      </c>
      <c r="D13" s="4607" t="s">
        <v>3921</v>
      </c>
      <c r="E13" s="4372"/>
      <c r="F13" s="4370"/>
      <c r="G13" s="4367"/>
      <c r="H13" s="754" t="s">
        <v>3676</v>
      </c>
      <c r="I13" s="755" t="s">
        <v>3920</v>
      </c>
      <c r="J13" s="4206">
        <f ca="1">ROUND(J14+J22+J24+J26,0)</f>
        <v>1584</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f ca="1">ROUND(IF(AND(项目基本情况!B11="自然人",项目基本情况!B10="北京市",M56="住宅"),C6*F14,C15+C19+C20),2)</f>
        <v>3503.48</v>
      </c>
      <c r="D14" s="4455" t="s">
        <v>3445</v>
      </c>
      <c r="E14" s="4600" t="str">
        <f>IF(M56="非住宅","","综合税率")</f>
        <v>综合税率</v>
      </c>
      <c r="F14" s="4190">
        <f ca="1">IF(M56="非住宅","",IF(F6*F7*F8/12/(1+'数据-取费表'!F30)&gt;100000,4%,2.5%))</f>
        <v>2.5000000000000001E-2</v>
      </c>
      <c r="G14" s="991"/>
      <c r="H14" s="692" t="s">
        <v>392</v>
      </c>
      <c r="I14" s="2950" t="s">
        <v>3973</v>
      </c>
      <c r="J14" s="2939">
        <f ca="1">ROUND(IF(AND(项目基本情况!B11="自然人",项目基本情况!B10="北京市",M56="住宅"),J6*M14/(1+'数据-取费表'!C43),J15+J19+J20),0)</f>
        <v>0</v>
      </c>
      <c r="K14" s="2977" t="s">
        <v>3444</v>
      </c>
      <c r="L14" s="4600" t="str">
        <f>E14</f>
        <v>综合税率</v>
      </c>
      <c r="M14" s="4190">
        <f ca="1">IF(M56="非住宅","",IF(M6*M7*M8/12/(1+'数据-取费表'!F30)&gt;100000,4%,2.5%))</f>
        <v>2.5000000000000001E-2</v>
      </c>
    </row>
    <row r="15" spans="1:37" s="1003" customFormat="1" ht="18" customHeight="1">
      <c r="A15" s="2937" t="s">
        <v>391</v>
      </c>
      <c r="B15" s="2950" t="s">
        <v>3965</v>
      </c>
      <c r="C15" s="2939">
        <f ca="1">C18</f>
        <v>1483</v>
      </c>
      <c r="D15" s="4462" t="s">
        <v>3964</v>
      </c>
      <c r="E15" s="4463"/>
      <c r="F15" s="4501"/>
      <c r="G15" s="1002"/>
      <c r="H15" s="2937" t="s">
        <v>391</v>
      </c>
      <c r="I15" s="2950" t="s">
        <v>3965</v>
      </c>
      <c r="J15" s="2939">
        <f ca="1">J18</f>
        <v>-17</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f ca="1">ROUND(C6*F16,0)</f>
        <v>12613</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f ca="1">ROUND(C22*F16+((C24+C26)*F17),0)</f>
        <v>255</v>
      </c>
      <c r="D17" s="4342" t="s">
        <v>3861</v>
      </c>
      <c r="E17" s="2959"/>
      <c r="F17" s="3002">
        <v>0.06</v>
      </c>
      <c r="G17" s="1002"/>
      <c r="H17" s="2739" t="s">
        <v>3289</v>
      </c>
      <c r="I17" s="2954" t="s">
        <v>3405</v>
      </c>
      <c r="J17" s="3268">
        <f ca="1">ROUND(J22*M16+((J24+J26)*M17),0)</f>
        <v>143</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f ca="1">ROUND((C16-C17)*F18,0)</f>
        <v>1483</v>
      </c>
      <c r="D18" s="2977" t="s">
        <v>3984</v>
      </c>
      <c r="E18" s="190" t="s">
        <v>3985</v>
      </c>
      <c r="F18" s="3002">
        <f>'数据-取费表'!B44</f>
        <v>0.12000000000000001</v>
      </c>
      <c r="G18" s="1002"/>
      <c r="H18" s="2739" t="s">
        <v>3962</v>
      </c>
      <c r="I18" s="2954" t="s">
        <v>3961</v>
      </c>
      <c r="J18" s="3268">
        <f ca="1">ROUND((J16-J17)*M18,0)</f>
        <v>-17</v>
      </c>
      <c r="K18" s="2977" t="s">
        <v>3984</v>
      </c>
      <c r="L18" s="190" t="s">
        <v>3985</v>
      </c>
      <c r="M18" s="3701">
        <f>'数据-取费表'!B44</f>
        <v>0.12000000000000001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t="str">
        <f ca="1">IF(AND(项目基本情况!B11="自然人",M56="住宅"),"——",IF(D19="按不含税租金收入（有效毛租金收入）计税",ROUND(C6*F19,0),IF(D19="按房产原值计税",ROUND(C51*F19*0.7,0),INDIRECT("'数据-取费表'!Aj"&amp;$G$1))))</f>
        <v>——</v>
      </c>
      <c r="D19" s="2953" t="s">
        <v>4030</v>
      </c>
      <c r="E19" s="190" t="s">
        <v>697</v>
      </c>
      <c r="F19" s="3002">
        <f>IF(D19="按票据","——",IF(D19="按不含税租金收入（有效毛租金收入）计税",'数据-取费表'!B52,'数据-取费表'!B51))</f>
        <v>0.12</v>
      </c>
      <c r="G19" s="1002"/>
      <c r="H19" s="2937" t="s">
        <v>393</v>
      </c>
      <c r="I19" s="2950" t="s">
        <v>3971</v>
      </c>
      <c r="J19" s="2939">
        <f ca="1">IF(K19="按不含税租金收入（有效毛租金收入）计税",ROUND(J6*M19,0),ROUND(C51*M19*0.7,0))</f>
        <v>6654</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t="str">
        <f>IF(AND(项目基本情况!B11="自然人",M56="住宅"),"——",ROUND(F20*F21,0))</f>
        <v>——</v>
      </c>
      <c r="D20" s="211" t="s">
        <v>716</v>
      </c>
      <c r="E20" s="190" t="s">
        <v>717</v>
      </c>
      <c r="F20" s="3684">
        <f>'数据-取费表'!B53</f>
        <v>1.5</v>
      </c>
      <c r="G20" s="991"/>
      <c r="H20" s="4464" t="s">
        <v>666</v>
      </c>
      <c r="I20" s="4285" t="s">
        <v>3967</v>
      </c>
      <c r="J20" s="3269">
        <f ca="1">ROUND(M20*M21,0)</f>
        <v>935</v>
      </c>
      <c r="K20" s="211" t="s">
        <v>716</v>
      </c>
      <c r="L20" s="190" t="s">
        <v>717</v>
      </c>
      <c r="M20" s="3703">
        <f>'数据-取费表'!B53</f>
        <v>1.5</v>
      </c>
    </row>
    <row r="21" spans="1:37" s="1003" customFormat="1" ht="18" customHeight="1">
      <c r="A21" s="213"/>
      <c r="B21" s="776"/>
      <c r="C21" s="3270"/>
      <c r="D21" s="214"/>
      <c r="E21" s="190" t="s">
        <v>721</v>
      </c>
      <c r="F21" s="3272">
        <f ca="1">INDIRECT("'数据-取费表'!r"&amp;$G$1)</f>
        <v>623.5</v>
      </c>
      <c r="G21" s="1002"/>
      <c r="H21" s="213"/>
      <c r="I21" s="199"/>
      <c r="J21" s="3270"/>
      <c r="K21" s="214"/>
      <c r="L21" s="190" t="s">
        <v>721</v>
      </c>
      <c r="M21" s="3704">
        <f ca="1">INDIRECT("'数据-取费表'!r"&amp;$G$1)</f>
        <v>623.5</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1584</v>
      </c>
      <c r="D22" s="4286" t="s">
        <v>724</v>
      </c>
      <c r="E22" s="190" t="s">
        <v>697</v>
      </c>
      <c r="F22" s="3004">
        <f ca="1">INDIRECT("'数据-取费表'!Ak"&amp;$G$1)</f>
        <v>2E-3</v>
      </c>
      <c r="G22" s="1002"/>
      <c r="H22" s="4212" t="s">
        <v>396</v>
      </c>
      <c r="I22" s="60" t="s">
        <v>723</v>
      </c>
      <c r="J22" s="4232">
        <f ca="1">ROUND(J35*M22,0)</f>
        <v>1584</v>
      </c>
      <c r="K22" s="4286" t="s">
        <v>724</v>
      </c>
      <c r="L22" s="190" t="s">
        <v>697</v>
      </c>
      <c r="M22" s="4254">
        <f ca="1">INDIRECT("'数据-取费表'!Ak"&amp;$G$1)</f>
        <v>2E-3</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792092</v>
      </c>
      <c r="G23" s="1002"/>
      <c r="H23" s="213"/>
      <c r="I23" s="199"/>
      <c r="J23" s="4233"/>
      <c r="K23" s="4287"/>
      <c r="L23" s="2950" t="s">
        <v>3819</v>
      </c>
      <c r="M23" s="3705">
        <f ca="1">J35</f>
        <v>792092</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475</v>
      </c>
      <c r="D24" s="4286" t="s">
        <v>3442</v>
      </c>
      <c r="E24" s="190" t="s">
        <v>697</v>
      </c>
      <c r="F24" s="3004">
        <f ca="1">INDIRECT("'数据-取费表'!Al"&amp;$G$1)</f>
        <v>1E-3</v>
      </c>
      <c r="G24" s="991"/>
      <c r="H24" s="4212" t="s">
        <v>431</v>
      </c>
      <c r="I24" s="60" t="s">
        <v>727</v>
      </c>
      <c r="J24" s="4232">
        <f ca="1">ROUND(J37*M24,0)</f>
        <v>0</v>
      </c>
      <c r="K24" s="4286" t="s">
        <v>728</v>
      </c>
      <c r="L24" s="190" t="s">
        <v>697</v>
      </c>
      <c r="M24" s="4254">
        <f ca="1">INDIRECT("'数据-取费表'!Al"&amp;$G$1)</f>
        <v>1E-3</v>
      </c>
    </row>
    <row r="25" spans="1:37" ht="18" customHeight="1">
      <c r="A25" s="213"/>
      <c r="B25" s="199"/>
      <c r="C25" s="4233"/>
      <c r="D25" s="4287"/>
      <c r="E25" s="4285" t="s">
        <v>3820</v>
      </c>
      <c r="F25" s="3677">
        <f ca="1">C53</f>
        <v>475255</v>
      </c>
      <c r="G25" s="991"/>
      <c r="H25" s="213"/>
      <c r="I25" s="199"/>
      <c r="J25" s="4233"/>
      <c r="K25" s="4287"/>
      <c r="L25" s="4285" t="s">
        <v>3820</v>
      </c>
      <c r="M25" s="3705">
        <f ca="1">J37</f>
        <v>0</v>
      </c>
    </row>
    <row r="26" spans="1:37" s="1003" customFormat="1" ht="18" customHeight="1" thickBot="1">
      <c r="A26" s="764" t="s">
        <v>669</v>
      </c>
      <c r="B26" s="765" t="s">
        <v>713</v>
      </c>
      <c r="C26" s="3271">
        <f ca="1">ROUND(C5*F26,0)</f>
        <v>1403</v>
      </c>
      <c r="D26" s="767" t="s">
        <v>3865</v>
      </c>
      <c r="E26" s="765" t="s">
        <v>697</v>
      </c>
      <c r="F26" s="3072">
        <f ca="1">INDIRECT("'数据-取费表'!Am"&amp;$G$1)</f>
        <v>0.01</v>
      </c>
      <c r="G26" s="1002"/>
      <c r="H26" s="764" t="s">
        <v>669</v>
      </c>
      <c r="I26" s="765" t="s">
        <v>713</v>
      </c>
      <c r="J26" s="3271">
        <f ca="1">ROUND(J5*M26,0)</f>
        <v>0</v>
      </c>
      <c r="K26" s="767" t="s">
        <v>3865</v>
      </c>
      <c r="L26" s="765" t="s">
        <v>697</v>
      </c>
      <c r="M26" s="3702">
        <f ca="1">INDIRECT("'数据-取费表'!Am"&amp;$G$1)</f>
        <v>0.01</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f ca="1">C5-C13</f>
        <v>133349</v>
      </c>
      <c r="D27" s="4606" t="s">
        <v>3906</v>
      </c>
      <c r="E27" s="4376"/>
      <c r="F27" s="4377"/>
      <c r="G27" s="4378"/>
      <c r="H27" s="754" t="s">
        <v>3300</v>
      </c>
      <c r="I27" s="769" t="s">
        <v>3923</v>
      </c>
      <c r="J27" s="4206">
        <f ca="1">J5-J13</f>
        <v>-1584</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f ca="1">ROUND(C27*(1-((1+F30)/(1+F28))^F29)/(F28-F30),0)</f>
        <v>3184865</v>
      </c>
      <c r="D28" s="4381" t="s">
        <v>3924</v>
      </c>
      <c r="E28" s="2962" t="s">
        <v>3892</v>
      </c>
      <c r="F28" s="3004">
        <f ca="1">INDIRECT("'数据-取费表'!I"&amp;$G$1)</f>
        <v>0.04</v>
      </c>
      <c r="G28" s="4367"/>
      <c r="H28" s="4265" t="s">
        <v>3678</v>
      </c>
      <c r="I28" s="4273" t="s">
        <v>3811</v>
      </c>
      <c r="J28" s="4289">
        <f ca="1">IF(J5&lt;&gt;0,ROUND(J27*(1-((1+M30)/(1+M28))^M29)/(M28-M30),0),0)</f>
        <v>0</v>
      </c>
      <c r="K28" s="4381" t="s">
        <v>3924</v>
      </c>
      <c r="L28" s="4382" t="s">
        <v>3892</v>
      </c>
      <c r="M28" s="3699">
        <f ca="1">INDIRECT("'数据-取费表'!I"&amp;$G$1)</f>
        <v>0.04</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37.36</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1.4999999999999999E-2</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3471503</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262.77</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f ca="1">ROUND(C31/F32,0)</f>
        <v>13211</v>
      </c>
      <c r="D32" s="4386" t="s">
        <v>3900</v>
      </c>
      <c r="E32" s="222" t="s">
        <v>3901</v>
      </c>
      <c r="F32" s="3006">
        <f ca="1">INDIRECT("'数据-取费表'!k"&amp;$G$1)</f>
        <v>262.77</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f ca="1">1-C27/C5</f>
        <v>4.9638667559901317E-2</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646415</v>
      </c>
      <c r="D35" s="2973" t="s">
        <v>3415</v>
      </c>
      <c r="E35" s="2969"/>
      <c r="F35" s="2970"/>
      <c r="G35" s="991"/>
      <c r="H35" s="2983" t="s">
        <v>3407</v>
      </c>
      <c r="I35" s="2986" t="s">
        <v>3447</v>
      </c>
      <c r="J35" s="2987">
        <f ca="1">C51</f>
        <v>792092</v>
      </c>
      <c r="K35" s="3452" t="s">
        <v>3443</v>
      </c>
      <c r="L35" s="2988"/>
      <c r="M35" s="3282"/>
    </row>
    <row r="36" spans="1:37" ht="18" customHeight="1">
      <c r="A36" s="2937" t="s">
        <v>391</v>
      </c>
      <c r="B36" s="2902" t="s">
        <v>692</v>
      </c>
      <c r="C36" s="2845">
        <f ca="1">ROUND(INDIRECT("'数据-取费表'!l"&amp;$G$1)*F32+'数据-取费表'!L14*INDIRECT("'数据-取费表'!S"&amp;$G$1),0)</f>
        <v>525540</v>
      </c>
      <c r="D36" s="3027" t="s">
        <v>693</v>
      </c>
      <c r="E36" s="3027"/>
      <c r="F36" s="220"/>
      <c r="G36" s="991"/>
      <c r="H36" s="2984" t="s">
        <v>396</v>
      </c>
      <c r="I36" s="2989" t="s">
        <v>3435</v>
      </c>
      <c r="J36" s="2887">
        <f ca="1">ROUND(J35*(1-M36),0)</f>
        <v>792092</v>
      </c>
      <c r="K36" s="190" t="s">
        <v>3438</v>
      </c>
      <c r="L36" s="2952" t="s">
        <v>3450</v>
      </c>
      <c r="M36" s="3004">
        <f ca="1">INDIRECT("'数据-取费表'!ad"&amp;$G$1)</f>
        <v>0</v>
      </c>
    </row>
    <row r="37" spans="1:37" ht="18" customHeight="1" thickBot="1">
      <c r="A37" s="2937" t="s">
        <v>3401</v>
      </c>
      <c r="B37" s="2902" t="s">
        <v>695</v>
      </c>
      <c r="C37" s="2939">
        <f ca="1">ROUND(C36*F37,0)</f>
        <v>26277</v>
      </c>
      <c r="D37" s="190" t="s">
        <v>696</v>
      </c>
      <c r="E37" s="190" t="s">
        <v>697</v>
      </c>
      <c r="F37" s="3002">
        <f>'数据-取费表'!B33</f>
        <v>0.05</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1</v>
      </c>
      <c r="D38" s="190" t="s">
        <v>696</v>
      </c>
      <c r="E38" s="190" t="s">
        <v>697</v>
      </c>
      <c r="F38" s="3002">
        <f ca="1">IF(INDIRECT("'数据-取费表'!c"&amp;$G$1)="住宅",'数据-取费表'!B34,0)</f>
        <v>0.02</v>
      </c>
      <c r="G38" s="991"/>
    </row>
    <row r="39" spans="1:37" ht="18" customHeight="1">
      <c r="A39" s="2937" t="s">
        <v>3411</v>
      </c>
      <c r="B39" s="2902" t="s">
        <v>701</v>
      </c>
      <c r="C39" s="2939">
        <f ca="1">ROUND(F39*(F32+INDIRECT("'数据-取费表'!S"&amp;$G$1)),0)</f>
        <v>94597</v>
      </c>
      <c r="D39" s="190" t="s">
        <v>702</v>
      </c>
      <c r="E39" s="190" t="s">
        <v>3872</v>
      </c>
      <c r="F39" s="3688">
        <f>'数据-取费表'!B35</f>
        <v>360</v>
      </c>
      <c r="G39" s="991"/>
    </row>
    <row r="40" spans="1:37" ht="18" customHeight="1">
      <c r="A40" s="2937" t="s">
        <v>668</v>
      </c>
      <c r="B40" s="2954" t="s">
        <v>3292</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v>
      </c>
      <c r="G41" s="991"/>
      <c r="H41" s="832"/>
      <c r="I41" s="832"/>
      <c r="J41" s="832"/>
      <c r="K41" s="2020"/>
      <c r="L41" s="832"/>
      <c r="M41" s="832"/>
    </row>
    <row r="42" spans="1:37" ht="18" customHeight="1">
      <c r="A42" s="203" t="s">
        <v>3422</v>
      </c>
      <c r="B42" s="2962" t="s">
        <v>3423</v>
      </c>
      <c r="C42" s="2980">
        <f ca="1">ROUND(C35*F42,0)</f>
        <v>9696</v>
      </c>
      <c r="D42" s="3031" t="s">
        <v>3424</v>
      </c>
      <c r="E42" s="2962" t="s">
        <v>3425</v>
      </c>
      <c r="F42" s="3004">
        <f>'数据-取费表'!B38</f>
        <v>1.4999999999999999E-2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9841+0.0005V建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9841</v>
      </c>
      <c r="D45" s="3030" t="str">
        <f>IF(F45&lt;=1,"(建造成本+管理费用)×利率×(建设周期÷2)","(建造成本+管理费用)×((1+利率)^(建设周期÷2)-1)")</f>
        <v>(建造成本+管理费用)×利率×(建设周期÷2)</v>
      </c>
      <c r="E45" s="190" t="s">
        <v>726</v>
      </c>
      <c r="F45" s="3684">
        <f>'数据-取费表'!B20</f>
        <v>1</v>
      </c>
      <c r="G45" s="991"/>
      <c r="H45" s="832"/>
      <c r="I45" s="832"/>
      <c r="J45" s="832"/>
      <c r="K45" s="2020"/>
      <c r="L45" s="832"/>
      <c r="M45" s="832"/>
    </row>
    <row r="46" spans="1:37" ht="18" customHeight="1">
      <c r="A46" s="2937" t="s">
        <v>730</v>
      </c>
      <c r="B46" s="190" t="s">
        <v>731</v>
      </c>
      <c r="C46" s="3678">
        <f ca="1">ROUND(IF('数据-取费表'!B22&lt;=1,F43*F46*F45/2,F43*(POWER((1+F46),F45/2)-1)),4)</f>
        <v>5.0000000000000001E-4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3431</v>
      </c>
      <c r="B47" s="2965" t="s">
        <v>3311</v>
      </c>
      <c r="C47" s="3680" t="str">
        <f ca="1">C48&amp;"+"&amp;C49&amp;"V建"</f>
        <v>98417+0.0045V建</v>
      </c>
      <c r="D47" s="2921" t="s">
        <v>3432</v>
      </c>
      <c r="E47" s="204"/>
      <c r="F47" s="3003"/>
      <c r="G47" s="991"/>
      <c r="H47" s="832"/>
      <c r="I47" s="832"/>
      <c r="J47" s="832"/>
      <c r="K47" s="2020"/>
      <c r="L47" s="832"/>
      <c r="M47" s="832"/>
    </row>
    <row r="48" spans="1:37" ht="18" customHeight="1">
      <c r="A48" s="2937" t="s">
        <v>391</v>
      </c>
      <c r="B48" s="190" t="s">
        <v>739</v>
      </c>
      <c r="C48" s="2939">
        <f ca="1">ROUND((C35+C42)*F48,0)</f>
        <v>98417</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8">
        <f ca="1">ROUND(F43*F48,4)</f>
        <v>4.4999999999999997E-3</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792092</v>
      </c>
      <c r="D51" s="2976" t="s">
        <v>3443</v>
      </c>
      <c r="E51" s="2962"/>
      <c r="F51" s="3004"/>
      <c r="K51" s="4418"/>
      <c r="Q51" s="4413"/>
    </row>
    <row r="52" spans="1:37" s="4367" customFormat="1" ht="18" customHeight="1">
      <c r="A52" s="2966" t="s">
        <v>3433</v>
      </c>
      <c r="B52" s="2965" t="s">
        <v>3435</v>
      </c>
      <c r="C52" s="4347">
        <f ca="1">ROUND(C51*(1-F52),0)</f>
        <v>316837</v>
      </c>
      <c r="D52" s="2962" t="s">
        <v>3934</v>
      </c>
      <c r="E52" s="2962" t="s">
        <v>3935</v>
      </c>
      <c r="F52" s="3004">
        <f ca="1">INDIRECT("'数据-取费表'!y"&amp;$G$1)</f>
        <v>0.6</v>
      </c>
      <c r="K52" s="4418"/>
      <c r="Q52" s="4413"/>
    </row>
    <row r="53" spans="1:37" s="4367" customFormat="1" ht="18" customHeight="1" thickBot="1">
      <c r="A53" s="2967" t="s">
        <v>3930</v>
      </c>
      <c r="B53" s="2975" t="s">
        <v>3441</v>
      </c>
      <c r="C53" s="2991">
        <f ca="1">C51-C52</f>
        <v>475255</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8" thickBot="1">
      <c r="A55" s="2702" t="s">
        <v>3963</v>
      </c>
      <c r="C55" s="4609">
        <f ca="1">ROUND(IF(D2="含税",C83-C31,C80-C28)/10000,4)</f>
        <v>-352.51060000000001</v>
      </c>
      <c r="D55" s="1012" t="str">
        <f>C2</f>
        <v>万元</v>
      </c>
      <c r="E55" s="1006"/>
      <c r="F55" s="1006"/>
      <c r="I55" s="1013" t="s">
        <v>795</v>
      </c>
      <c r="J55" s="1014"/>
      <c r="K55" s="1015"/>
      <c r="L55" s="4250">
        <f>IF(M56="住宅",0,IF(L57&gt;J60,L69,J69))</f>
        <v>0</v>
      </c>
      <c r="O55" s="4403" t="s">
        <v>1324</v>
      </c>
      <c r="P55" s="4404" t="s">
        <v>3907</v>
      </c>
      <c r="Q55" s="4424" t="s">
        <v>3908</v>
      </c>
      <c r="R55" s="4405" t="s">
        <v>3909</v>
      </c>
    </row>
    <row r="56" spans="1:37" s="991" customFormat="1" ht="13.8" thickBot="1">
      <c r="A56" s="4390" t="s">
        <v>3878</v>
      </c>
      <c r="B56" s="4391" t="s">
        <v>3879</v>
      </c>
      <c r="C56" s="4362" t="s">
        <v>3987</v>
      </c>
      <c r="D56" s="4391" t="s">
        <v>3880</v>
      </c>
      <c r="E56" s="4392" t="s">
        <v>3881</v>
      </c>
      <c r="F56" s="4419"/>
      <c r="G56" s="515"/>
      <c r="I56" s="1020" t="s">
        <v>800</v>
      </c>
      <c r="J56" s="1021" t="s">
        <v>4031</v>
      </c>
      <c r="K56" s="1022" t="s">
        <v>801</v>
      </c>
      <c r="L56" s="4251">
        <f ca="1">INDIRECT("'数据-取费表'!d"&amp;$G$1)</f>
        <v>70</v>
      </c>
      <c r="M56" s="987" t="str">
        <f>IF(ISNUMBER(FIND("住宅",C1)),"住宅","非住宅")</f>
        <v>住宅</v>
      </c>
      <c r="O56" s="4406" t="s">
        <v>397</v>
      </c>
      <c r="P56" s="4410" t="s">
        <v>3947</v>
      </c>
      <c r="Q56" s="4411">
        <f ca="1">C28+J31</f>
        <v>3184865</v>
      </c>
      <c r="R56" s="4408" t="s">
        <v>3911</v>
      </c>
    </row>
    <row r="57" spans="1:37" s="991" customFormat="1" ht="40.200000000000003" thickBot="1">
      <c r="A57" s="686" t="s">
        <v>432</v>
      </c>
      <c r="B57" s="4268" t="s">
        <v>3903</v>
      </c>
      <c r="C57" s="4393">
        <f ca="1">C58+C62+C64</f>
        <v>0</v>
      </c>
      <c r="D57" s="4368" t="s">
        <v>3937</v>
      </c>
      <c r="E57" s="4394"/>
      <c r="F57" s="4420"/>
      <c r="G57" s="515"/>
      <c r="H57" s="516"/>
      <c r="I57" s="1027" t="s">
        <v>804</v>
      </c>
      <c r="J57" s="1028" t="s">
        <v>4032</v>
      </c>
      <c r="K57" s="1029" t="s">
        <v>805</v>
      </c>
      <c r="L57" s="4240">
        <f ca="1">INDIRECT("'数据-取费表'!f"&amp;$G$1)</f>
        <v>37.36</v>
      </c>
      <c r="O57" s="4406" t="s">
        <v>398</v>
      </c>
      <c r="P57" s="4407" t="s">
        <v>3912</v>
      </c>
      <c r="Q57" s="4411" t="str">
        <f ca="1">J69</f>
        <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f>'数据-取费表'!N19</f>
        <v>1994</v>
      </c>
      <c r="K58" s="1029" t="s">
        <v>809</v>
      </c>
      <c r="L58" s="4252"/>
      <c r="O58" s="1034" t="s">
        <v>399</v>
      </c>
      <c r="P58" s="4426" t="s">
        <v>3948</v>
      </c>
      <c r="Q58" s="3694">
        <f ca="1">C51</f>
        <v>792092</v>
      </c>
      <c r="R58" s="1026" t="s">
        <v>803</v>
      </c>
    </row>
    <row r="59" spans="1:37" s="991" customFormat="1" ht="15" customHeight="1" thickBot="1">
      <c r="A59" s="4224" t="s">
        <v>3796</v>
      </c>
      <c r="B59" s="4877" t="s">
        <v>3793</v>
      </c>
      <c r="C59" s="4271">
        <f ca="1">ROUND(F58*F60*F59,0)</f>
        <v>0</v>
      </c>
      <c r="D59" s="4880" t="s">
        <v>3471</v>
      </c>
      <c r="E59" s="736" t="s">
        <v>682</v>
      </c>
      <c r="F59" s="2997">
        <f ca="1">F7</f>
        <v>262.77</v>
      </c>
      <c r="H59" s="516"/>
      <c r="I59" s="1027" t="s">
        <v>811</v>
      </c>
      <c r="J59" s="4256">
        <f>SUMPRODUCT((I72:I74=J56)*(J71:L71=J57)*(J72:L74))</f>
        <v>50</v>
      </c>
      <c r="K59" s="1029" t="s">
        <v>812</v>
      </c>
      <c r="L59" s="4252"/>
      <c r="M59" s="1036"/>
      <c r="O59" s="1034" t="s">
        <v>400</v>
      </c>
      <c r="P59" s="1025" t="s">
        <v>813</v>
      </c>
      <c r="Q59" s="3695" t="e">
        <f ca="1">J67</f>
        <v>#VALUE!</v>
      </c>
      <c r="R59" s="1026"/>
    </row>
    <row r="60" spans="1:37" s="991" customFormat="1" ht="15" customHeight="1" thickBot="1">
      <c r="A60" s="4502"/>
      <c r="B60" s="4878"/>
      <c r="C60" s="4205"/>
      <c r="D60" s="4880"/>
      <c r="E60" s="691" t="str">
        <f ca="1">IF(F60=1,"年",IF(F60=12,"月","天"))</f>
        <v>月</v>
      </c>
      <c r="F60" s="2998">
        <f ca="1">F8</f>
        <v>12</v>
      </c>
      <c r="I60" s="1038" t="s">
        <v>814</v>
      </c>
      <c r="J60" s="4240">
        <f>IF(J58="",J59,J58+J59-YEAR('数据-取费表'!B2))</f>
        <v>18</v>
      </c>
      <c r="K60" s="1040" t="s">
        <v>815</v>
      </c>
      <c r="L60" s="4229">
        <f ca="1">ROUND(-PV(INDIRECT("'数据-取费表'!h"&amp;$G$1),J60,(C27-C52*C88),0),0)</f>
        <v>2400282</v>
      </c>
      <c r="M60" s="1042"/>
      <c r="O60" s="1034" t="s">
        <v>401</v>
      </c>
      <c r="P60" s="1025" t="s">
        <v>816</v>
      </c>
      <c r="Q60" s="3695">
        <f>J61</f>
        <v>4.4999999999999998E-2</v>
      </c>
      <c r="R60" s="1026"/>
    </row>
    <row r="61" spans="1:37" s="991" customFormat="1" ht="15" customHeight="1" thickBot="1">
      <c r="A61" s="4204" t="s">
        <v>3797</v>
      </c>
      <c r="B61" s="4457" t="s">
        <v>3794</v>
      </c>
      <c r="C61" s="2995">
        <f ca="1">ROUND(C59*F61,0)</f>
        <v>0</v>
      </c>
      <c r="D61" s="2952" t="s">
        <v>3798</v>
      </c>
      <c r="E61" s="691" t="s">
        <v>684</v>
      </c>
      <c r="F61" s="2999"/>
      <c r="I61" s="1043" t="s">
        <v>817</v>
      </c>
      <c r="J61" s="4241">
        <v>4.4999999999999998E-2</v>
      </c>
      <c r="K61" s="1043" t="s">
        <v>818</v>
      </c>
      <c r="L61" s="4255"/>
      <c r="O61" s="1034" t="s">
        <v>402</v>
      </c>
      <c r="P61" s="1025" t="s">
        <v>819</v>
      </c>
      <c r="Q61" s="3694">
        <f ca="1">J62</f>
        <v>37.36</v>
      </c>
      <c r="R61" s="1026" t="s">
        <v>820</v>
      </c>
    </row>
    <row r="62" spans="1:37" s="991" customFormat="1" ht="36.6"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37.36</v>
      </c>
      <c r="K62" s="4875" t="s">
        <v>822</v>
      </c>
      <c r="L62" s="4876"/>
      <c r="O62" s="4406" t="s">
        <v>403</v>
      </c>
      <c r="P62" s="4410" t="s">
        <v>3949</v>
      </c>
      <c r="Q62" s="4411">
        <f ca="1">ROUND((Q56+Q57)*(1+F31),0)</f>
        <v>3471503</v>
      </c>
      <c r="R62" s="4408" t="s">
        <v>3951</v>
      </c>
    </row>
    <row r="63" spans="1:37" s="991" customFormat="1" ht="13.8" thickBot="1">
      <c r="A63" s="807"/>
      <c r="B63" s="974" t="str">
        <f>IF(OR(F62="自定义",F62=" "),"（自定义押金）单位：元","")</f>
        <v/>
      </c>
      <c r="C63" s="3686"/>
      <c r="D63" s="973"/>
      <c r="E63" s="4454"/>
      <c r="F63" s="1046"/>
      <c r="I63" s="1047" t="str">
        <f>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63" s="1048"/>
      <c r="K63" s="1048"/>
      <c r="L63" s="1048"/>
      <c r="M63" s="1031"/>
      <c r="O63" s="1009" t="s">
        <v>824</v>
      </c>
      <c r="P63" s="988"/>
      <c r="Q63" s="3696"/>
      <c r="R63" s="988"/>
    </row>
    <row r="64" spans="1:37" s="991" customFormat="1" ht="13.8" thickBot="1">
      <c r="A64" s="758" t="s">
        <v>431</v>
      </c>
      <c r="B64" s="976" t="s">
        <v>688</v>
      </c>
      <c r="C64" s="2981"/>
      <c r="D64" s="973"/>
      <c r="E64" s="4454"/>
      <c r="F64" s="1046"/>
      <c r="I64" s="1049" t="s">
        <v>825</v>
      </c>
      <c r="J64" s="1050" t="e">
        <f ca="1">ROUND(IF(J56="钢混",J66/J59,1-(1-2%)*(J59-J66)/J59),3)</f>
        <v>#VALUE!</v>
      </c>
      <c r="K64" s="1051" t="s">
        <v>826</v>
      </c>
      <c r="L64" s="1052"/>
      <c r="O64" s="4403" t="s">
        <v>1324</v>
      </c>
      <c r="P64" s="4404" t="s">
        <v>3907</v>
      </c>
      <c r="Q64" s="4424" t="s">
        <v>3908</v>
      </c>
      <c r="R64" s="4405" t="s">
        <v>3909</v>
      </c>
    </row>
    <row r="65" spans="1:18" s="991" customFormat="1" ht="37.200000000000003" thickTop="1" thickBot="1">
      <c r="A65" s="203" t="s">
        <v>3938</v>
      </c>
      <c r="B65" s="668" t="s">
        <v>3920</v>
      </c>
      <c r="C65" s="4466">
        <f ca="1">ROUND(C66+C74+C76+C78,0)</f>
        <v>2059</v>
      </c>
      <c r="D65" s="668" t="s">
        <v>3939</v>
      </c>
      <c r="E65" s="4421"/>
      <c r="F65" s="672"/>
      <c r="I65" s="1055" t="s">
        <v>827</v>
      </c>
      <c r="J65" s="1056" t="s">
        <v>4004</v>
      </c>
      <c r="K65" s="1027" t="s">
        <v>828</v>
      </c>
      <c r="L65" s="4240">
        <f ca="1">IF(L57&lt;J60,"——",L57-J62)</f>
        <v>0</v>
      </c>
      <c r="O65" s="4406" t="s">
        <v>397</v>
      </c>
      <c r="P65" s="4410" t="s">
        <v>3947</v>
      </c>
      <c r="Q65" s="4411">
        <f ca="1">C28+J31</f>
        <v>3184865</v>
      </c>
      <c r="R65" s="4408" t="s">
        <v>3911</v>
      </c>
    </row>
    <row r="66" spans="1:18" s="991" customFormat="1" ht="24.6" thickBot="1">
      <c r="A66" s="546" t="s">
        <v>392</v>
      </c>
      <c r="B66" s="2932" t="s">
        <v>3973</v>
      </c>
      <c r="C66" s="2939">
        <f ca="1">ROUND(IF(AND(项目基本情况!B11="自然人",项目基本情况!B10="北京市",M56="住宅"),C58*F66,C67+C71+C72),0)</f>
        <v>0</v>
      </c>
      <c r="D66" s="673" t="s">
        <v>3445</v>
      </c>
      <c r="E66" s="673" t="str">
        <f>E14</f>
        <v>综合税率</v>
      </c>
      <c r="F66" s="4190">
        <f ca="1">IF(M56="非住宅","",IF(F58*F59*F60/12/(1+'数据-取费表'!F30)&gt;100000,4%,2.5%))</f>
        <v>2.5000000000000001E-2</v>
      </c>
      <c r="I66" s="1061" t="s">
        <v>829</v>
      </c>
      <c r="J66" s="4246" t="str">
        <f ca="1">IF(OR(M56="住宅",J60&lt;L57,J65="是"),"——",J60-L57)</f>
        <v>——</v>
      </c>
      <c r="K66" s="1027" t="s">
        <v>830</v>
      </c>
      <c r="L66" s="4253">
        <f ca="1">IF(L57&lt;J60,"——",IF(L64="比较法",L58,IF(L64="基准地价",L59,L60)))</f>
        <v>2400282</v>
      </c>
      <c r="O66" s="4406" t="s">
        <v>398</v>
      </c>
      <c r="P66" s="4407" t="s">
        <v>3914</v>
      </c>
      <c r="Q66" s="4411">
        <f ca="1">L69</f>
        <v>0</v>
      </c>
      <c r="R66" s="4408" t="s">
        <v>3915</v>
      </c>
    </row>
    <row r="67" spans="1:18" s="991" customFormat="1" ht="24.6" thickBot="1">
      <c r="A67" s="2937" t="s">
        <v>391</v>
      </c>
      <c r="B67" s="2950" t="s">
        <v>3965</v>
      </c>
      <c r="C67" s="2939">
        <f ca="1">C70</f>
        <v>-21</v>
      </c>
      <c r="D67" s="2952" t="s">
        <v>3964</v>
      </c>
      <c r="E67" s="4463"/>
      <c r="F67" s="4501"/>
      <c r="I67" s="1061" t="s">
        <v>832</v>
      </c>
      <c r="J67" s="4247" t="e">
        <f ca="1">IF(J64&lt;0.4,0.4,J64)</f>
        <v>#VALUE!</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6" thickBot="1">
      <c r="A68" s="2739" t="s">
        <v>3288</v>
      </c>
      <c r="B68" s="2954" t="s">
        <v>3404</v>
      </c>
      <c r="C68" s="2939">
        <f ca="1">ROUND(C58*F68,0)</f>
        <v>0</v>
      </c>
      <c r="D68" s="1053" t="s">
        <v>3867</v>
      </c>
      <c r="E68" s="2958" t="s">
        <v>3406</v>
      </c>
      <c r="F68" s="3002">
        <f>F16</f>
        <v>0.09</v>
      </c>
      <c r="I68" s="1061" t="s">
        <v>835</v>
      </c>
      <c r="J68" s="4248" t="str">
        <f ca="1">IF(OR(M56="住宅",J60&lt;L57,J65="是"),"——",ROUND(C51*J67,0))</f>
        <v>——</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2" thickBot="1">
      <c r="A69" s="2739" t="s">
        <v>3289</v>
      </c>
      <c r="B69" s="2954" t="s">
        <v>3405</v>
      </c>
      <c r="C69" s="2939">
        <f ca="1">ROUND(C74*F68+((C76+C78)*F69),0)</f>
        <v>171</v>
      </c>
      <c r="D69" s="4342" t="s">
        <v>3861</v>
      </c>
      <c r="E69" s="2959"/>
      <c r="F69" s="3002">
        <f>F17</f>
        <v>0.06</v>
      </c>
      <c r="I69" s="1064" t="s">
        <v>837</v>
      </c>
      <c r="J69" s="4249" t="str">
        <f ca="1">IF(OR(M56="住宅",J60&lt;L57,J65="是"),"0",ROUND(J68/(1+J61)^J62,0))</f>
        <v>0</v>
      </c>
      <c r="K69" s="1066" t="s">
        <v>838</v>
      </c>
      <c r="L69" s="4249">
        <f ca="1">IF(OR(M56="住宅",L57&lt;J60),0,ROUND(L66*(L67/L68-1),0))</f>
        <v>0</v>
      </c>
      <c r="O69" s="1034" t="s">
        <v>401</v>
      </c>
      <c r="P69" s="1025" t="s">
        <v>839</v>
      </c>
      <c r="Q69" s="3697" t="e">
        <f ca="1">L67</f>
        <v>#DIV/0!</v>
      </c>
      <c r="R69" s="1026" t="s">
        <v>840</v>
      </c>
    </row>
    <row r="70" spans="1:18" s="991" customFormat="1" ht="13.8" thickBot="1">
      <c r="A70" s="2739" t="s">
        <v>3962</v>
      </c>
      <c r="B70" s="2954" t="s">
        <v>3961</v>
      </c>
      <c r="C70" s="2939">
        <f ca="1">ROUND((C68-C69)*F70,0)</f>
        <v>-21</v>
      </c>
      <c r="D70" s="2977" t="s">
        <v>3984</v>
      </c>
      <c r="E70" s="190" t="s">
        <v>3986</v>
      </c>
      <c r="F70" s="3002">
        <f>F18</f>
        <v>0.12000000000000001</v>
      </c>
      <c r="I70" s="1067"/>
      <c r="J70" s="1067"/>
      <c r="K70" s="1067"/>
      <c r="L70" s="1067"/>
      <c r="O70" s="1034" t="s">
        <v>402</v>
      </c>
      <c r="P70" s="1025" t="str">
        <f>K68</f>
        <v>建筑物剩余耐用年限下的土地年期修正系数Kn</v>
      </c>
      <c r="Q70" s="3697" t="e">
        <f ca="1">L68</f>
        <v>#DIV/0!</v>
      </c>
      <c r="R70" s="1026" t="s">
        <v>841</v>
      </c>
    </row>
    <row r="71" spans="1:18" s="991" customFormat="1" ht="13.8" thickBot="1">
      <c r="A71" s="2937" t="s">
        <v>766</v>
      </c>
      <c r="B71" s="2932" t="s">
        <v>3971</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6" t="s">
        <v>403</v>
      </c>
      <c r="P71" s="4410" t="s">
        <v>3950</v>
      </c>
      <c r="Q71" s="4411">
        <f ca="1">ROUND((Q65+Q66)*(1+F31),0)</f>
        <v>3471503</v>
      </c>
      <c r="R71" s="4408" t="s">
        <v>3951</v>
      </c>
    </row>
    <row r="72" spans="1:18" s="991" customFormat="1" ht="13.8" thickBot="1">
      <c r="A72" s="4464" t="s">
        <v>769</v>
      </c>
      <c r="B72" s="4452" t="s">
        <v>3967</v>
      </c>
      <c r="C72" s="3269" t="str">
        <f>IF(项目基本情况!B11="自然人","——",ROUND(F72*F73,0))</f>
        <v>——</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8" thickBot="1">
      <c r="A73" s="4465"/>
      <c r="B73" s="666"/>
      <c r="C73" s="3270"/>
      <c r="D73" s="676"/>
      <c r="E73" s="660" t="s">
        <v>721</v>
      </c>
      <c r="F73" s="3272">
        <f t="shared" ca="1" si="0"/>
        <v>623.5</v>
      </c>
      <c r="I73" s="3689" t="s">
        <v>850</v>
      </c>
      <c r="J73" s="3685">
        <v>50</v>
      </c>
      <c r="K73" s="3685">
        <v>35</v>
      </c>
      <c r="L73" s="3685">
        <v>60</v>
      </c>
      <c r="M73" s="1070">
        <v>0</v>
      </c>
      <c r="O73" s="4403" t="s">
        <v>1324</v>
      </c>
      <c r="P73" s="4404" t="s">
        <v>3907</v>
      </c>
      <c r="Q73" s="4424" t="s">
        <v>3908</v>
      </c>
      <c r="R73" s="4405" t="s">
        <v>3909</v>
      </c>
    </row>
    <row r="74" spans="1:18" s="991" customFormat="1" ht="13.8" thickBot="1">
      <c r="A74" s="4221" t="s">
        <v>774</v>
      </c>
      <c r="B74" s="659" t="s">
        <v>775</v>
      </c>
      <c r="C74" s="4232">
        <f ca="1">ROUND(F74*F75,0)</f>
        <v>1584</v>
      </c>
      <c r="D74" s="4215" t="s">
        <v>724</v>
      </c>
      <c r="E74" s="2932" t="s">
        <v>3807</v>
      </c>
      <c r="F74" s="4229">
        <f ca="1">C51</f>
        <v>792092</v>
      </c>
      <c r="I74" s="3689" t="s">
        <v>851</v>
      </c>
      <c r="J74" s="3685">
        <v>40</v>
      </c>
      <c r="K74" s="3685">
        <v>30</v>
      </c>
      <c r="L74" s="3685">
        <v>50</v>
      </c>
      <c r="M74" s="1071">
        <v>0.02</v>
      </c>
      <c r="O74" s="4406" t="s">
        <v>397</v>
      </c>
      <c r="P74" s="4407" t="s">
        <v>3910</v>
      </c>
      <c r="Q74" s="4409">
        <f ca="1">C28+J31</f>
        <v>3184865</v>
      </c>
      <c r="R74" s="4408" t="s">
        <v>3911</v>
      </c>
    </row>
    <row r="75" spans="1:18" s="991" customFormat="1" ht="16.2" thickBot="1">
      <c r="A75" s="4223"/>
      <c r="B75" s="666"/>
      <c r="C75" s="4233"/>
      <c r="D75" s="4216"/>
      <c r="E75" s="660" t="s">
        <v>697</v>
      </c>
      <c r="F75" s="3004">
        <f ca="1">F22</f>
        <v>2E-3</v>
      </c>
      <c r="O75" s="4406" t="s">
        <v>398</v>
      </c>
      <c r="P75" s="4407" t="s">
        <v>3914</v>
      </c>
      <c r="Q75" s="4425">
        <f ca="1">L69</f>
        <v>0</v>
      </c>
      <c r="R75" s="4408" t="s">
        <v>3916</v>
      </c>
    </row>
    <row r="76" spans="1:18" s="991" customFormat="1" ht="13.8" thickBot="1">
      <c r="A76" s="4221" t="s">
        <v>777</v>
      </c>
      <c r="B76" s="659" t="s">
        <v>727</v>
      </c>
      <c r="C76" s="4232">
        <f ca="1">ROUND(F76*F77,0)</f>
        <v>475</v>
      </c>
      <c r="D76" s="4215" t="s">
        <v>3442</v>
      </c>
      <c r="E76" s="2932" t="s">
        <v>3441</v>
      </c>
      <c r="F76" s="4230">
        <f ca="1">C53</f>
        <v>475255</v>
      </c>
      <c r="O76" s="1024"/>
      <c r="P76" s="1025"/>
      <c r="Q76" s="3697"/>
      <c r="R76" s="1026"/>
    </row>
    <row r="77" spans="1:18" s="991" customFormat="1" ht="17.399999999999999" thickBot="1">
      <c r="A77" s="4223"/>
      <c r="B77" s="666"/>
      <c r="C77" s="4233"/>
      <c r="D77" s="4216"/>
      <c r="E77" s="660" t="s">
        <v>697</v>
      </c>
      <c r="F77" s="3004">
        <f ca="1">F24</f>
        <v>1E-3</v>
      </c>
      <c r="O77" s="1034" t="s">
        <v>399</v>
      </c>
      <c r="P77" s="1025" t="s">
        <v>834</v>
      </c>
      <c r="Q77" s="3698">
        <f ca="1">L60</f>
        <v>2400282</v>
      </c>
      <c r="R77" s="1026" t="s">
        <v>854</v>
      </c>
    </row>
    <row r="78" spans="1:18" s="4367" customFormat="1" ht="13.8" thickBot="1">
      <c r="A78" s="546" t="s">
        <v>778</v>
      </c>
      <c r="B78" s="660" t="s">
        <v>713</v>
      </c>
      <c r="C78" s="2939">
        <f ca="1">ROUND(C57*F78,0)</f>
        <v>0</v>
      </c>
      <c r="D78" s="674" t="s">
        <v>3865</v>
      </c>
      <c r="E78" s="660" t="s">
        <v>697</v>
      </c>
      <c r="F78" s="3004">
        <f ca="1">F26</f>
        <v>0.01</v>
      </c>
      <c r="G78" s="991"/>
      <c r="H78" s="991"/>
      <c r="O78" s="1034"/>
      <c r="P78" s="1025"/>
      <c r="Q78" s="3698"/>
      <c r="R78" s="1026"/>
    </row>
    <row r="79" spans="1:18" s="4367" customFormat="1" ht="24.6" thickBot="1">
      <c r="A79" s="667" t="s">
        <v>3940</v>
      </c>
      <c r="B79" s="677" t="s">
        <v>3888</v>
      </c>
      <c r="C79" s="4466">
        <f ca="1">C57-C65</f>
        <v>-2059</v>
      </c>
      <c r="D79" s="677" t="s">
        <v>3889</v>
      </c>
      <c r="E79" s="4395"/>
      <c r="F79" s="4396"/>
      <c r="O79" s="1034" t="s">
        <v>400</v>
      </c>
      <c r="P79" s="1073" t="s">
        <v>3941</v>
      </c>
      <c r="Q79" s="3698">
        <f ca="1">ROUND(Q80-Q81*Q82,0)</f>
        <v>133349</v>
      </c>
      <c r="R79" s="1026" t="s">
        <v>408</v>
      </c>
    </row>
    <row r="80" spans="1:18" s="4367" customFormat="1" ht="13.8" thickBot="1">
      <c r="A80" s="3453" t="s">
        <v>388</v>
      </c>
      <c r="B80" s="658" t="s">
        <v>3890</v>
      </c>
      <c r="C80" s="4271">
        <f ca="1">ROUND(C79*(1-((1+F82)/(1+F80))^F81)/(F80-F82),0)</f>
        <v>-49177</v>
      </c>
      <c r="D80" s="4397" t="s">
        <v>3891</v>
      </c>
      <c r="E80" s="668" t="s">
        <v>3892</v>
      </c>
      <c r="F80" s="3004">
        <f ca="1">F28</f>
        <v>0.04</v>
      </c>
      <c r="O80" s="1034" t="s">
        <v>405</v>
      </c>
      <c r="P80" s="1073" t="s">
        <v>3942</v>
      </c>
      <c r="Q80" s="3698">
        <f ca="1">C27</f>
        <v>133349</v>
      </c>
      <c r="R80" s="1026" t="s">
        <v>803</v>
      </c>
    </row>
    <row r="81" spans="1:18" s="4367" customFormat="1" ht="13.8" thickBot="1">
      <c r="A81" s="3454"/>
      <c r="B81" s="662"/>
      <c r="C81" s="4467"/>
      <c r="D81" s="4398" t="s">
        <v>3896</v>
      </c>
      <c r="E81" s="668" t="s">
        <v>3895</v>
      </c>
      <c r="F81" s="3005">
        <f ca="1">F29</f>
        <v>37.36</v>
      </c>
      <c r="O81" s="1034" t="s">
        <v>406</v>
      </c>
      <c r="P81" s="1073" t="s">
        <v>3943</v>
      </c>
      <c r="Q81" s="3698">
        <f ca="1">C52</f>
        <v>316837</v>
      </c>
      <c r="R81" s="1026" t="s">
        <v>803</v>
      </c>
    </row>
    <row r="82" spans="1:18" s="4367" customFormat="1" ht="13.8" thickBot="1">
      <c r="A82" s="4422"/>
      <c r="B82" s="4423"/>
      <c r="C82" s="4423"/>
      <c r="D82" s="4399"/>
      <c r="E82" s="668" t="s">
        <v>3897</v>
      </c>
      <c r="F82" s="2999">
        <v>1.4999999999999999E-2</v>
      </c>
      <c r="O82" s="1034" t="s">
        <v>407</v>
      </c>
      <c r="P82" s="1073" t="s">
        <v>3944</v>
      </c>
      <c r="Q82" s="3695">
        <f ca="1">C88</f>
        <v>0</v>
      </c>
      <c r="R82" s="1026"/>
    </row>
    <row r="83" spans="1:18" s="4367" customFormat="1" ht="13.8" thickBot="1">
      <c r="A83" s="664"/>
      <c r="B83" s="2979" t="s">
        <v>3946</v>
      </c>
      <c r="C83" s="4206">
        <f ca="1">ROUND(C80*(1+F31),0)</f>
        <v>-53603</v>
      </c>
      <c r="D83" s="4608" t="str">
        <f>D31</f>
        <v>其他类型公式—收益价值×（1+9%）</v>
      </c>
      <c r="E83" s="1077"/>
      <c r="F83" s="4401"/>
      <c r="O83" s="1034" t="s">
        <v>401</v>
      </c>
      <c r="P83" s="1025" t="s">
        <v>3945</v>
      </c>
      <c r="Q83" s="3695">
        <f>L61</f>
        <v>0</v>
      </c>
      <c r="R83" s="1026"/>
    </row>
    <row r="84" spans="1:18" ht="16.2" thickBot="1">
      <c r="A84" s="681" t="s">
        <v>389</v>
      </c>
      <c r="B84" s="682" t="s">
        <v>761</v>
      </c>
      <c r="C84" s="2991">
        <f ca="1">ROUND(C83/F84,0)</f>
        <v>-204</v>
      </c>
      <c r="D84" s="4402" t="s">
        <v>3900</v>
      </c>
      <c r="E84" s="682" t="s">
        <v>3901</v>
      </c>
      <c r="F84" s="3006">
        <f ca="1">F32</f>
        <v>262.77</v>
      </c>
      <c r="G84" s="4367"/>
      <c r="H84" s="4367"/>
      <c r="O84" s="1034" t="s">
        <v>402</v>
      </c>
      <c r="P84" s="1025" t="s">
        <v>839</v>
      </c>
      <c r="Q84" s="3697" t="e">
        <f ca="1">L67</f>
        <v>#DIV/0!</v>
      </c>
      <c r="R84" s="1026" t="s">
        <v>840</v>
      </c>
    </row>
    <row r="85" spans="1:18" ht="13.8" thickBot="1">
      <c r="A85" s="991"/>
      <c r="B85" s="519"/>
      <c r="C85" s="519"/>
      <c r="D85" s="991"/>
      <c r="E85" s="991"/>
      <c r="F85" s="991"/>
      <c r="O85" s="1034" t="s">
        <v>409</v>
      </c>
      <c r="P85" s="1025" t="str">
        <f>K68</f>
        <v>建筑物剩余耐用年限下的土地年期修正系数Kn</v>
      </c>
      <c r="Q85" s="3697" t="e">
        <f ca="1">L68</f>
        <v>#DIV/0!</v>
      </c>
      <c r="R85" s="1026" t="s">
        <v>841</v>
      </c>
    </row>
    <row r="86" spans="1:18" ht="13.8" thickBot="1">
      <c r="A86" s="991"/>
      <c r="B86" s="172" t="s">
        <v>859</v>
      </c>
      <c r="C86" s="1075"/>
      <c r="D86" s="991"/>
      <c r="E86" s="991"/>
      <c r="F86" s="991"/>
      <c r="K86" s="1008"/>
      <c r="L86" s="991"/>
      <c r="O86" s="4406" t="s">
        <v>403</v>
      </c>
      <c r="P86" s="4410" t="s">
        <v>3950</v>
      </c>
      <c r="Q86" s="4409">
        <f ca="1">ROUND((Q74+Q75)*(1+F31),0)</f>
        <v>3471503</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f ca="1">1-C92</f>
        <v>1</v>
      </c>
    </row>
    <row r="92" spans="1:18">
      <c r="B92" s="227" t="s">
        <v>785</v>
      </c>
      <c r="C92" s="3074">
        <f ca="1">ROUND(C87/C27,3)</f>
        <v>0</v>
      </c>
    </row>
    <row r="93" spans="1:18">
      <c r="B93" s="169" t="s">
        <v>786</v>
      </c>
      <c r="C93" s="137"/>
    </row>
    <row r="94" spans="1:18">
      <c r="B94" s="172" t="s">
        <v>787</v>
      </c>
      <c r="C94" s="3075">
        <f ca="1">1-C95</f>
        <v>0.85099999999999998</v>
      </c>
    </row>
    <row r="95" spans="1:18">
      <c r="B95" s="172" t="s">
        <v>788</v>
      </c>
      <c r="C95" s="3074">
        <f ca="1">ROUND(C53/(C28+J31+L55),3)</f>
        <v>0.14899999999999999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84" priority="4">
      <formula>$L$57&gt;$J$60</formula>
    </cfRule>
  </conditionalFormatting>
  <conditionalFormatting sqref="I64 I69">
    <cfRule type="expression" dxfId="183" priority="5">
      <formula>$J$60&gt;$L$57</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63">
    <cfRule type="expression" dxfId="180"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89" t="s">
        <v>679</v>
      </c>
      <c r="C6" s="750">
        <f ca="1">ROUND(F6*F8*F7*(1-F9),0)</f>
        <v>0</v>
      </c>
      <c r="D6" s="60" t="s">
        <v>2012</v>
      </c>
      <c r="E6" s="190" t="s">
        <v>681</v>
      </c>
      <c r="F6" s="191">
        <f ca="1">INDIRECT("'数据-取费表'!u"&amp;$G$1)</f>
        <v>0</v>
      </c>
      <c r="G6" s="991"/>
      <c r="H6" s="745" t="s">
        <v>392</v>
      </c>
      <c r="I6" s="4889" t="s">
        <v>679</v>
      </c>
      <c r="J6" s="189">
        <f ca="1">ROUND(M6*M8*M7*(1-M9),0)</f>
        <v>0</v>
      </c>
      <c r="K6" s="983" t="s">
        <v>2013</v>
      </c>
      <c r="L6" s="190" t="s">
        <v>681</v>
      </c>
      <c r="M6" s="191">
        <f ca="1">INDIRECT("'数据-取费表'!z"&amp;$G$1)</f>
        <v>0</v>
      </c>
    </row>
    <row r="7" spans="1:37" ht="18" customHeight="1">
      <c r="A7" s="749"/>
      <c r="B7" s="4890"/>
      <c r="C7" s="751"/>
      <c r="D7" s="195"/>
      <c r="E7" s="752" t="s">
        <v>682</v>
      </c>
      <c r="F7" s="191">
        <f ca="1">IF(INDIRECT("'数据-取费表'!ah"&amp;$G$1)="",INDIRECT("'数据-取费表'!k"&amp;$G$1),INDIRECT("'数据-取费表'!ah"&amp;$G$1))</f>
        <v>0</v>
      </c>
      <c r="G7" s="991"/>
      <c r="H7" s="192"/>
      <c r="I7" s="4890"/>
      <c r="J7" s="194"/>
      <c r="K7" s="195"/>
      <c r="L7" s="190" t="s">
        <v>682</v>
      </c>
      <c r="M7" s="191">
        <f ca="1">F7</f>
        <v>0</v>
      </c>
    </row>
    <row r="8" spans="1:37" ht="18" customHeight="1">
      <c r="A8" s="192"/>
      <c r="B8" s="4890"/>
      <c r="C8" s="194"/>
      <c r="D8" s="195"/>
      <c r="E8" s="190" t="s">
        <v>683</v>
      </c>
      <c r="F8" s="191">
        <f ca="1">INDIRECT("'数据-取费表'!ai"&amp;$G$1)</f>
        <v>0</v>
      </c>
      <c r="G8" s="991"/>
      <c r="H8" s="192"/>
      <c r="I8" s="4890"/>
      <c r="J8" s="194"/>
      <c r="K8" s="195"/>
      <c r="L8" s="190" t="s">
        <v>683</v>
      </c>
      <c r="M8" s="191">
        <f ca="1">INDIRECT("'数据-取费表'!ai"&amp;$G$1)</f>
        <v>0</v>
      </c>
    </row>
    <row r="9" spans="1:37" ht="18" customHeight="1">
      <c r="A9" s="192"/>
      <c r="B9" s="4891"/>
      <c r="C9" s="194"/>
      <c r="D9" s="195"/>
      <c r="E9" s="190" t="s">
        <v>684</v>
      </c>
      <c r="F9" s="200">
        <f ca="1">INDIRECT("'数据-取费表'!w"&amp;$G$1)</f>
        <v>0</v>
      </c>
      <c r="G9" s="991"/>
      <c r="H9" s="192"/>
      <c r="I9" s="4891"/>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360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1.4999999999999999E-2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2200</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75" t="s">
        <v>822</v>
      </c>
      <c r="L53" s="4876"/>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2" customHeight="1">
      <c r="A2" s="992" t="s">
        <v>2209</v>
      </c>
      <c r="B2" s="3706" t="e">
        <f>IF(D2="——",C40,C40+E2)</f>
        <v>#DIV/0!</v>
      </c>
      <c r="C2" s="2251" t="s">
        <v>2210</v>
      </c>
      <c r="D2" s="2710" t="s">
        <v>3244</v>
      </c>
      <c r="E2" s="2711"/>
      <c r="F2" s="2253"/>
      <c r="G2" s="2254"/>
      <c r="H2" s="2255"/>
      <c r="I2" s="2256"/>
      <c r="J2" s="4892" t="s">
        <v>2211</v>
      </c>
      <c r="K2" s="4893"/>
      <c r="L2" s="2257" t="s">
        <v>2212</v>
      </c>
      <c r="M2" s="2257" t="s">
        <v>2213</v>
      </c>
      <c r="N2" s="2257" t="s">
        <v>2214</v>
      </c>
      <c r="O2" s="2257" t="s">
        <v>2215</v>
      </c>
      <c r="P2" s="2257" t="s">
        <v>2216</v>
      </c>
      <c r="Q2" s="2258" t="s">
        <v>2217</v>
      </c>
      <c r="R2" s="2259" t="s">
        <v>2218</v>
      </c>
      <c r="S2" s="2249"/>
      <c r="T2" s="2249"/>
      <c r="U2" s="2249"/>
      <c r="V2" s="2256"/>
    </row>
    <row r="3" spans="1:22" s="2260" customFormat="1" ht="13.2" customHeight="1">
      <c r="A3" s="2261" t="s">
        <v>2219</v>
      </c>
      <c r="B3" s="3707" t="e">
        <f>ROUND(B2*10000/B4,0)</f>
        <v>#DIV/0!</v>
      </c>
      <c r="C3" s="2251" t="s">
        <v>2220</v>
      </c>
      <c r="D3" s="2251"/>
      <c r="E3" s="2252"/>
      <c r="F3" s="2253"/>
      <c r="G3" s="2254"/>
      <c r="H3" s="2255"/>
      <c r="I3" s="2256"/>
      <c r="J3" s="4894" t="s">
        <v>2221</v>
      </c>
      <c r="K3" s="4895"/>
      <c r="L3" s="2262"/>
      <c r="M3" s="2262"/>
      <c r="N3" s="2262"/>
      <c r="O3" s="2262"/>
      <c r="P3" s="2262"/>
      <c r="Q3" s="2263"/>
      <c r="R3" s="2264">
        <f>SUM(L3:Q3)</f>
        <v>0</v>
      </c>
      <c r="S3" s="2249"/>
      <c r="T3" s="2249"/>
      <c r="U3" s="2249"/>
      <c r="V3" s="2256"/>
    </row>
    <row r="4" spans="1:22" s="2260" customFormat="1" ht="13.2" customHeight="1">
      <c r="A4" s="2265" t="s">
        <v>2222</v>
      </c>
      <c r="B4" s="2298"/>
      <c r="C4" s="2251"/>
      <c r="D4" s="2251"/>
      <c r="E4" s="2252"/>
      <c r="F4" s="2253"/>
      <c r="G4" s="2254"/>
      <c r="H4" s="2255"/>
      <c r="I4" s="2256"/>
      <c r="J4" s="4894" t="s">
        <v>2223</v>
      </c>
      <c r="K4" s="4895"/>
      <c r="L4" s="2267"/>
      <c r="M4" s="2267"/>
      <c r="N4" s="2267"/>
      <c r="O4" s="2267"/>
      <c r="P4" s="2267"/>
      <c r="Q4" s="2268"/>
      <c r="R4" s="2269">
        <f>SUM(L4:Q4)</f>
        <v>0</v>
      </c>
      <c r="S4" s="2249"/>
      <c r="T4" s="2249"/>
      <c r="U4" s="2249"/>
      <c r="V4" s="2256"/>
    </row>
    <row r="5" spans="1:22" s="2260" customFormat="1" ht="13.2"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2" customHeight="1" thickBot="1">
      <c r="A6" s="4896" t="s">
        <v>3791</v>
      </c>
      <c r="B6" s="4897"/>
      <c r="C6" s="4898"/>
      <c r="D6" s="3709"/>
      <c r="E6" s="3859"/>
      <c r="F6" s="2276"/>
      <c r="G6" s="2277"/>
      <c r="H6" s="2255"/>
      <c r="I6" s="2256"/>
      <c r="J6" s="4899">
        <v>1</v>
      </c>
      <c r="K6" s="4900"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2" customHeight="1">
      <c r="A7" s="2280" t="s">
        <v>2236</v>
      </c>
      <c r="B7" s="2281"/>
      <c r="C7" s="2282"/>
      <c r="D7" s="3710">
        <f>SUM(D9,D10,D11,D17,0)</f>
        <v>0</v>
      </c>
      <c r="E7" s="2283" t="e">
        <f>E9+E10+E11+E17</f>
        <v>#DIV/0!</v>
      </c>
      <c r="F7" s="2284"/>
      <c r="G7" s="2285"/>
      <c r="H7" s="2255"/>
      <c r="I7" s="2256"/>
      <c r="J7" s="4899"/>
      <c r="K7" s="4901"/>
      <c r="L7" s="2286" t="s">
        <v>2237</v>
      </c>
      <c r="M7" s="3982"/>
      <c r="N7" s="3981"/>
      <c r="O7" s="4625"/>
      <c r="P7" s="4625"/>
      <c r="Q7" s="3981">
        <v>365</v>
      </c>
      <c r="R7" s="3980">
        <f>ROUND(M7*N7*O7*P7*Q7/10000,0)</f>
        <v>0</v>
      </c>
      <c r="S7" s="2249"/>
      <c r="T7" s="2249" t="s">
        <v>2238</v>
      </c>
      <c r="U7" s="2249"/>
      <c r="V7" s="2256"/>
    </row>
    <row r="8" spans="1:22" s="2260" customFormat="1" ht="13.2" customHeight="1">
      <c r="A8" s="2290" t="s">
        <v>2239</v>
      </c>
      <c r="B8" s="4903" t="s">
        <v>2240</v>
      </c>
      <c r="C8" s="4904"/>
      <c r="D8" s="4434" t="s">
        <v>3953</v>
      </c>
      <c r="E8" s="2291" t="s">
        <v>2241</v>
      </c>
      <c r="F8" s="2292" t="s">
        <v>2242</v>
      </c>
      <c r="G8" s="2293"/>
      <c r="H8" s="2255"/>
      <c r="I8" s="2256"/>
      <c r="J8" s="4899"/>
      <c r="K8" s="4901"/>
      <c r="L8" s="2286" t="s">
        <v>2243</v>
      </c>
      <c r="M8" s="3982"/>
      <c r="N8" s="3981"/>
      <c r="O8" s="4625"/>
      <c r="P8" s="4625"/>
      <c r="Q8" s="3981">
        <v>365</v>
      </c>
      <c r="R8" s="3980">
        <f t="shared" ref="R8:R13" si="0">ROUND(M8*N8*O8*P8*Q8/10000,0)</f>
        <v>0</v>
      </c>
      <c r="S8" s="2249"/>
      <c r="T8" s="2249" t="s">
        <v>2244</v>
      </c>
      <c r="U8" s="2249"/>
      <c r="V8" s="2256"/>
    </row>
    <row r="9" spans="1:22" s="2260" customFormat="1" ht="13.2" customHeight="1">
      <c r="A9" s="2290">
        <v>1</v>
      </c>
      <c r="B9" s="4903" t="s">
        <v>2245</v>
      </c>
      <c r="C9" s="4904"/>
      <c r="D9" s="3711">
        <f>ROUND(D6*E9,0)</f>
        <v>0</v>
      </c>
      <c r="E9" s="3712"/>
      <c r="F9" s="2294" t="s">
        <v>2246</v>
      </c>
      <c r="G9" s="2277"/>
      <c r="H9" s="2255"/>
      <c r="I9" s="2256"/>
      <c r="J9" s="4899"/>
      <c r="K9" s="4901"/>
      <c r="L9" s="2286" t="s">
        <v>2247</v>
      </c>
      <c r="M9" s="3982"/>
      <c r="N9" s="3981"/>
      <c r="O9" s="4625"/>
      <c r="P9" s="4625"/>
      <c r="Q9" s="3981">
        <v>365</v>
      </c>
      <c r="R9" s="3980">
        <f t="shared" si="0"/>
        <v>0</v>
      </c>
      <c r="S9" s="2249"/>
      <c r="T9" s="2249"/>
      <c r="U9" s="2249"/>
      <c r="V9" s="2256"/>
    </row>
    <row r="10" spans="1:22" s="2260" customFormat="1" ht="13.2" customHeight="1">
      <c r="A10" s="2290">
        <v>2</v>
      </c>
      <c r="B10" s="4903" t="s">
        <v>2248</v>
      </c>
      <c r="C10" s="4904"/>
      <c r="D10" s="3711">
        <f>ROUND(D6*E10,0)</f>
        <v>0</v>
      </c>
      <c r="E10" s="3712"/>
      <c r="F10" s="3854" t="s">
        <v>3716</v>
      </c>
      <c r="G10" s="2277"/>
      <c r="H10" s="2255"/>
      <c r="I10" s="2256"/>
      <c r="J10" s="4899"/>
      <c r="K10" s="4901"/>
      <c r="L10" s="2286" t="s">
        <v>2249</v>
      </c>
      <c r="M10" s="3982"/>
      <c r="N10" s="3981"/>
      <c r="O10" s="4625"/>
      <c r="P10" s="4625"/>
      <c r="Q10" s="3981">
        <v>365</v>
      </c>
      <c r="R10" s="3980">
        <f t="shared" si="0"/>
        <v>0</v>
      </c>
      <c r="S10" s="2249"/>
      <c r="T10" s="2249"/>
      <c r="U10" s="2249"/>
      <c r="V10" s="2256"/>
    </row>
    <row r="11" spans="1:22" s="2260" customFormat="1" ht="13.2" customHeight="1">
      <c r="A11" s="2290">
        <v>3</v>
      </c>
      <c r="B11" s="4903" t="s">
        <v>2250</v>
      </c>
      <c r="C11" s="4904"/>
      <c r="D11" s="3711">
        <f>D12+D14+D15+D16</f>
        <v>0</v>
      </c>
      <c r="E11" s="3713" t="e">
        <f>D11/D6</f>
        <v>#DIV/0!</v>
      </c>
      <c r="F11" s="2292"/>
      <c r="G11" s="2293"/>
      <c r="H11" s="2255"/>
      <c r="I11" s="2256"/>
      <c r="J11" s="4899"/>
      <c r="K11" s="4901"/>
      <c r="L11" s="2286" t="s">
        <v>2251</v>
      </c>
      <c r="M11" s="3982"/>
      <c r="N11" s="3981"/>
      <c r="O11" s="4625"/>
      <c r="P11" s="4625"/>
      <c r="Q11" s="3981">
        <v>365</v>
      </c>
      <c r="R11" s="3980">
        <f t="shared" si="0"/>
        <v>0</v>
      </c>
      <c r="S11" s="2249"/>
      <c r="T11" s="2249"/>
      <c r="U11" s="2249"/>
      <c r="V11" s="2256"/>
    </row>
    <row r="12" spans="1:22" s="2260" customFormat="1" ht="13.2" customHeight="1">
      <c r="A12" s="2295" t="s">
        <v>2252</v>
      </c>
      <c r="B12" s="4905" t="s">
        <v>2253</v>
      </c>
      <c r="C12" s="4906"/>
      <c r="D12" s="3714">
        <f>ROUND(D13*1.2%*(1-30%),0)</f>
        <v>0</v>
      </c>
      <c r="E12" s="3715">
        <v>1.2E-2</v>
      </c>
      <c r="F12" s="2292" t="s">
        <v>2254</v>
      </c>
      <c r="G12" s="2293"/>
      <c r="H12" s="2255"/>
      <c r="I12" s="2256"/>
      <c r="J12" s="4899"/>
      <c r="K12" s="4901"/>
      <c r="L12" s="2286" t="s">
        <v>2255</v>
      </c>
      <c r="M12" s="3982"/>
      <c r="N12" s="3981"/>
      <c r="O12" s="4625"/>
      <c r="P12" s="4625"/>
      <c r="Q12" s="3981">
        <v>365</v>
      </c>
      <c r="R12" s="3980">
        <f t="shared" si="0"/>
        <v>0</v>
      </c>
      <c r="S12" s="2249"/>
      <c r="T12" s="2249"/>
      <c r="U12" s="2249"/>
      <c r="V12" s="2256"/>
    </row>
    <row r="13" spans="1:22" s="2260" customFormat="1" ht="13.2" customHeight="1">
      <c r="A13" s="2295"/>
      <c r="B13" s="2296"/>
      <c r="C13" s="2297" t="s">
        <v>2256</v>
      </c>
      <c r="D13" s="3716"/>
      <c r="E13" s="2299"/>
      <c r="F13" s="2292"/>
      <c r="G13" s="2293"/>
      <c r="H13" s="2255"/>
      <c r="I13" s="2256"/>
      <c r="J13" s="4899"/>
      <c r="K13" s="4901"/>
      <c r="L13" s="2286" t="s">
        <v>2257</v>
      </c>
      <c r="M13" s="3982"/>
      <c r="N13" s="3981"/>
      <c r="O13" s="4625"/>
      <c r="P13" s="4625"/>
      <c r="Q13" s="3981">
        <v>365</v>
      </c>
      <c r="R13" s="3980">
        <f t="shared" si="0"/>
        <v>0</v>
      </c>
      <c r="S13" s="2249"/>
      <c r="T13" s="2249"/>
      <c r="U13" s="2249"/>
      <c r="V13" s="2256"/>
    </row>
    <row r="14" spans="1:22" s="2260" customFormat="1" ht="13.2" customHeight="1">
      <c r="A14" s="2295" t="s">
        <v>2258</v>
      </c>
      <c r="B14" s="4905" t="s">
        <v>2259</v>
      </c>
      <c r="C14" s="4906"/>
      <c r="D14" s="3714">
        <f>ROUND(E14*B5/10000,0)</f>
        <v>0</v>
      </c>
      <c r="E14" s="3717"/>
      <c r="F14" s="2292" t="s">
        <v>2260</v>
      </c>
      <c r="G14" s="2293"/>
      <c r="H14" s="2255"/>
      <c r="I14" s="2256"/>
      <c r="J14" s="4899"/>
      <c r="K14" s="4902"/>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2262</v>
      </c>
      <c r="B15" s="4907" t="s">
        <v>3788</v>
      </c>
      <c r="C15" s="4906"/>
      <c r="D15" s="3714">
        <f>IF(F15="酒店",E48*(1+E15),IF(F15="购物中心",E67*(1+E15),IF(F15="按比例计算-酒店",E46,E65)))</f>
        <v>0</v>
      </c>
      <c r="E15" s="3715">
        <f>'数据-取费表'!B44</f>
        <v>0.12000000000000001</v>
      </c>
      <c r="F15" s="3857" t="s">
        <v>3847</v>
      </c>
      <c r="G15" s="3858"/>
      <c r="H15" s="2255"/>
      <c r="I15" s="2256"/>
      <c r="J15" s="4899">
        <v>2</v>
      </c>
      <c r="K15" s="4900"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2" customHeight="1">
      <c r="A16" s="2295" t="s">
        <v>2269</v>
      </c>
      <c r="B16" s="4905" t="s">
        <v>2270</v>
      </c>
      <c r="C16" s="4906"/>
      <c r="D16" s="3718">
        <f>D6*E16</f>
        <v>0</v>
      </c>
      <c r="E16" s="3719"/>
      <c r="F16" s="2294" t="s">
        <v>2271</v>
      </c>
      <c r="G16" s="2277"/>
      <c r="H16" s="2255"/>
      <c r="I16" s="2256"/>
      <c r="J16" s="4899"/>
      <c r="K16" s="4901"/>
      <c r="L16" s="2286" t="s">
        <v>2272</v>
      </c>
      <c r="M16" s="3982"/>
      <c r="N16" s="3982"/>
      <c r="O16" s="4627"/>
      <c r="P16" s="3981">
        <v>365</v>
      </c>
      <c r="Q16" s="3981"/>
      <c r="R16" s="3980">
        <f>ROUND(M16*N16*O16*P16/10000,0)</f>
        <v>0</v>
      </c>
      <c r="S16" s="2249"/>
      <c r="T16" s="2249"/>
      <c r="U16" s="2249"/>
      <c r="V16" s="2256"/>
    </row>
    <row r="17" spans="1:22" s="2260" customFormat="1" ht="13.2" customHeight="1" thickBot="1">
      <c r="A17" s="2305">
        <v>4</v>
      </c>
      <c r="B17" s="4908" t="s">
        <v>2273</v>
      </c>
      <c r="C17" s="4909"/>
      <c r="D17" s="3720">
        <f>ROUND(D6*E17,0)</f>
        <v>0</v>
      </c>
      <c r="E17" s="3721"/>
      <c r="F17" s="3855" t="s">
        <v>3717</v>
      </c>
      <c r="G17" s="2277"/>
      <c r="H17" s="2255"/>
      <c r="I17" s="2256"/>
      <c r="J17" s="4899"/>
      <c r="K17" s="4901"/>
      <c r="L17" s="2286" t="s">
        <v>2274</v>
      </c>
      <c r="M17" s="3982"/>
      <c r="N17" s="3982"/>
      <c r="O17" s="4627"/>
      <c r="P17" s="3981">
        <v>365</v>
      </c>
      <c r="Q17" s="3981"/>
      <c r="R17" s="3980">
        <f>ROUND(M17*N17*O17*P17/10000,0)</f>
        <v>0</v>
      </c>
      <c r="S17" s="2249"/>
      <c r="T17" s="2249"/>
      <c r="U17" s="2249"/>
      <c r="V17" s="2256"/>
    </row>
    <row r="18" spans="1:22" s="2260" customFormat="1" ht="13.2" customHeight="1" thickBot="1">
      <c r="A18" s="2280" t="s">
        <v>2275</v>
      </c>
      <c r="B18" s="2281"/>
      <c r="C18" s="2281"/>
      <c r="D18" s="3722">
        <f>ROUND(D6*E18,0)</f>
        <v>0</v>
      </c>
      <c r="E18" s="3723"/>
      <c r="F18" s="2306" t="s">
        <v>2276</v>
      </c>
      <c r="G18" s="2277"/>
      <c r="H18" s="2255"/>
      <c r="I18" s="2256"/>
      <c r="J18" s="4899"/>
      <c r="K18" s="4901"/>
      <c r="L18" s="2286" t="s">
        <v>2277</v>
      </c>
      <c r="M18" s="3982"/>
      <c r="N18" s="3982"/>
      <c r="O18" s="4627"/>
      <c r="P18" s="3981">
        <v>365</v>
      </c>
      <c r="Q18" s="3981"/>
      <c r="R18" s="3980">
        <f>ROUND(M18*N18*O18*P18/10000,0)</f>
        <v>0</v>
      </c>
      <c r="S18" s="2249"/>
      <c r="T18" s="2249"/>
      <c r="U18" s="2249"/>
      <c r="V18" s="2256"/>
    </row>
    <row r="19" spans="1:22" s="2260" customFormat="1" ht="13.2" customHeight="1" thickBot="1">
      <c r="A19" s="2307" t="s">
        <v>2278</v>
      </c>
      <c r="B19" s="2275"/>
      <c r="C19" s="2275"/>
      <c r="D19" s="2275"/>
      <c r="E19" s="2275"/>
      <c r="F19" s="2276"/>
      <c r="G19" s="2293"/>
      <c r="H19" s="2255"/>
      <c r="I19" s="2256"/>
      <c r="J19" s="4899"/>
      <c r="K19" s="4902"/>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899">
        <v>3</v>
      </c>
      <c r="K20" s="4900"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2" customHeight="1">
      <c r="A21" s="2280"/>
      <c r="B21" s="2281"/>
      <c r="C21" s="2312" t="s">
        <v>2287</v>
      </c>
      <c r="D21" s="2313" t="s">
        <v>2288</v>
      </c>
      <c r="E21" s="2314" t="s">
        <v>2289</v>
      </c>
      <c r="F21" s="2309"/>
      <c r="G21" s="2293"/>
      <c r="H21" s="2255"/>
      <c r="I21" s="2256"/>
      <c r="J21" s="4899"/>
      <c r="K21" s="4901"/>
      <c r="L21" s="2286" t="s">
        <v>2290</v>
      </c>
      <c r="M21" s="3982"/>
      <c r="N21" s="3982"/>
      <c r="O21" s="4626"/>
      <c r="P21" s="3981">
        <v>365</v>
      </c>
      <c r="Q21" s="3981"/>
      <c r="R21" s="3983">
        <f>ROUND(M21*N21*O21*P21/10000,0)</f>
        <v>0</v>
      </c>
      <c r="S21" s="2311"/>
      <c r="T21" s="2311"/>
      <c r="U21" s="2311"/>
      <c r="V21" s="2256"/>
    </row>
    <row r="22" spans="1:22" s="2260" customFormat="1" ht="13.2" customHeight="1">
      <c r="A22" s="2280"/>
      <c r="B22" s="2281"/>
      <c r="C22" s="2315" t="s">
        <v>2291</v>
      </c>
      <c r="D22" s="2316" t="s">
        <v>2292</v>
      </c>
      <c r="E22" s="2317" t="s">
        <v>2293</v>
      </c>
      <c r="F22" s="2309"/>
      <c r="G22" s="2318"/>
      <c r="H22" s="2255"/>
      <c r="I22" s="2256"/>
      <c r="J22" s="4899"/>
      <c r="K22" s="4901"/>
      <c r="L22" s="2286" t="s">
        <v>2294</v>
      </c>
      <c r="M22" s="3982"/>
      <c r="N22" s="3982"/>
      <c r="O22" s="4626"/>
      <c r="P22" s="3981">
        <v>365</v>
      </c>
      <c r="Q22" s="3981"/>
      <c r="R22" s="3983">
        <f>ROUND(M22*N22*O22*P22/10000,0)</f>
        <v>0</v>
      </c>
      <c r="S22" s="2311"/>
      <c r="T22" s="2311"/>
      <c r="U22" s="2311"/>
      <c r="V22" s="2256"/>
    </row>
    <row r="23" spans="1:22" s="2260" customFormat="1" ht="13.2" customHeight="1">
      <c r="A23" s="2319">
        <v>1</v>
      </c>
      <c r="B23" s="2320" t="s">
        <v>2295</v>
      </c>
      <c r="C23" s="2325">
        <f>D6</f>
        <v>0</v>
      </c>
      <c r="D23" s="3738">
        <f>C23*(1+D24)</f>
        <v>0</v>
      </c>
      <c r="E23" s="3739">
        <f>D23*(1+E24)</f>
        <v>0</v>
      </c>
      <c r="F23" s="2321"/>
      <c r="G23" s="2322"/>
      <c r="H23" s="2255"/>
      <c r="I23" s="2256"/>
      <c r="J23" s="4899"/>
      <c r="K23" s="4901"/>
      <c r="L23" s="2286" t="s">
        <v>2296</v>
      </c>
      <c r="M23" s="3982"/>
      <c r="N23" s="3982"/>
      <c r="O23" s="4626"/>
      <c r="P23" s="3981">
        <v>365</v>
      </c>
      <c r="Q23" s="3981"/>
      <c r="R23" s="3983">
        <f>ROUND(M23*N23*O23*P23/10000,0)</f>
        <v>0</v>
      </c>
      <c r="S23" s="2249"/>
      <c r="T23" s="2249"/>
      <c r="U23" s="2249"/>
      <c r="V23" s="2256"/>
    </row>
    <row r="24" spans="1:22" s="2260" customFormat="1" ht="13.2" customHeight="1">
      <c r="A24" s="2323"/>
      <c r="B24" s="2324" t="s">
        <v>2297</v>
      </c>
      <c r="C24" s="2325"/>
      <c r="D24" s="2326"/>
      <c r="E24" s="2327"/>
      <c r="F24" s="2328"/>
      <c r="G24" s="2322"/>
      <c r="H24" s="2255"/>
      <c r="I24" s="2256"/>
      <c r="J24" s="4899"/>
      <c r="K24" s="4902"/>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2" customHeight="1">
      <c r="A26" s="2319">
        <v>2</v>
      </c>
      <c r="B26" s="2320" t="s">
        <v>2299</v>
      </c>
      <c r="C26" s="2325">
        <f>D7</f>
        <v>0</v>
      </c>
      <c r="D26" s="3724">
        <f>D23*D27</f>
        <v>0</v>
      </c>
      <c r="E26" s="3725">
        <f>E23*E27</f>
        <v>0</v>
      </c>
      <c r="F26" s="2321"/>
      <c r="G26" s="2322"/>
      <c r="H26" s="2255"/>
      <c r="I26" s="2256"/>
      <c r="J26" s="4910">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2" customHeight="1">
      <c r="A27" s="2323"/>
      <c r="B27" s="2324" t="s">
        <v>2305</v>
      </c>
      <c r="C27" s="2342" t="e">
        <f>E7</f>
        <v>#DIV/0!</v>
      </c>
      <c r="D27" s="2326"/>
      <c r="E27" s="2327"/>
      <c r="F27" s="2328"/>
      <c r="G27" s="2322"/>
      <c r="H27" s="2343"/>
      <c r="I27" s="2334"/>
      <c r="J27" s="4911"/>
      <c r="K27" s="2344"/>
      <c r="L27" s="2345"/>
      <c r="M27" s="2346"/>
      <c r="N27" s="3743"/>
      <c r="O27" s="3743"/>
      <c r="P27" s="3743"/>
      <c r="Q27" s="4628"/>
      <c r="R27" s="3984">
        <f>ROUND(O27*N27*P27*(1-Q27)/10000,0)</f>
        <v>0</v>
      </c>
      <c r="S27" s="2249"/>
      <c r="T27" s="2249"/>
      <c r="U27" s="2249"/>
      <c r="V27" s="2256"/>
    </row>
    <row r="28" spans="1:22" s="2335" customFormat="1" ht="13.2"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2"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2" customHeight="1">
      <c r="A32" s="2319">
        <v>4</v>
      </c>
      <c r="B32" s="2320" t="s">
        <v>2313</v>
      </c>
      <c r="C32" s="2325">
        <f>C23-C26-C29</f>
        <v>0</v>
      </c>
      <c r="D32" s="3724">
        <f>D23-D26-D29</f>
        <v>0</v>
      </c>
      <c r="E32" s="3725">
        <f>E23-E26-E29</f>
        <v>0</v>
      </c>
      <c r="F32" s="2321"/>
      <c r="G32" s="2318"/>
      <c r="H32" s="2255"/>
      <c r="I32" s="2256"/>
      <c r="J32" s="4892" t="s">
        <v>2211</v>
      </c>
      <c r="K32" s="4893"/>
      <c r="L32" s="2257" t="s">
        <v>2212</v>
      </c>
      <c r="M32" s="2257" t="s">
        <v>2213</v>
      </c>
      <c r="N32" s="2257" t="s">
        <v>2214</v>
      </c>
      <c r="O32" s="2257" t="s">
        <v>2215</v>
      </c>
      <c r="P32" s="2257" t="s">
        <v>2216</v>
      </c>
      <c r="Q32" s="2258" t="s">
        <v>2217</v>
      </c>
      <c r="R32" s="2355" t="s">
        <v>2218</v>
      </c>
      <c r="S32" s="2311"/>
      <c r="T32" s="2249"/>
      <c r="U32" s="2249"/>
      <c r="V32" s="2334"/>
    </row>
    <row r="33" spans="1:23" s="2260" customFormat="1" ht="13.2" customHeight="1">
      <c r="A33" s="2319"/>
      <c r="B33" s="2320"/>
      <c r="C33" s="2325"/>
      <c r="D33" s="3726"/>
      <c r="E33" s="3727"/>
      <c r="F33" s="2321"/>
      <c r="G33" s="2318"/>
      <c r="H33" s="2343"/>
      <c r="I33" s="2334"/>
      <c r="J33" s="4894" t="s">
        <v>2221</v>
      </c>
      <c r="K33" s="4895"/>
      <c r="L33" s="3746"/>
      <c r="M33" s="3746"/>
      <c r="N33" s="3746"/>
      <c r="O33" s="3746"/>
      <c r="P33" s="3746"/>
      <c r="Q33" s="3747"/>
      <c r="R33" s="3748">
        <f>SUM(L33:Q33)</f>
        <v>0</v>
      </c>
      <c r="S33" s="2311"/>
      <c r="T33" s="2249"/>
      <c r="U33" s="2249"/>
      <c r="V33" s="2256"/>
    </row>
    <row r="34" spans="1:23" s="2260" customFormat="1" ht="13.2" customHeight="1">
      <c r="A34" s="2319">
        <v>5</v>
      </c>
      <c r="B34" s="2320" t="s">
        <v>2314</v>
      </c>
      <c r="C34" s="3728"/>
      <c r="D34" s="3729"/>
      <c r="E34" s="3730"/>
      <c r="F34" s="2321"/>
      <c r="G34" s="2318"/>
      <c r="H34" s="2343"/>
      <c r="I34" s="2334"/>
      <c r="J34" s="4894" t="s">
        <v>2223</v>
      </c>
      <c r="K34" s="4895"/>
      <c r="L34" s="3749"/>
      <c r="M34" s="3749"/>
      <c r="N34" s="3749"/>
      <c r="O34" s="3749"/>
      <c r="P34" s="3749"/>
      <c r="Q34" s="3750"/>
      <c r="R34" s="3751">
        <f>SUM(L34:Q34)</f>
        <v>0</v>
      </c>
      <c r="S34" s="2311"/>
      <c r="T34" s="2249"/>
      <c r="U34" s="2249" t="e">
        <f>ROUND(R35*10000/365/R33,1)</f>
        <v>#DIV/0!</v>
      </c>
      <c r="V34" s="2256"/>
    </row>
    <row r="35" spans="1:23" s="2260" customFormat="1" ht="13.2"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2" customHeight="1" thickBot="1">
      <c r="A36" s="2319">
        <v>7</v>
      </c>
      <c r="B36" s="2358" t="s">
        <v>2316</v>
      </c>
      <c r="C36" s="3731"/>
      <c r="D36" s="3732"/>
      <c r="E36" s="3733"/>
      <c r="F36" s="2359">
        <f>C36+D36+E36</f>
        <v>0</v>
      </c>
      <c r="G36" s="2318"/>
      <c r="H36" s="2255"/>
      <c r="I36" s="2256"/>
      <c r="J36" s="4899">
        <v>1</v>
      </c>
      <c r="K36" s="4900" t="s">
        <v>2317</v>
      </c>
      <c r="L36" s="2278"/>
      <c r="M36" s="2279"/>
      <c r="N36" s="2279"/>
      <c r="O36" s="2279"/>
      <c r="P36" s="2279"/>
      <c r="Q36" s="2279"/>
      <c r="R36" s="2264" t="s">
        <v>2234</v>
      </c>
      <c r="S36" s="2311"/>
      <c r="T36" s="2249" t="s">
        <v>2235</v>
      </c>
      <c r="U36" s="2249"/>
      <c r="V36" s="2256"/>
    </row>
    <row r="37" spans="1:23" s="2260" customFormat="1" ht="13.2" customHeight="1">
      <c r="A37" s="2319"/>
      <c r="B37" s="2320"/>
      <c r="C37" s="2324"/>
      <c r="D37" s="2324"/>
      <c r="E37" s="2324"/>
      <c r="F37" s="2321"/>
      <c r="G37" s="2318"/>
      <c r="H37" s="2255"/>
      <c r="I37" s="2256"/>
      <c r="J37" s="4899"/>
      <c r="K37" s="4901"/>
      <c r="L37" s="3752"/>
      <c r="M37" s="3740"/>
      <c r="N37" s="2298"/>
      <c r="O37" s="2298"/>
      <c r="P37" s="2298"/>
      <c r="Q37" s="2298"/>
      <c r="R37" s="3741"/>
      <c r="S37" s="2311"/>
      <c r="T37" s="2249" t="s">
        <v>2238</v>
      </c>
      <c r="U37" s="2249"/>
      <c r="V37" s="2256"/>
    </row>
    <row r="38" spans="1:23" s="2260" customFormat="1" ht="13.2" customHeight="1">
      <c r="A38" s="2319">
        <v>8</v>
      </c>
      <c r="B38" s="2320"/>
      <c r="C38" s="3711" t="e">
        <f>ROUND(C32*(1-((1+C35)/(1+C34))^C36)/(C34-C35),0)</f>
        <v>#DIV/0!</v>
      </c>
      <c r="D38" s="3711">
        <f>IF(D23=0,0,ROUND(D32*(1-((1+D35)/(1+D34))^D36)/(D34-D35),0))</f>
        <v>0</v>
      </c>
      <c r="E38" s="3711">
        <f>IF(E23=0,0,ROUND(E32*(1-((1+E35)/(1+E34))^E36)/(E34-E35),0))</f>
        <v>0</v>
      </c>
      <c r="F38" s="2321"/>
      <c r="G38" s="2318"/>
      <c r="H38" s="2255"/>
      <c r="I38" s="2256"/>
      <c r="J38" s="4899"/>
      <c r="K38" s="4901"/>
      <c r="L38" s="3752"/>
      <c r="M38" s="3740"/>
      <c r="N38" s="2298"/>
      <c r="O38" s="2298"/>
      <c r="P38" s="2298"/>
      <c r="Q38" s="2298"/>
      <c r="R38" s="3741"/>
      <c r="S38" s="2311"/>
      <c r="T38" s="2249" t="s">
        <v>2244</v>
      </c>
      <c r="U38" s="2249"/>
      <c r="V38" s="2256"/>
    </row>
    <row r="39" spans="1:23" s="2260" customFormat="1" ht="13.2" customHeight="1">
      <c r="A39" s="2319">
        <v>9</v>
      </c>
      <c r="B39" s="2320" t="s">
        <v>2318</v>
      </c>
      <c r="C39" s="3714" t="e">
        <f>C38</f>
        <v>#DIV/0!</v>
      </c>
      <c r="D39" s="3714">
        <f>IF(D23=0,0,D38/(1+D34)^C36)</f>
        <v>0</v>
      </c>
      <c r="E39" s="3714">
        <f>IF(E23=0,0,E38/(1+E34)^(C36+D36))</f>
        <v>0</v>
      </c>
      <c r="F39" s="2321"/>
      <c r="G39" s="2360"/>
      <c r="H39" s="2255"/>
      <c r="I39" s="2256"/>
      <c r="J39" s="4899"/>
      <c r="K39" s="4901"/>
      <c r="L39" s="3752"/>
      <c r="M39" s="3740"/>
      <c r="N39" s="2298"/>
      <c r="O39" s="2298"/>
      <c r="P39" s="2298"/>
      <c r="Q39" s="2298"/>
      <c r="R39" s="3741"/>
      <c r="S39" s="2311"/>
      <c r="T39" s="2249"/>
      <c r="U39" s="2249"/>
      <c r="V39" s="2256"/>
    </row>
    <row r="40" spans="1:23" s="2260" customFormat="1" ht="13.2" customHeight="1">
      <c r="A40" s="2361">
        <v>10</v>
      </c>
      <c r="B40" s="2320" t="s">
        <v>2319</v>
      </c>
      <c r="C40" s="3734" t="e">
        <f>C39+D39+E39</f>
        <v>#DIV/0!</v>
      </c>
      <c r="D40" s="3735"/>
      <c r="E40" s="3735"/>
      <c r="F40" s="2362"/>
      <c r="G40" s="2318"/>
      <c r="H40" s="2255"/>
      <c r="I40" s="2256"/>
      <c r="J40" s="4899"/>
      <c r="K40" s="4902"/>
      <c r="L40" s="2300" t="s">
        <v>2261</v>
      </c>
      <c r="M40" s="2301"/>
      <c r="N40" s="2301"/>
      <c r="O40" s="2302"/>
      <c r="P40" s="2302"/>
      <c r="Q40" s="3753"/>
      <c r="R40" s="3985">
        <f>SUM(R37:R39)</f>
        <v>0</v>
      </c>
      <c r="S40" s="2311"/>
      <c r="T40" s="2249"/>
      <c r="U40" s="2249"/>
      <c r="V40" s="2256"/>
    </row>
    <row r="41" spans="1:23" s="2260" customFormat="1" ht="13.2"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2" customHeight="1">
      <c r="G42" s="2366"/>
      <c r="H42" s="2255"/>
      <c r="I42" s="2256"/>
      <c r="J42" s="4910">
        <v>3</v>
      </c>
      <c r="K42" s="2336" t="s">
        <v>2300</v>
      </c>
      <c r="L42" s="2337"/>
      <c r="M42" s="2338"/>
      <c r="N42" s="2339" t="s">
        <v>2301</v>
      </c>
      <c r="O42" s="2339" t="s">
        <v>2302</v>
      </c>
      <c r="P42" s="2340" t="s">
        <v>2303</v>
      </c>
      <c r="Q42" s="2340" t="s">
        <v>2304</v>
      </c>
      <c r="R42" s="2264" t="s">
        <v>2234</v>
      </c>
      <c r="S42" s="2341"/>
      <c r="T42" s="2341"/>
      <c r="U42" s="2249"/>
      <c r="V42" s="2256"/>
    </row>
    <row r="43" spans="1:23" ht="13.2" customHeight="1">
      <c r="A43" s="2260"/>
      <c r="B43" s="2260"/>
      <c r="C43" s="2260"/>
      <c r="D43" s="2260"/>
      <c r="E43" s="2260"/>
      <c r="F43" s="2260"/>
      <c r="G43" s="2366"/>
      <c r="H43" s="2255"/>
      <c r="I43" s="2244"/>
      <c r="J43" s="4911"/>
      <c r="K43" s="2344"/>
      <c r="L43" s="2345"/>
      <c r="M43" s="2346"/>
      <c r="N43" s="3740"/>
      <c r="O43" s="3740"/>
      <c r="P43" s="3740"/>
      <c r="Q43" s="3740"/>
      <c r="R43" s="3984">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2" customHeight="1" thickBot="1">
      <c r="A45" s="2260"/>
      <c r="B45" s="2260"/>
      <c r="C45" s="2260"/>
      <c r="D45" s="2260"/>
      <c r="E45" s="2260"/>
      <c r="F45" s="2260"/>
      <c r="G45" s="2366"/>
      <c r="H45" s="2255"/>
    </row>
    <row r="46" spans="1:23" ht="14.4">
      <c r="A46" s="3860"/>
      <c r="B46" s="3860"/>
      <c r="C46" s="3872" t="s">
        <v>3718</v>
      </c>
      <c r="D46" s="3873" t="s">
        <v>3789</v>
      </c>
      <c r="E46" s="4322">
        <f>ROUND(D6*G46,0)</f>
        <v>0</v>
      </c>
      <c r="F46" s="3884" t="s">
        <v>3778</v>
      </c>
      <c r="G46" s="4323">
        <v>0.05</v>
      </c>
      <c r="H46" s="3860"/>
      <c r="I46" s="3861"/>
    </row>
    <row r="47" spans="1:23" ht="13.2" customHeight="1">
      <c r="A47" s="3860"/>
      <c r="B47" s="3860"/>
      <c r="C47" s="3874" t="s">
        <v>3719</v>
      </c>
      <c r="D47" s="3875" t="s">
        <v>3720</v>
      </c>
      <c r="E47" s="4435" t="s">
        <v>3954</v>
      </c>
      <c r="F47" s="3885" t="s">
        <v>3721</v>
      </c>
      <c r="G47" s="3886" t="s">
        <v>3722</v>
      </c>
      <c r="H47" s="3862"/>
      <c r="I47" s="3861"/>
    </row>
    <row r="48" spans="1:23" ht="13.2" customHeight="1">
      <c r="A48" s="3862"/>
      <c r="B48" s="3862"/>
      <c r="C48" s="3876">
        <v>1</v>
      </c>
      <c r="D48" s="3875" t="s">
        <v>3723</v>
      </c>
      <c r="E48" s="3896">
        <f>E49-E54</f>
        <v>0</v>
      </c>
      <c r="F48" s="3875"/>
      <c r="G48" s="3886"/>
      <c r="H48" s="3862"/>
      <c r="I48" s="3861"/>
    </row>
    <row r="49" spans="1:9" ht="13.2" customHeight="1">
      <c r="A49" s="3862"/>
      <c r="B49" s="3862"/>
      <c r="C49" s="3876">
        <v>2</v>
      </c>
      <c r="D49" s="3875" t="s">
        <v>3724</v>
      </c>
      <c r="E49" s="3896">
        <f>SUM(E50:E53)</f>
        <v>0</v>
      </c>
      <c r="F49" s="3875"/>
      <c r="G49" s="4317"/>
      <c r="H49" s="3862"/>
      <c r="I49" s="3861"/>
    </row>
    <row r="50" spans="1:9" ht="13.2" customHeight="1">
      <c r="A50" s="3862"/>
      <c r="B50" s="3862"/>
      <c r="C50" s="3877" t="s">
        <v>3740</v>
      </c>
      <c r="D50" s="3878" t="s">
        <v>3725</v>
      </c>
      <c r="E50" s="3897">
        <f>R14*G50/(1+G50)</f>
        <v>0</v>
      </c>
      <c r="F50" s="3887" t="s">
        <v>3741</v>
      </c>
      <c r="G50" s="4318">
        <v>0.06</v>
      </c>
      <c r="H50" s="3862"/>
      <c r="I50" s="3861"/>
    </row>
    <row r="51" spans="1:9" ht="13.2" customHeight="1">
      <c r="A51" s="3862"/>
      <c r="B51" s="3862"/>
      <c r="C51" s="3877" t="s">
        <v>3742</v>
      </c>
      <c r="D51" s="3878" t="s">
        <v>3726</v>
      </c>
      <c r="E51" s="3897">
        <f>R19*G51/(1+G51)</f>
        <v>0</v>
      </c>
      <c r="F51" s="3887" t="s">
        <v>3743</v>
      </c>
      <c r="G51" s="4318">
        <v>0.06</v>
      </c>
      <c r="H51" s="3862"/>
      <c r="I51" s="3861"/>
    </row>
    <row r="52" spans="1:9" ht="13.2" customHeight="1">
      <c r="A52" s="3862"/>
      <c r="B52" s="3862"/>
      <c r="C52" s="3877" t="s">
        <v>3744</v>
      </c>
      <c r="D52" s="3878" t="s">
        <v>3727</v>
      </c>
      <c r="E52" s="3897">
        <f>R24*G52/(1+R24)</f>
        <v>0</v>
      </c>
      <c r="F52" s="3887" t="s">
        <v>3728</v>
      </c>
      <c r="G52" s="4318">
        <v>0.09</v>
      </c>
      <c r="H52" s="3862"/>
      <c r="I52" s="3861"/>
    </row>
    <row r="53" spans="1:9" ht="13.2" customHeight="1">
      <c r="A53" s="3862"/>
      <c r="B53" s="3862"/>
      <c r="C53" s="3877" t="s">
        <v>3745</v>
      </c>
      <c r="D53" s="3878" t="s">
        <v>3729</v>
      </c>
      <c r="E53" s="3897">
        <f>R27*G53/(1+G53)</f>
        <v>0</v>
      </c>
      <c r="F53" s="3887" t="s">
        <v>3728</v>
      </c>
      <c r="G53" s="4318">
        <v>0.09</v>
      </c>
      <c r="H53" s="3862"/>
      <c r="I53" s="3861"/>
    </row>
    <row r="54" spans="1:9" ht="13.2" customHeight="1">
      <c r="A54" s="3862" t="s">
        <v>3773</v>
      </c>
      <c r="B54" s="3861"/>
      <c r="C54" s="3876">
        <v>3</v>
      </c>
      <c r="D54" s="3875" t="s">
        <v>3730</v>
      </c>
      <c r="E54" s="3896">
        <f>E55+E56+E60</f>
        <v>0</v>
      </c>
      <c r="F54" s="3875"/>
      <c r="G54" s="4317"/>
      <c r="H54" s="3862"/>
      <c r="I54" s="3861"/>
    </row>
    <row r="55" spans="1:9" ht="13.2" customHeight="1">
      <c r="A55" s="3863">
        <v>0.05</v>
      </c>
      <c r="B55" s="3864" t="s">
        <v>3777</v>
      </c>
      <c r="C55" s="3877" t="s">
        <v>3740</v>
      </c>
      <c r="D55" s="3878" t="s">
        <v>3731</v>
      </c>
      <c r="E55" s="3897">
        <f>D9*G55/(1+G55)</f>
        <v>0</v>
      </c>
      <c r="F55" s="3889" t="s">
        <v>3779</v>
      </c>
      <c r="G55" s="4318">
        <v>0.13</v>
      </c>
      <c r="H55" s="3862"/>
      <c r="I55" s="3861"/>
    </row>
    <row r="56" spans="1:9" ht="13.2" customHeight="1">
      <c r="A56" s="3863">
        <f>SUM(A57:A59)</f>
        <v>0.39</v>
      </c>
      <c r="B56" s="3864"/>
      <c r="C56" s="3877" t="s">
        <v>3742</v>
      </c>
      <c r="D56" s="3878" t="s">
        <v>3732</v>
      </c>
      <c r="E56" s="3897">
        <f>SUM(E57:E59)</f>
        <v>0</v>
      </c>
      <c r="F56" s="3887"/>
      <c r="G56" s="3890"/>
      <c r="H56" s="3862" t="s">
        <v>3786</v>
      </c>
      <c r="I56" s="3862" t="s">
        <v>3787</v>
      </c>
    </row>
    <row r="57" spans="1:9" ht="13.2" customHeight="1">
      <c r="A57" s="3863">
        <v>0.25</v>
      </c>
      <c r="B57" s="3864" t="s">
        <v>3774</v>
      </c>
      <c r="C57" s="3879" t="s">
        <v>3733</v>
      </c>
      <c r="D57" s="3880" t="s">
        <v>3734</v>
      </c>
      <c r="E57" s="3898">
        <v>0</v>
      </c>
      <c r="F57" s="3891"/>
      <c r="G57" s="3892" t="s">
        <v>3735</v>
      </c>
      <c r="H57" s="3856">
        <v>0.65</v>
      </c>
      <c r="I57" s="3865">
        <f>A57/SUM(A57:A59)</f>
        <v>0.64102564102564097</v>
      </c>
    </row>
    <row r="58" spans="1:9" ht="13.2"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2"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2" customHeight="1">
      <c r="A60" s="3863">
        <f>SUM(A61:A62)</f>
        <v>0.1</v>
      </c>
      <c r="B60" s="3864"/>
      <c r="C60" s="3877" t="s">
        <v>3744</v>
      </c>
      <c r="D60" s="3878" t="s">
        <v>3749</v>
      </c>
      <c r="E60" s="3897">
        <f>SUM(E61:E62)</f>
        <v>0</v>
      </c>
      <c r="F60" s="3887"/>
      <c r="G60" s="4320"/>
      <c r="I60" s="3861"/>
    </row>
    <row r="61" spans="1:9" ht="13.2" customHeight="1">
      <c r="A61" s="3863">
        <v>0.05</v>
      </c>
      <c r="B61" s="3864" t="s">
        <v>3777</v>
      </c>
      <c r="C61" s="3879" t="s">
        <v>3750</v>
      </c>
      <c r="D61" s="3880" t="s">
        <v>3751</v>
      </c>
      <c r="E61" s="3898">
        <f>D17*H61*G61/(1+G61)</f>
        <v>0</v>
      </c>
      <c r="F61" s="3891" t="s">
        <v>3748</v>
      </c>
      <c r="G61" s="4319">
        <v>0.06</v>
      </c>
      <c r="H61" s="3856">
        <v>0.5</v>
      </c>
      <c r="I61" s="3861"/>
    </row>
    <row r="62" spans="1:9" ht="13.2" customHeight="1" thickBot="1">
      <c r="A62" s="3863">
        <v>0.05</v>
      </c>
      <c r="B62" s="3864" t="s">
        <v>3778</v>
      </c>
      <c r="C62" s="3882" t="s">
        <v>3736</v>
      </c>
      <c r="D62" s="3883" t="s">
        <v>3752</v>
      </c>
      <c r="E62" s="3899">
        <f>D17*H62*G62/(1+G62)</f>
        <v>0</v>
      </c>
      <c r="F62" s="3894" t="s">
        <v>3753</v>
      </c>
      <c r="G62" s="4321">
        <v>0.09</v>
      </c>
      <c r="H62" s="3856">
        <v>0.5</v>
      </c>
      <c r="I62" s="3861"/>
    </row>
    <row r="63" spans="1:9" ht="13.2" customHeight="1">
      <c r="A63" s="3863">
        <f>A55+A56+A60</f>
        <v>0.54</v>
      </c>
      <c r="B63" s="3864"/>
      <c r="C63" s="3861"/>
      <c r="D63" s="3866"/>
      <c r="E63" s="3866"/>
      <c r="F63" s="3867"/>
      <c r="G63" s="3868"/>
      <c r="H63" s="3862"/>
      <c r="I63" s="3862"/>
    </row>
    <row r="64" spans="1:9" ht="13.2" customHeight="1" thickBot="1">
      <c r="A64" s="3862"/>
      <c r="B64" s="3862"/>
      <c r="C64" s="3861"/>
      <c r="D64" s="3861"/>
      <c r="E64" s="3861"/>
      <c r="F64" s="3861"/>
      <c r="G64" s="3869"/>
      <c r="H64" s="3862"/>
      <c r="I64" s="3861"/>
    </row>
    <row r="65" spans="1:9" ht="14.4">
      <c r="A65" s="3862"/>
      <c r="B65" s="3862"/>
      <c r="C65" s="3872" t="s">
        <v>3754</v>
      </c>
      <c r="D65" s="3873" t="s">
        <v>3789</v>
      </c>
      <c r="E65" s="4322">
        <f>ROUND(D6*G65,0)</f>
        <v>0</v>
      </c>
      <c r="F65" s="3884" t="s">
        <v>3790</v>
      </c>
      <c r="G65" s="4323">
        <v>0.03</v>
      </c>
      <c r="H65" s="3862"/>
      <c r="I65" s="3861"/>
    </row>
    <row r="66" spans="1:9">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2" customHeight="1">
      <c r="A68" s="3862"/>
      <c r="B68" s="3862"/>
      <c r="C68" s="3901">
        <v>2</v>
      </c>
      <c r="D68" s="3875" t="s">
        <v>3760</v>
      </c>
      <c r="E68" s="3900">
        <f>SUM(E69:E70)</f>
        <v>0</v>
      </c>
      <c r="F68" s="3875"/>
      <c r="G68" s="3886"/>
      <c r="H68" s="3862"/>
      <c r="I68" s="3861"/>
    </row>
    <row r="69" spans="1:9" ht="13.2" customHeight="1">
      <c r="A69" s="3862"/>
      <c r="B69" s="3862"/>
      <c r="C69" s="3877" t="s">
        <v>3761</v>
      </c>
      <c r="D69" s="3878" t="s">
        <v>3762</v>
      </c>
      <c r="E69" s="3878"/>
      <c r="F69" s="3887" t="s">
        <v>3763</v>
      </c>
      <c r="G69" s="3888">
        <v>0.09</v>
      </c>
      <c r="H69" s="3862"/>
      <c r="I69" s="3861"/>
    </row>
    <row r="70" spans="1:9" ht="13.2" customHeight="1">
      <c r="A70" s="3862"/>
      <c r="B70" s="3862"/>
      <c r="C70" s="3877" t="s">
        <v>3742</v>
      </c>
      <c r="D70" s="3878" t="s">
        <v>3764</v>
      </c>
      <c r="E70" s="3878"/>
      <c r="F70" s="3887" t="s">
        <v>3765</v>
      </c>
      <c r="G70" s="3888">
        <v>0.06</v>
      </c>
      <c r="H70" s="3862"/>
      <c r="I70" s="3861"/>
    </row>
    <row r="71" spans="1:9" ht="13.2" customHeight="1">
      <c r="A71" s="3862" t="s">
        <v>3780</v>
      </c>
      <c r="B71" s="3862"/>
      <c r="C71" s="3901">
        <v>3</v>
      </c>
      <c r="D71" s="3875" t="s">
        <v>3766</v>
      </c>
      <c r="E71" s="3900">
        <f>E72+E77</f>
        <v>0</v>
      </c>
      <c r="F71" s="3875"/>
      <c r="G71" s="3886"/>
      <c r="H71" s="3862"/>
      <c r="I71" s="3861"/>
    </row>
    <row r="72" spans="1:9" ht="13.2" customHeight="1">
      <c r="A72" s="3863">
        <v>0.05</v>
      </c>
      <c r="B72" s="3870"/>
      <c r="C72" s="3877" t="s">
        <v>3761</v>
      </c>
      <c r="D72" s="3878" t="s">
        <v>3767</v>
      </c>
      <c r="E72" s="3878">
        <f>D9*G72/(1+G72)</f>
        <v>0</v>
      </c>
      <c r="F72" s="3889" t="s">
        <v>3779</v>
      </c>
      <c r="G72" s="3888">
        <v>0.13</v>
      </c>
      <c r="H72" s="3862"/>
      <c r="I72" s="3861"/>
    </row>
    <row r="73" spans="1:9" ht="13.2" customHeight="1">
      <c r="A73" s="3863">
        <f>SUM(A74:A76)</f>
        <v>0.2</v>
      </c>
      <c r="B73" s="3870"/>
      <c r="C73" s="3877" t="s">
        <v>3742</v>
      </c>
      <c r="D73" s="3878" t="s">
        <v>3768</v>
      </c>
      <c r="E73" s="3878">
        <f>SUM(E74:E76)</f>
        <v>0</v>
      </c>
      <c r="F73" s="3887"/>
      <c r="G73" s="3890"/>
      <c r="H73" s="3862" t="s">
        <v>3786</v>
      </c>
      <c r="I73" s="3862" t="s">
        <v>3787</v>
      </c>
    </row>
    <row r="74" spans="1:9" ht="13.2" customHeight="1">
      <c r="A74" s="3863">
        <v>0.05</v>
      </c>
      <c r="B74" s="3870" t="s">
        <v>3784</v>
      </c>
      <c r="C74" s="3902" t="s">
        <v>3769</v>
      </c>
      <c r="D74" s="3880" t="s">
        <v>3770</v>
      </c>
      <c r="E74" s="3880">
        <v>0</v>
      </c>
      <c r="F74" s="3891"/>
      <c r="G74" s="3892" t="s">
        <v>3771</v>
      </c>
      <c r="H74" s="3856">
        <v>0.25</v>
      </c>
      <c r="I74" s="3865">
        <f>A74/SUM(A74:A76)</f>
        <v>0.25</v>
      </c>
    </row>
    <row r="75" spans="1:9" ht="13.2" customHeight="1">
      <c r="A75" s="3863">
        <v>0.1</v>
      </c>
      <c r="B75" s="3870" t="s">
        <v>3782</v>
      </c>
      <c r="C75" s="3902" t="s">
        <v>3738</v>
      </c>
      <c r="D75" s="3881" t="s">
        <v>3781</v>
      </c>
      <c r="E75" s="3880">
        <f>D10*H75*G75/(1+G75)</f>
        <v>0</v>
      </c>
      <c r="F75" s="3891" t="s">
        <v>3772</v>
      </c>
      <c r="G75" s="3893">
        <v>0.09</v>
      </c>
      <c r="H75" s="3856">
        <v>0.5</v>
      </c>
      <c r="I75" s="3865">
        <f>A75/SUM(A74:A76)</f>
        <v>0.5</v>
      </c>
    </row>
    <row r="76" spans="1:9" ht="13.2" customHeight="1">
      <c r="A76" s="3863">
        <v>0.05</v>
      </c>
      <c r="B76" s="3870" t="s">
        <v>3785</v>
      </c>
      <c r="C76" s="3902" t="s">
        <v>3739</v>
      </c>
      <c r="D76" s="3880" t="s">
        <v>3747</v>
      </c>
      <c r="E76" s="3880">
        <f>D10*H76*G76/(1+G76)</f>
        <v>0</v>
      </c>
      <c r="F76" s="3891" t="s">
        <v>3748</v>
      </c>
      <c r="G76" s="3893">
        <v>0.06</v>
      </c>
      <c r="H76" s="3856">
        <v>0.25</v>
      </c>
      <c r="I76" s="3865">
        <f>1-I74-I75</f>
        <v>0.25</v>
      </c>
    </row>
    <row r="77" spans="1:9" ht="13.2" customHeight="1">
      <c r="A77" s="3863">
        <f>SUM(A78:A79)</f>
        <v>0.1</v>
      </c>
      <c r="B77" s="3870"/>
      <c r="C77" s="3877" t="s">
        <v>3744</v>
      </c>
      <c r="D77" s="3878" t="s">
        <v>3749</v>
      </c>
      <c r="E77" s="3878">
        <f>SUM(E78:E79)</f>
        <v>0</v>
      </c>
      <c r="F77" s="3887"/>
      <c r="G77" s="3890"/>
      <c r="I77" s="3861"/>
    </row>
    <row r="78" spans="1:9" ht="13.2" customHeight="1">
      <c r="A78" s="3863">
        <v>0.05</v>
      </c>
      <c r="B78" s="3870" t="s">
        <v>3775</v>
      </c>
      <c r="C78" s="3902" t="s">
        <v>3769</v>
      </c>
      <c r="D78" s="3880" t="s">
        <v>3751</v>
      </c>
      <c r="E78" s="3880">
        <f>D17*H78*G78/(1+G78)</f>
        <v>0</v>
      </c>
      <c r="F78" s="3891" t="s">
        <v>3748</v>
      </c>
      <c r="G78" s="3893">
        <v>0.06</v>
      </c>
      <c r="H78" s="3856">
        <v>0.5</v>
      </c>
      <c r="I78" s="3861"/>
    </row>
    <row r="79" spans="1:9" ht="13.2" customHeight="1" thickBot="1">
      <c r="A79" s="3863">
        <v>0.05</v>
      </c>
      <c r="B79" s="3870" t="s">
        <v>3783</v>
      </c>
      <c r="C79" s="3903" t="s">
        <v>3738</v>
      </c>
      <c r="D79" s="3883" t="s">
        <v>3752</v>
      </c>
      <c r="E79" s="3883">
        <f>D17*H79*G79/(1+G79)</f>
        <v>0</v>
      </c>
      <c r="F79" s="3894" t="s">
        <v>3753</v>
      </c>
      <c r="G79" s="3895">
        <v>0.09</v>
      </c>
      <c r="H79" s="3856">
        <v>0.5</v>
      </c>
      <c r="I79" s="3861"/>
    </row>
    <row r="80" spans="1:9" ht="13.2" customHeight="1">
      <c r="A80" s="3863">
        <f>A72+A73+A77</f>
        <v>0.35</v>
      </c>
      <c r="B80" s="3870"/>
      <c r="C80" s="3862"/>
      <c r="D80" s="3862"/>
      <c r="E80" s="3862"/>
      <c r="F80" s="3862"/>
      <c r="G80" s="3871"/>
      <c r="H80" s="3862"/>
      <c r="I80" s="3861"/>
    </row>
    <row r="81" spans="1:9" ht="13.2" customHeight="1">
      <c r="A81" s="3862"/>
      <c r="B81" s="3862"/>
      <c r="C81" s="3862"/>
      <c r="D81" s="3862"/>
      <c r="E81" s="3862"/>
      <c r="F81" s="3862"/>
      <c r="G81" s="3871"/>
      <c r="H81" s="3862"/>
      <c r="I81" s="3861"/>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1564</v>
      </c>
      <c r="B1" s="1443"/>
      <c r="C1" s="1443"/>
      <c r="D1" s="1443"/>
      <c r="E1" s="1444"/>
      <c r="F1" s="2138"/>
      <c r="G1" s="1095"/>
      <c r="H1" s="1095"/>
      <c r="I1" s="1095"/>
      <c r="J1" s="1095"/>
      <c r="K1" s="1095"/>
      <c r="L1" s="1095"/>
      <c r="M1" s="1095"/>
      <c r="N1" s="1095"/>
      <c r="O1" s="1095"/>
      <c r="P1" s="1095"/>
      <c r="Q1" s="1095"/>
      <c r="R1" s="1095"/>
      <c r="S1" s="1095"/>
    </row>
    <row r="2" spans="1:22" ht="15.6">
      <c r="A2" s="1445" t="s">
        <v>1430</v>
      </c>
      <c r="B2" s="3987">
        <f ca="1">SUMIF(B6:B13,"&lt;&gt;#ref!",B6:B13)</f>
        <v>347.15030000000002</v>
      </c>
      <c r="C2" s="1446" t="s">
        <v>1557</v>
      </c>
      <c r="D2" s="1447" t="s">
        <v>1558</v>
      </c>
      <c r="E2" s="3120">
        <f>SUM(E6:E13)</f>
        <v>262.77</v>
      </c>
      <c r="F2" s="2138"/>
      <c r="G2" s="1095"/>
      <c r="H2" s="1095"/>
      <c r="I2" s="1095"/>
      <c r="J2" s="1095"/>
      <c r="K2" s="1095"/>
      <c r="L2" s="1095"/>
      <c r="M2" s="1095"/>
      <c r="N2" s="1095"/>
      <c r="O2" s="1095"/>
      <c r="P2" s="1095"/>
      <c r="Q2" s="1095"/>
      <c r="R2" s="1095"/>
      <c r="S2" s="1095"/>
    </row>
    <row r="3" spans="1:22" ht="15.6">
      <c r="A3" s="1445" t="s">
        <v>672</v>
      </c>
      <c r="B3" s="3119">
        <f ca="1">ROUND(B2*10000/E2,0)</f>
        <v>13211</v>
      </c>
      <c r="C3" s="1446" t="s">
        <v>1565</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1559</v>
      </c>
      <c r="B5" s="4912" t="s">
        <v>1560</v>
      </c>
      <c r="C5" s="4913"/>
      <c r="D5" s="2139"/>
      <c r="E5" s="1448" t="s">
        <v>1561</v>
      </c>
      <c r="F5" s="1449" t="s">
        <v>1562</v>
      </c>
      <c r="G5" s="1095"/>
      <c r="H5" s="1095"/>
      <c r="I5" s="1095"/>
      <c r="J5" s="1095"/>
      <c r="K5" s="1095"/>
      <c r="L5" s="1095"/>
      <c r="M5" s="1095"/>
      <c r="N5" s="1095"/>
      <c r="O5" s="1095"/>
      <c r="P5" s="1095"/>
      <c r="Q5" s="1095"/>
      <c r="R5" s="1095"/>
      <c r="S5" s="1095"/>
    </row>
    <row r="6" spans="1:22" ht="14.4">
      <c r="A6" s="2042" t="str">
        <f>'数据-取费表'!AN6</f>
        <v>收益法 (元)</v>
      </c>
      <c r="B6" s="3986">
        <f ca="1">IF(F6="是",'数据-取费表'!AO6,0)</f>
        <v>347.15030000000002</v>
      </c>
      <c r="C6" s="1446" t="s">
        <v>1557</v>
      </c>
      <c r="D6" s="2140"/>
      <c r="E6" s="3121">
        <f>IF(OR(A6=0,F6="否"),0,'数据-取费表'!K6+'数据-取费表'!S6)</f>
        <v>262.77</v>
      </c>
      <c r="F6" s="1450" t="s">
        <v>1563</v>
      </c>
      <c r="G6" s="1095"/>
      <c r="H6" s="1095"/>
      <c r="I6" s="1095"/>
      <c r="J6" s="1095"/>
      <c r="K6" s="1095"/>
      <c r="L6" s="1095"/>
      <c r="M6" s="1095"/>
      <c r="N6" s="1095"/>
      <c r="O6" s="1095"/>
      <c r="P6" s="1095"/>
      <c r="Q6" s="1095"/>
      <c r="R6" s="1095"/>
      <c r="S6" s="1095"/>
    </row>
    <row r="7" spans="1:22" ht="14.4">
      <c r="A7" s="2042">
        <f>'数据-取费表'!AN7</f>
        <v>0</v>
      </c>
      <c r="B7" s="3986" t="e">
        <f ca="1">IF(F7="是",'数据-取费表'!AO7,0)</f>
        <v>#REF!</v>
      </c>
      <c r="C7" s="1446" t="s">
        <v>1557</v>
      </c>
      <c r="D7" s="2140"/>
      <c r="E7" s="3121">
        <f>IF(OR(A7=0,F7="否"),0,'数据-取费表'!K7+'数据-取费表'!S7)</f>
        <v>0</v>
      </c>
      <c r="F7" s="1450" t="s">
        <v>1563</v>
      </c>
      <c r="G7" s="1095"/>
      <c r="H7" s="1095"/>
      <c r="I7" s="1095"/>
      <c r="J7" s="1095"/>
      <c r="K7" s="1095"/>
      <c r="L7" s="1095"/>
      <c r="M7" s="1095"/>
      <c r="N7" s="1095"/>
      <c r="O7" s="1095"/>
      <c r="P7" s="1095"/>
      <c r="Q7" s="1095"/>
      <c r="R7" s="1095"/>
      <c r="S7" s="1095"/>
    </row>
    <row r="8" spans="1:22" ht="14.4">
      <c r="A8" s="2042">
        <f>'数据-取费表'!AN8</f>
        <v>0</v>
      </c>
      <c r="B8" s="3986" t="e">
        <f ca="1">IF(F8="是",'数据-取费表'!AO8,0)</f>
        <v>#REF!</v>
      </c>
      <c r="C8" s="1446" t="s">
        <v>1557</v>
      </c>
      <c r="D8" s="2140"/>
      <c r="E8" s="3121">
        <f>IF(OR(A8=0,F8="否"),0,'数据-取费表'!K8+'数据-取费表'!S8)</f>
        <v>0</v>
      </c>
      <c r="F8" s="1450" t="s">
        <v>1563</v>
      </c>
      <c r="G8" s="1095"/>
      <c r="H8" s="1095"/>
      <c r="I8" s="1095"/>
      <c r="J8" s="1095"/>
      <c r="K8" s="1095"/>
      <c r="L8" s="1095"/>
      <c r="M8" s="1095"/>
      <c r="N8" s="1095"/>
      <c r="O8" s="1095"/>
      <c r="P8" s="1095"/>
      <c r="Q8" s="1095"/>
      <c r="R8" s="1095"/>
      <c r="S8" s="1095"/>
    </row>
    <row r="9" spans="1:22" ht="14.4">
      <c r="A9" s="2042">
        <f>'数据-取费表'!AN9</f>
        <v>0</v>
      </c>
      <c r="B9" s="3986" t="e">
        <f ca="1">IF(F9="是",'数据-取费表'!AO9,0)</f>
        <v>#REF!</v>
      </c>
      <c r="C9" s="1446" t="s">
        <v>1557</v>
      </c>
      <c r="D9" s="2140"/>
      <c r="E9" s="3121">
        <f>IF(OR(A9=0,F9="否"),0,'数据-取费表'!K9+'数据-取费表'!S9)</f>
        <v>0</v>
      </c>
      <c r="F9" s="1450" t="s">
        <v>1563</v>
      </c>
      <c r="G9" s="1095"/>
      <c r="H9" s="1095"/>
      <c r="I9" s="1095"/>
      <c r="J9" s="1095"/>
      <c r="K9" s="1095"/>
      <c r="L9" s="1095"/>
      <c r="M9" s="1095"/>
      <c r="N9" s="1095"/>
      <c r="O9" s="1095"/>
      <c r="P9" s="1095"/>
      <c r="Q9" s="1095"/>
      <c r="R9" s="1095"/>
      <c r="S9" s="1095"/>
    </row>
    <row r="10" spans="1:22" ht="14.4">
      <c r="A10" s="2042">
        <f>'数据-取费表'!AN10</f>
        <v>0</v>
      </c>
      <c r="B10" s="3986" t="e">
        <f ca="1">IF(F10="是",'数据-取费表'!AO10,0)</f>
        <v>#REF!</v>
      </c>
      <c r="C10" s="1446" t="s">
        <v>1557</v>
      </c>
      <c r="D10" s="2140"/>
      <c r="E10" s="3121">
        <f>IF(OR(A10=0,F10="否"),0,'数据-取费表'!K10+'数据-取费表'!S10)</f>
        <v>0</v>
      </c>
      <c r="F10" s="1450" t="s">
        <v>1563</v>
      </c>
      <c r="G10" s="1095"/>
      <c r="H10" s="1095"/>
      <c r="I10" s="1095"/>
      <c r="J10" s="1095"/>
      <c r="K10" s="1095"/>
      <c r="L10" s="1095"/>
      <c r="M10" s="1095"/>
      <c r="N10" s="1095"/>
      <c r="O10" s="1095"/>
      <c r="P10" s="1095"/>
      <c r="Q10" s="1095"/>
      <c r="R10" s="1095"/>
      <c r="S10" s="1095"/>
    </row>
    <row r="11" spans="1:22" ht="14.4">
      <c r="A11" s="2042">
        <f>'数据-取费表'!AN11</f>
        <v>0</v>
      </c>
      <c r="B11" s="3986" t="e">
        <f ca="1">IF(F11="是",'数据-取费表'!AO11,0)</f>
        <v>#REF!</v>
      </c>
      <c r="C11" s="1446" t="s">
        <v>1557</v>
      </c>
      <c r="D11" s="2140"/>
      <c r="E11" s="3121">
        <f>IF(OR(A11=0,F11="否"),0,'数据-取费表'!K11+'数据-取费表'!S11)</f>
        <v>0</v>
      </c>
      <c r="F11" s="1450" t="s">
        <v>1563</v>
      </c>
      <c r="G11" s="1095"/>
      <c r="H11" s="1095"/>
      <c r="I11" s="1095"/>
      <c r="J11" s="1095"/>
      <c r="K11" s="1095"/>
      <c r="L11" s="1095"/>
      <c r="M11" s="1095"/>
      <c r="N11" s="1095"/>
      <c r="O11" s="1095"/>
      <c r="P11" s="1095"/>
      <c r="Q11" s="1095"/>
      <c r="R11" s="1095"/>
      <c r="S11" s="1095"/>
    </row>
    <row r="12" spans="1:22" ht="14.4">
      <c r="A12" s="2042">
        <f>'数据-取费表'!AN12</f>
        <v>0</v>
      </c>
      <c r="B12" s="3986" t="e">
        <f ca="1">IF(F12="是",'数据-取费表'!AO12,0)</f>
        <v>#REF!</v>
      </c>
      <c r="C12" s="1446" t="s">
        <v>1557</v>
      </c>
      <c r="D12" s="2140"/>
      <c r="E12" s="3121">
        <f>IF(OR(A12=0,F12="否"),0,'数据-取费表'!K12+'数据-取费表'!S12)</f>
        <v>0</v>
      </c>
      <c r="F12" s="1450" t="s">
        <v>1563</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1557</v>
      </c>
      <c r="D13" s="2141"/>
      <c r="E13" s="3121">
        <f>IF(OR(A13=0,F13="否"),0,'数据-取费表'!K13+'数据-取费表'!S13)</f>
        <v>0</v>
      </c>
      <c r="F13" s="1450" t="s">
        <v>1563</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17" t="s">
        <v>1990</v>
      </c>
      <c r="D1" s="4918"/>
      <c r="E1" s="4918"/>
      <c r="F1" s="4918"/>
      <c r="G1" s="4918"/>
      <c r="H1" s="4918"/>
      <c r="I1" s="4918"/>
      <c r="J1" s="4918"/>
      <c r="K1" s="4918"/>
      <c r="L1" s="4918"/>
      <c r="M1" s="4918"/>
      <c r="N1" s="4918"/>
      <c r="O1" s="4918"/>
      <c r="P1" s="4918"/>
      <c r="Q1" s="4918"/>
      <c r="R1" s="4918"/>
      <c r="S1" s="4919"/>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8"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14" t="s">
        <v>25</v>
      </c>
      <c r="D22" s="4915"/>
      <c r="E22" s="4915"/>
      <c r="F22" s="4915"/>
      <c r="G22" s="4915"/>
      <c r="H22" s="4915"/>
      <c r="I22" s="4915"/>
      <c r="J22" s="4915"/>
      <c r="K22" s="4915"/>
      <c r="L22" s="4915"/>
      <c r="M22" s="4915"/>
      <c r="N22" s="4915"/>
      <c r="O22" s="4915"/>
      <c r="P22" s="4915"/>
      <c r="Q22" s="4916"/>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5" zoomScaleNormal="60" zoomScaleSheetLayoutView="100" workbookViewId="0">
      <selection activeCell="C37" sqref="C37"/>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t="s">
        <v>3271</v>
      </c>
      <c r="E1" s="2701" t="s">
        <v>4126</v>
      </c>
      <c r="F1" s="1453" t="s">
        <v>4120</v>
      </c>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4055" customFormat="1" ht="28.5" customHeight="1" thickTop="1" thickBot="1">
      <c r="A2" s="859" t="s">
        <v>671</v>
      </c>
      <c r="B2" s="4023">
        <f>IF(C2="含税",D2,ROUND(D2/(1+F3),0))</f>
        <v>635.98220000000003</v>
      </c>
      <c r="C2" s="3021" t="s">
        <v>4023</v>
      </c>
      <c r="D2" s="4024">
        <f>IF(E1="项目模式",IF(E2="——",ROUND(C49*D3/10000,0),ROUND(C49*D3/10000,0)-F2),IF(E1="单套模式",IF(E2="——",ROUND(C49*D3/10000,4),ROUND(C49*D3/10000,4)-F2)))</f>
        <v>635.98220000000003</v>
      </c>
      <c r="E2" s="3032" t="s">
        <v>41</v>
      </c>
      <c r="F2" s="4025" t="e">
        <f ca="1">IF(E1="项目模式",SUMIF(INDIRECT("'"&amp;H2&amp;"'"&amp;"!A:A"),"承租人权益价值",INDIRECT("'"&amp;H2&amp;"'"&amp;"!c:c")),SUMIF(INDIRECT("'"&amp;H2&amp;"'"&amp;"!A:A"),"承租人权益价值（单套）",INDIRECT("'"&amp;H2&amp;"'"&amp;"!c:c")))</f>
        <v>#REF!</v>
      </c>
      <c r="G2" s="1456" t="s">
        <v>1570</v>
      </c>
      <c r="H2" s="1457"/>
      <c r="I2" s="4070"/>
      <c r="J2" s="4070"/>
      <c r="K2" s="1458"/>
      <c r="L2" s="2144"/>
      <c r="M2" s="2145"/>
      <c r="N2" s="2145"/>
      <c r="O2" s="2145"/>
      <c r="P2" s="1459"/>
      <c r="Q2" s="1460"/>
      <c r="R2" s="1460"/>
      <c r="S2" s="1460"/>
      <c r="T2" s="1460"/>
      <c r="U2" s="1460"/>
      <c r="V2" s="1460"/>
      <c r="W2" s="1460"/>
      <c r="X2" s="1460"/>
      <c r="Y2" s="1460"/>
      <c r="Z2" s="1460"/>
      <c r="AA2" s="1460"/>
      <c r="AB2" s="1460"/>
      <c r="AC2" s="1461"/>
    </row>
    <row r="3" spans="1:29" s="4055" customFormat="1" ht="28.5" customHeight="1" thickBot="1">
      <c r="A3" s="102" t="s">
        <v>672</v>
      </c>
      <c r="B3" s="3122">
        <f>IF(E2="——",C49,ROUND(B2*10000/D3,0))</f>
        <v>24203</v>
      </c>
      <c r="C3" s="240" t="s">
        <v>1571</v>
      </c>
      <c r="D3" s="3123">
        <f>IF(D1="",'数据-汇总表'!E3,SUMIF('数据-汇总表'!$C19:$C33,D1,'数据-汇总表'!$E19:$E33))</f>
        <v>262.77</v>
      </c>
      <c r="E3" s="3456"/>
      <c r="F3" s="4198">
        <f>IF(E3="其他类型—销项税率",9%,3%)</f>
        <v>0.03</v>
      </c>
      <c r="G3" s="4070"/>
      <c r="H3" s="4070"/>
      <c r="I3" s="4070"/>
      <c r="J3" s="4070"/>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23" t="s">
        <v>1573</v>
      </c>
      <c r="D4" s="4924"/>
      <c r="E4" s="4925" t="s">
        <v>1574</v>
      </c>
      <c r="F4" s="4926"/>
      <c r="G4" s="4923" t="s">
        <v>1575</v>
      </c>
      <c r="H4" s="4924"/>
      <c r="I4" s="4923" t="s">
        <v>1576</v>
      </c>
      <c r="J4" s="4924"/>
      <c r="K4" s="3050" t="s">
        <v>1577</v>
      </c>
      <c r="L4" s="2146"/>
      <c r="M4" s="2147"/>
      <c r="N4" s="2147"/>
      <c r="O4" s="2147"/>
      <c r="P4" s="4927" t="s">
        <v>1578</v>
      </c>
      <c r="Q4" s="4928"/>
      <c r="R4" s="4933" t="s">
        <v>1574</v>
      </c>
      <c r="S4" s="4934"/>
      <c r="T4" s="4933" t="s">
        <v>1575</v>
      </c>
      <c r="U4" s="4934"/>
      <c r="V4" s="4946" t="s">
        <v>1576</v>
      </c>
      <c r="W4" s="4946"/>
      <c r="X4" s="4619"/>
      <c r="Y4" s="4947" t="s">
        <v>1578</v>
      </c>
      <c r="Z4" s="4948"/>
      <c r="AA4" s="4920" t="s">
        <v>1574</v>
      </c>
      <c r="AB4" s="4920" t="s">
        <v>1575</v>
      </c>
      <c r="AC4" s="4920" t="s">
        <v>1576</v>
      </c>
    </row>
    <row r="5" spans="1:29">
      <c r="A5" s="244"/>
      <c r="B5" s="245"/>
      <c r="C5" s="4937" t="s">
        <v>1579</v>
      </c>
      <c r="D5" s="4938"/>
      <c r="E5" s="4939" t="str">
        <f>Sheet1!E87</f>
        <v>富力湾</v>
      </c>
      <c r="F5" s="4940"/>
      <c r="G5" s="4937" t="str">
        <f>Sheet1!E89</f>
        <v>富力湾</v>
      </c>
      <c r="H5" s="4938"/>
      <c r="I5" s="4941" t="s">
        <v>4034</v>
      </c>
      <c r="J5" s="4938"/>
      <c r="K5" s="3051"/>
      <c r="L5" s="2146"/>
      <c r="M5" s="2147"/>
      <c r="N5" s="2147"/>
      <c r="O5" s="2147"/>
      <c r="P5" s="4929"/>
      <c r="Q5" s="4930"/>
      <c r="R5" s="4935"/>
      <c r="S5" s="4936"/>
      <c r="T5" s="4935"/>
      <c r="U5" s="4936"/>
      <c r="V5" s="4946"/>
      <c r="W5" s="4946"/>
      <c r="X5" s="4619"/>
      <c r="Y5" s="4949"/>
      <c r="Z5" s="4950"/>
      <c r="AA5" s="4921"/>
      <c r="AB5" s="4921"/>
      <c r="AC5" s="4921"/>
    </row>
    <row r="6" spans="1:29" ht="15" thickBot="1">
      <c r="A6" s="246"/>
      <c r="B6" s="812"/>
      <c r="C6" s="4953" t="s">
        <v>1583</v>
      </c>
      <c r="D6" s="4954"/>
      <c r="E6" s="4955" t="s">
        <v>1583</v>
      </c>
      <c r="F6" s="4956"/>
      <c r="G6" s="4953" t="s">
        <v>1583</v>
      </c>
      <c r="H6" s="4954"/>
      <c r="I6" s="4953" t="s">
        <v>1583</v>
      </c>
      <c r="J6" s="4954"/>
      <c r="K6" s="3051" t="s">
        <v>1584</v>
      </c>
      <c r="L6" s="2146"/>
      <c r="M6" s="2147"/>
      <c r="N6" s="2147"/>
      <c r="O6" s="2147"/>
      <c r="P6" s="4931"/>
      <c r="Q6" s="4932"/>
      <c r="R6" s="4935"/>
      <c r="S6" s="4936"/>
      <c r="T6" s="4944"/>
      <c r="U6" s="4945"/>
      <c r="V6" s="4946"/>
      <c r="W6" s="4946"/>
      <c r="X6" s="4619"/>
      <c r="Y6" s="4951"/>
      <c r="Z6" s="4952"/>
      <c r="AA6" s="4922"/>
      <c r="AB6" s="4922"/>
      <c r="AC6" s="4922"/>
    </row>
    <row r="7" spans="1:29" s="49" customFormat="1" ht="15" thickBot="1">
      <c r="A7" s="248" t="s">
        <v>1585</v>
      </c>
      <c r="B7" s="249"/>
      <c r="C7" s="3052">
        <f>'数据-取费表'!B2</f>
        <v>46063</v>
      </c>
      <c r="D7" s="3128">
        <v>100</v>
      </c>
      <c r="E7" s="3082">
        <f>Sheet1!S87</f>
        <v>45741</v>
      </c>
      <c r="F7" s="4026">
        <f>SUMIF(58:58,YEAR(E7)&amp;"-"&amp;MONTH(E7),59:59)</f>
        <v>104</v>
      </c>
      <c r="G7" s="3082">
        <f>Sheet1!S89</f>
        <v>45632</v>
      </c>
      <c r="H7" s="4038">
        <f>SUMIF(58:58,YEAR(G7)&amp;"-"&amp;MONTH(G7),59:59)</f>
        <v>105</v>
      </c>
      <c r="I7" s="3082">
        <v>45846</v>
      </c>
      <c r="J7" s="4038">
        <f>SUMIF(58:58,YEAR(I7)&amp;"-"&amp;MONTH(I7),59:59)</f>
        <v>102</v>
      </c>
      <c r="K7" s="3043"/>
      <c r="L7" s="2148"/>
      <c r="M7" s="2149"/>
      <c r="N7" s="2149"/>
      <c r="O7" s="2149"/>
      <c r="P7" s="4957" t="s">
        <v>1586</v>
      </c>
      <c r="Q7" s="4958"/>
      <c r="R7" s="3923" t="s">
        <v>18</v>
      </c>
      <c r="S7" s="3405">
        <f t="shared" ref="S7:S15" si="0">F7</f>
        <v>104</v>
      </c>
      <c r="T7" s="3923" t="s">
        <v>18</v>
      </c>
      <c r="U7" s="3405">
        <f t="shared" ref="U7:U15" si="1">H7</f>
        <v>105</v>
      </c>
      <c r="V7" s="3923" t="s">
        <v>18</v>
      </c>
      <c r="W7" s="3405">
        <f t="shared" ref="W7:W15" si="2">J7</f>
        <v>102</v>
      </c>
      <c r="X7" s="504"/>
      <c r="Y7" s="4942" t="s">
        <v>1586</v>
      </c>
      <c r="Z7" s="4943"/>
      <c r="AA7" s="4612">
        <f>D7/F7</f>
        <v>0.96153846153846156</v>
      </c>
      <c r="AB7" s="4612">
        <f>D7/H7</f>
        <v>0.95238095238095233</v>
      </c>
      <c r="AC7" s="4612">
        <f>D7/J7</f>
        <v>0.98039215686274506</v>
      </c>
    </row>
    <row r="8" spans="1:29" s="49" customFormat="1" ht="15" thickBot="1">
      <c r="A8" s="248" t="s">
        <v>1587</v>
      </c>
      <c r="B8" s="249"/>
      <c r="C8" s="3053" t="s">
        <v>4108</v>
      </c>
      <c r="D8" s="3128">
        <v>100</v>
      </c>
      <c r="E8" s="3107" t="s">
        <v>4108</v>
      </c>
      <c r="F8" s="4026">
        <f>SUMIF(61:61,E8,62:62)-SUMIF(61:61,C8,62:62)+100</f>
        <v>100</v>
      </c>
      <c r="G8" s="3053" t="s">
        <v>4108</v>
      </c>
      <c r="H8" s="4038">
        <f>SUMIF(61:61,G8,62:62)-SUMIF(61:61,C8,62:62)+100</f>
        <v>100</v>
      </c>
      <c r="I8" s="3107" t="s">
        <v>4109</v>
      </c>
      <c r="J8" s="4038">
        <f>SUMIF(61:61,I8,62:62)-SUMIF(61:61,C8,62:62)+100</f>
        <v>90</v>
      </c>
      <c r="K8" s="3043"/>
      <c r="L8" s="2148"/>
      <c r="M8" s="2149"/>
      <c r="N8" s="2149"/>
      <c r="O8" s="2149"/>
      <c r="P8" s="4957" t="s">
        <v>1589</v>
      </c>
      <c r="Q8" s="4959"/>
      <c r="R8" s="3923" t="s">
        <v>18</v>
      </c>
      <c r="S8" s="3405">
        <f t="shared" si="0"/>
        <v>100</v>
      </c>
      <c r="T8" s="3923" t="s">
        <v>18</v>
      </c>
      <c r="U8" s="3405">
        <f t="shared" si="1"/>
        <v>100</v>
      </c>
      <c r="V8" s="3923" t="s">
        <v>18</v>
      </c>
      <c r="W8" s="3405">
        <f t="shared" si="2"/>
        <v>90</v>
      </c>
      <c r="X8" s="504"/>
      <c r="Y8" s="4942" t="s">
        <v>1589</v>
      </c>
      <c r="Z8" s="4943"/>
      <c r="AA8" s="4612">
        <f t="shared" ref="AA8:AA19" si="3">D8/F8</f>
        <v>1</v>
      </c>
      <c r="AB8" s="4612">
        <f t="shared" ref="AB8:AB19" si="4">D8/H8</f>
        <v>1</v>
      </c>
      <c r="AC8" s="4612">
        <f t="shared" ref="AC8:AC19" si="5">D8/J8</f>
        <v>1.1111111111111112</v>
      </c>
    </row>
    <row r="9" spans="1:29" s="49" customFormat="1" ht="14.4">
      <c r="A9" s="253" t="s">
        <v>1590</v>
      </c>
      <c r="B9" s="3033" t="s">
        <v>1591</v>
      </c>
      <c r="C9" s="4656" t="s">
        <v>4116</v>
      </c>
      <c r="D9" s="3129">
        <v>100</v>
      </c>
      <c r="E9" s="3083" t="s">
        <v>4067</v>
      </c>
      <c r="F9" s="4027">
        <f>SUMIF(63:63,E9,64:64)-SUMIF(63:63,C9,64:64)+100</f>
        <v>100</v>
      </c>
      <c r="G9" s="3112" t="s">
        <v>4067</v>
      </c>
      <c r="H9" s="4039">
        <f>SUMIF(63:63,G9,64:64)-SUMIF(63:63,C9,64:64)+100</f>
        <v>100</v>
      </c>
      <c r="I9" s="3112" t="s">
        <v>4067</v>
      </c>
      <c r="J9" s="4039">
        <f>SUMIF(63:63,I9,64:64)-SUMIF(63:63,C9,64:64)+100</f>
        <v>100</v>
      </c>
      <c r="K9" s="3043"/>
      <c r="L9" s="2148"/>
      <c r="M9" s="2149"/>
      <c r="N9" s="2149"/>
      <c r="O9" s="2149"/>
      <c r="P9" s="4960" t="s">
        <v>1592</v>
      </c>
      <c r="Q9" s="4614" t="str">
        <f t="shared" ref="Q9:Q15" si="6">B9</f>
        <v>用途</v>
      </c>
      <c r="R9" s="3923" t="s">
        <v>13</v>
      </c>
      <c r="S9" s="3405">
        <f t="shared" si="0"/>
        <v>100</v>
      </c>
      <c r="T9" s="3923" t="s">
        <v>13</v>
      </c>
      <c r="U9" s="3405">
        <f t="shared" si="1"/>
        <v>100</v>
      </c>
      <c r="V9" s="3923" t="s">
        <v>13</v>
      </c>
      <c r="W9" s="3405">
        <f t="shared" si="2"/>
        <v>100</v>
      </c>
      <c r="X9" s="504"/>
      <c r="Y9" s="4961" t="s">
        <v>1593</v>
      </c>
      <c r="Z9" s="4612" t="str">
        <f t="shared" ref="Z9:Z15" si="7">Q9</f>
        <v>用途</v>
      </c>
      <c r="AA9" s="4612">
        <f t="shared" si="3"/>
        <v>1</v>
      </c>
      <c r="AB9" s="4612">
        <f t="shared" si="4"/>
        <v>1</v>
      </c>
      <c r="AC9" s="4612">
        <f t="shared" si="5"/>
        <v>1</v>
      </c>
    </row>
    <row r="10" spans="1:29" s="259" customFormat="1" ht="28.8">
      <c r="A10" s="257"/>
      <c r="B10" s="4613"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60"/>
      <c r="Q10" s="4614" t="str">
        <f t="shared" si="6"/>
        <v>土地使用年限（年）</v>
      </c>
      <c r="R10" s="3923" t="s">
        <v>13</v>
      </c>
      <c r="S10" s="3405">
        <f t="shared" si="0"/>
        <v>100</v>
      </c>
      <c r="T10" s="3923" t="s">
        <v>13</v>
      </c>
      <c r="U10" s="3405">
        <f t="shared" si="1"/>
        <v>100</v>
      </c>
      <c r="V10" s="3923" t="s">
        <v>13</v>
      </c>
      <c r="W10" s="3405">
        <f t="shared" si="2"/>
        <v>100</v>
      </c>
      <c r="X10" s="504"/>
      <c r="Y10" s="4961"/>
      <c r="Z10" s="4612" t="str">
        <f t="shared" si="7"/>
        <v>土地使用年限（年）</v>
      </c>
      <c r="AA10" s="4612">
        <f t="shared" si="3"/>
        <v>1</v>
      </c>
      <c r="AB10" s="4612">
        <f t="shared" si="4"/>
        <v>1</v>
      </c>
      <c r="AC10" s="4612">
        <f t="shared" si="5"/>
        <v>1</v>
      </c>
    </row>
    <row r="11" spans="1:29" ht="15">
      <c r="A11" s="336"/>
      <c r="B11" s="4613"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60"/>
      <c r="Q11" s="4614" t="str">
        <f t="shared" si="6"/>
        <v>容积率</v>
      </c>
      <c r="R11" s="3923" t="s">
        <v>16</v>
      </c>
      <c r="S11" s="3405">
        <f t="shared" si="0"/>
        <v>100</v>
      </c>
      <c r="T11" s="3923" t="s">
        <v>16</v>
      </c>
      <c r="U11" s="3405">
        <f t="shared" si="1"/>
        <v>100</v>
      </c>
      <c r="V11" s="3923" t="s">
        <v>16</v>
      </c>
      <c r="W11" s="3405">
        <f t="shared" si="2"/>
        <v>100</v>
      </c>
      <c r="X11" s="504"/>
      <c r="Y11" s="4961"/>
      <c r="Z11" s="4612" t="str">
        <f t="shared" si="7"/>
        <v>容积率</v>
      </c>
      <c r="AA11" s="4612">
        <f t="shared" si="3"/>
        <v>1</v>
      </c>
      <c r="AB11" s="4612">
        <f t="shared" si="4"/>
        <v>1</v>
      </c>
      <c r="AC11" s="4612">
        <f t="shared" si="5"/>
        <v>1</v>
      </c>
    </row>
    <row r="12" spans="1:29" s="49" customFormat="1" ht="15">
      <c r="A12" s="378"/>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60"/>
      <c r="Q12" s="4614">
        <f t="shared" si="6"/>
        <v>111</v>
      </c>
      <c r="R12" s="3923" t="s">
        <v>16</v>
      </c>
      <c r="S12" s="3405">
        <f t="shared" si="0"/>
        <v>100</v>
      </c>
      <c r="T12" s="3923" t="s">
        <v>16</v>
      </c>
      <c r="U12" s="3405">
        <f t="shared" si="1"/>
        <v>100</v>
      </c>
      <c r="V12" s="3923" t="s">
        <v>16</v>
      </c>
      <c r="W12" s="3405">
        <f t="shared" si="2"/>
        <v>100</v>
      </c>
      <c r="X12" s="504"/>
      <c r="Y12" s="4961"/>
      <c r="Z12" s="4612">
        <f t="shared" si="7"/>
        <v>111</v>
      </c>
      <c r="AA12" s="4612">
        <f>D12/F12</f>
        <v>1</v>
      </c>
      <c r="AB12" s="4612">
        <f>D12/H12</f>
        <v>1</v>
      </c>
      <c r="AC12" s="4612">
        <f>D12/J12</f>
        <v>1</v>
      </c>
    </row>
    <row r="13" spans="1:29" ht="15">
      <c r="A13" s="336"/>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60"/>
      <c r="Q13" s="4614">
        <f t="shared" si="6"/>
        <v>111</v>
      </c>
      <c r="R13" s="3923" t="s">
        <v>16</v>
      </c>
      <c r="S13" s="3405">
        <f t="shared" si="0"/>
        <v>100</v>
      </c>
      <c r="T13" s="3923" t="s">
        <v>16</v>
      </c>
      <c r="U13" s="3405">
        <f t="shared" si="1"/>
        <v>100</v>
      </c>
      <c r="V13" s="3923" t="s">
        <v>16</v>
      </c>
      <c r="W13" s="3405">
        <f t="shared" si="2"/>
        <v>100</v>
      </c>
      <c r="X13" s="504"/>
      <c r="Y13" s="4961"/>
      <c r="Z13" s="4612">
        <f t="shared" si="7"/>
        <v>111</v>
      </c>
      <c r="AA13" s="4612">
        <f t="shared" si="3"/>
        <v>1</v>
      </c>
      <c r="AB13" s="4612">
        <f t="shared" si="4"/>
        <v>1</v>
      </c>
      <c r="AC13" s="4612">
        <f t="shared" si="5"/>
        <v>1</v>
      </c>
    </row>
    <row r="14" spans="1:29" ht="15.6" thickBot="1">
      <c r="A14" s="1487"/>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60"/>
      <c r="Q14" s="4614">
        <f t="shared" si="6"/>
        <v>111</v>
      </c>
      <c r="R14" s="3923" t="s">
        <v>16</v>
      </c>
      <c r="S14" s="3405">
        <f t="shared" si="0"/>
        <v>100</v>
      </c>
      <c r="T14" s="3923" t="s">
        <v>16</v>
      </c>
      <c r="U14" s="3405">
        <f t="shared" si="1"/>
        <v>100</v>
      </c>
      <c r="V14" s="3923" t="s">
        <v>16</v>
      </c>
      <c r="W14" s="3405">
        <f t="shared" si="2"/>
        <v>100</v>
      </c>
      <c r="X14" s="504"/>
      <c r="Y14" s="4961"/>
      <c r="Z14" s="4612">
        <f t="shared" si="7"/>
        <v>111</v>
      </c>
      <c r="AA14" s="4612">
        <f t="shared" si="3"/>
        <v>1</v>
      </c>
      <c r="AB14" s="4612">
        <f t="shared" si="4"/>
        <v>1</v>
      </c>
      <c r="AC14" s="4612">
        <f t="shared" si="5"/>
        <v>1</v>
      </c>
    </row>
    <row r="15" spans="1:29" ht="96.6">
      <c r="A15" s="329"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62" t="s">
        <v>1597</v>
      </c>
      <c r="Q15" s="4615" t="str">
        <f t="shared" si="6"/>
        <v>居住社区成熟度</v>
      </c>
      <c r="R15" s="4044" t="s">
        <v>16</v>
      </c>
      <c r="S15" s="3406">
        <f t="shared" si="0"/>
        <v>100</v>
      </c>
      <c r="T15" s="4044" t="s">
        <v>16</v>
      </c>
      <c r="U15" s="3406">
        <f t="shared" si="1"/>
        <v>100</v>
      </c>
      <c r="V15" s="4044" t="s">
        <v>16</v>
      </c>
      <c r="W15" s="3406">
        <f t="shared" si="2"/>
        <v>100</v>
      </c>
      <c r="X15" s="4619"/>
      <c r="Y15" s="4964" t="s">
        <v>1597</v>
      </c>
      <c r="Z15" s="4620" t="str">
        <f t="shared" si="7"/>
        <v>居住社区成熟度</v>
      </c>
      <c r="AA15" s="4620">
        <f t="shared" si="3"/>
        <v>1</v>
      </c>
      <c r="AB15" s="4620">
        <f t="shared" si="4"/>
        <v>1</v>
      </c>
      <c r="AC15" s="4620">
        <f t="shared" si="5"/>
        <v>1</v>
      </c>
    </row>
    <row r="16" spans="1:29" ht="15">
      <c r="A16" s="336"/>
      <c r="B16" s="3037"/>
      <c r="C16" s="3061"/>
      <c r="D16" s="3135"/>
      <c r="E16" s="3096"/>
      <c r="F16" s="4031"/>
      <c r="G16" s="3090"/>
      <c r="H16" s="4032"/>
      <c r="I16" s="3090"/>
      <c r="J16" s="4031"/>
      <c r="K16" s="3047"/>
      <c r="L16" s="2153"/>
      <c r="M16" s="2147"/>
      <c r="N16" s="2147"/>
      <c r="O16" s="2147"/>
      <c r="P16" s="4963"/>
      <c r="Q16" s="4615"/>
      <c r="R16" s="4044"/>
      <c r="S16" s="3406"/>
      <c r="T16" s="4044"/>
      <c r="U16" s="3406"/>
      <c r="V16" s="4044"/>
      <c r="W16" s="3406"/>
      <c r="X16" s="4619"/>
      <c r="Y16" s="4965"/>
      <c r="Z16" s="4620"/>
      <c r="AA16" s="4620">
        <v>1</v>
      </c>
      <c r="AB16" s="4620">
        <v>1</v>
      </c>
      <c r="AC16" s="4620">
        <v>1</v>
      </c>
    </row>
    <row r="17" spans="1:29" ht="82.8">
      <c r="A17" s="336"/>
      <c r="B17" s="3038" t="s">
        <v>1236</v>
      </c>
      <c r="C17" s="4617"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63"/>
      <c r="Q17" s="4615" t="str">
        <f>B17</f>
        <v>交通便捷度</v>
      </c>
      <c r="R17" s="4044" t="s">
        <v>16</v>
      </c>
      <c r="S17" s="3406">
        <f>F17</f>
        <v>100</v>
      </c>
      <c r="T17" s="4044" t="s">
        <v>16</v>
      </c>
      <c r="U17" s="3406">
        <f>H17</f>
        <v>100</v>
      </c>
      <c r="V17" s="4044" t="s">
        <v>16</v>
      </c>
      <c r="W17" s="3406">
        <f>J17</f>
        <v>100</v>
      </c>
      <c r="X17" s="4619"/>
      <c r="Y17" s="4965"/>
      <c r="Z17" s="4620" t="str">
        <f>Q17</f>
        <v>交通便捷度</v>
      </c>
      <c r="AA17" s="4620">
        <f t="shared" si="3"/>
        <v>1</v>
      </c>
      <c r="AB17" s="4620">
        <f t="shared" si="4"/>
        <v>1</v>
      </c>
      <c r="AC17" s="4620">
        <f t="shared" si="5"/>
        <v>1</v>
      </c>
    </row>
    <row r="18" spans="1:29" ht="15">
      <c r="A18" s="336"/>
      <c r="B18" s="3039"/>
      <c r="C18" s="3063"/>
      <c r="D18" s="3136"/>
      <c r="E18" s="3094"/>
      <c r="F18" s="4032"/>
      <c r="G18" s="3088"/>
      <c r="H18" s="4031"/>
      <c r="I18" s="3088"/>
      <c r="J18" s="4031"/>
      <c r="K18" s="3047"/>
      <c r="L18" s="2153"/>
      <c r="M18" s="2147"/>
      <c r="N18" s="2147"/>
      <c r="O18" s="2147"/>
      <c r="P18" s="4963"/>
      <c r="Q18" s="4615"/>
      <c r="R18" s="4044"/>
      <c r="S18" s="3406"/>
      <c r="T18" s="4044"/>
      <c r="U18" s="3406"/>
      <c r="V18" s="4044"/>
      <c r="W18" s="3406"/>
      <c r="X18" s="4619"/>
      <c r="Y18" s="4965"/>
      <c r="Z18" s="4620"/>
      <c r="AA18" s="4620">
        <v>1</v>
      </c>
      <c r="AB18" s="4620">
        <v>1</v>
      </c>
      <c r="AC18" s="4620">
        <v>1</v>
      </c>
    </row>
    <row r="19" spans="1:29" ht="41.4">
      <c r="A19" s="336"/>
      <c r="B19" s="3038" t="s">
        <v>1235</v>
      </c>
      <c r="C19" s="4617"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63"/>
      <c r="Q19" s="4615" t="str">
        <f>B19</f>
        <v>公共配套设施</v>
      </c>
      <c r="R19" s="4044" t="s">
        <v>16</v>
      </c>
      <c r="S19" s="3406">
        <f>F19</f>
        <v>100</v>
      </c>
      <c r="T19" s="4044" t="s">
        <v>16</v>
      </c>
      <c r="U19" s="3406">
        <f>H19</f>
        <v>100</v>
      </c>
      <c r="V19" s="4044" t="s">
        <v>16</v>
      </c>
      <c r="W19" s="3406">
        <f>J19</f>
        <v>100</v>
      </c>
      <c r="X19" s="4619"/>
      <c r="Y19" s="4965"/>
      <c r="Z19" s="4620" t="str">
        <f>Q19</f>
        <v>公共配套设施</v>
      </c>
      <c r="AA19" s="4620">
        <f t="shared" si="3"/>
        <v>1</v>
      </c>
      <c r="AB19" s="4620">
        <f t="shared" si="4"/>
        <v>1</v>
      </c>
      <c r="AC19" s="4620">
        <f t="shared" si="5"/>
        <v>1</v>
      </c>
    </row>
    <row r="20" spans="1:29" ht="15">
      <c r="A20" s="336"/>
      <c r="B20" s="3039"/>
      <c r="C20" s="3061"/>
      <c r="D20" s="3135"/>
      <c r="E20" s="3096"/>
      <c r="F20" s="4031"/>
      <c r="G20" s="3090"/>
      <c r="H20" s="4031"/>
      <c r="I20" s="3090"/>
      <c r="J20" s="4031"/>
      <c r="K20" s="3047"/>
      <c r="L20" s="2153"/>
      <c r="M20" s="2147"/>
      <c r="N20" s="2147"/>
      <c r="O20" s="2147"/>
      <c r="P20" s="4963"/>
      <c r="Q20" s="4615"/>
      <c r="R20" s="4044"/>
      <c r="S20" s="3406"/>
      <c r="T20" s="4044"/>
      <c r="U20" s="3406"/>
      <c r="V20" s="4044"/>
      <c r="W20" s="3406"/>
      <c r="X20" s="4619"/>
      <c r="Y20" s="4965"/>
      <c r="Z20" s="4620"/>
      <c r="AA20" s="4620">
        <v>1</v>
      </c>
      <c r="AB20" s="4620">
        <v>1</v>
      </c>
      <c r="AC20" s="4620">
        <v>1</v>
      </c>
    </row>
    <row r="21" spans="1:29" ht="27.6">
      <c r="A21" s="336"/>
      <c r="B21" s="3040" t="s">
        <v>1237</v>
      </c>
      <c r="C21" s="4617"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63"/>
      <c r="Q21" s="4615" t="str">
        <f>B21</f>
        <v>基础设施水平</v>
      </c>
      <c r="R21" s="4044" t="s">
        <v>13</v>
      </c>
      <c r="S21" s="3406">
        <f>F21</f>
        <v>100</v>
      </c>
      <c r="T21" s="4044" t="s">
        <v>13</v>
      </c>
      <c r="U21" s="3406">
        <f>H21</f>
        <v>100</v>
      </c>
      <c r="V21" s="4044" t="s">
        <v>13</v>
      </c>
      <c r="W21" s="3406">
        <f>J21</f>
        <v>100</v>
      </c>
      <c r="X21" s="4619"/>
      <c r="Y21" s="4965"/>
      <c r="Z21" s="4620" t="str">
        <f>Q21</f>
        <v>基础设施水平</v>
      </c>
      <c r="AA21" s="4620">
        <f t="shared" ref="AA21" si="8">D21/F21</f>
        <v>1</v>
      </c>
      <c r="AB21" s="4620">
        <f t="shared" ref="AB21" si="9">D21/H21</f>
        <v>1</v>
      </c>
      <c r="AC21" s="4620">
        <f t="shared" ref="AC21" si="10">D21/J21</f>
        <v>1</v>
      </c>
    </row>
    <row r="22" spans="1:29" ht="15">
      <c r="A22" s="336"/>
      <c r="B22" s="3040"/>
      <c r="C22" s="3063"/>
      <c r="D22" s="3135"/>
      <c r="E22" s="3061"/>
      <c r="F22" s="4031"/>
      <c r="G22" s="3113"/>
      <c r="H22" s="4031"/>
      <c r="I22" s="3061"/>
      <c r="J22" s="4031"/>
      <c r="K22" s="3048"/>
      <c r="L22" s="2153"/>
      <c r="M22" s="2147"/>
      <c r="N22" s="2147"/>
      <c r="O22" s="2147"/>
      <c r="P22" s="4963"/>
      <c r="Q22" s="4615"/>
      <c r="R22" s="4044"/>
      <c r="S22" s="3406"/>
      <c r="T22" s="4044"/>
      <c r="U22" s="3406"/>
      <c r="V22" s="4044"/>
      <c r="W22" s="3406"/>
      <c r="X22" s="4619"/>
      <c r="Y22" s="4965"/>
      <c r="Z22" s="4620"/>
      <c r="AA22" s="4620">
        <v>1</v>
      </c>
      <c r="AB22" s="4620">
        <v>1</v>
      </c>
      <c r="AC22" s="4620">
        <v>1</v>
      </c>
    </row>
    <row r="23" spans="1:29" ht="55.2">
      <c r="A23" s="336"/>
      <c r="B23" s="3038" t="s">
        <v>1238</v>
      </c>
      <c r="C23" s="4617"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63"/>
      <c r="Q23" s="4615" t="str">
        <f>B23</f>
        <v>自然及人文环境</v>
      </c>
      <c r="R23" s="4044" t="s">
        <v>16</v>
      </c>
      <c r="S23" s="3406">
        <f>F23</f>
        <v>100</v>
      </c>
      <c r="T23" s="4044" t="s">
        <v>16</v>
      </c>
      <c r="U23" s="3406">
        <f>H23</f>
        <v>100</v>
      </c>
      <c r="V23" s="4044" t="s">
        <v>16</v>
      </c>
      <c r="W23" s="3406">
        <f>J23</f>
        <v>100</v>
      </c>
      <c r="X23" s="4619"/>
      <c r="Y23" s="4965"/>
      <c r="Z23" s="4620" t="str">
        <f>Q23</f>
        <v>自然及人文环境</v>
      </c>
      <c r="AA23" s="4620">
        <f>D23/F23</f>
        <v>1</v>
      </c>
      <c r="AB23" s="4620">
        <f>D23/H23</f>
        <v>1</v>
      </c>
      <c r="AC23" s="4620">
        <f>D23/J23</f>
        <v>1</v>
      </c>
    </row>
    <row r="24" spans="1:29" ht="15">
      <c r="A24" s="336"/>
      <c r="B24" s="3039"/>
      <c r="C24" s="3061"/>
      <c r="D24" s="3135"/>
      <c r="E24" s="3096"/>
      <c r="F24" s="4031"/>
      <c r="G24" s="3090"/>
      <c r="H24" s="4031"/>
      <c r="I24" s="3090"/>
      <c r="J24" s="4031"/>
      <c r="K24" s="3047"/>
      <c r="L24" s="2153"/>
      <c r="M24" s="2147"/>
      <c r="N24" s="2147"/>
      <c r="O24" s="2147"/>
      <c r="P24" s="4963"/>
      <c r="Q24" s="4615"/>
      <c r="R24" s="4044"/>
      <c r="S24" s="3406"/>
      <c r="T24" s="4044"/>
      <c r="U24" s="3406"/>
      <c r="V24" s="4044"/>
      <c r="W24" s="3406"/>
      <c r="X24" s="4619"/>
      <c r="Y24" s="4965"/>
      <c r="Z24" s="4620"/>
      <c r="AA24" s="4620">
        <v>1</v>
      </c>
      <c r="AB24" s="4620">
        <v>1</v>
      </c>
      <c r="AC24" s="4620">
        <v>1</v>
      </c>
    </row>
    <row r="25" spans="1:29" ht="15">
      <c r="A25" s="336"/>
      <c r="B25" s="4613" t="s">
        <v>1598</v>
      </c>
      <c r="C25" s="3067"/>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63"/>
      <c r="Q25" s="4615" t="str">
        <f t="shared" ref="Q25:Q46" si="11">B25</f>
        <v>楼层-1</v>
      </c>
      <c r="R25" s="4044" t="s">
        <v>16</v>
      </c>
      <c r="S25" s="3406">
        <f t="shared" ref="S25:S46" si="12">F25</f>
        <v>100</v>
      </c>
      <c r="T25" s="4044" t="s">
        <v>16</v>
      </c>
      <c r="U25" s="3406">
        <f t="shared" ref="U25:U46" si="13">H25</f>
        <v>100</v>
      </c>
      <c r="V25" s="4044" t="s">
        <v>16</v>
      </c>
      <c r="W25" s="3406">
        <f t="shared" ref="W25:W46" si="14">J25</f>
        <v>100</v>
      </c>
      <c r="X25" s="4619"/>
      <c r="Y25" s="4965"/>
      <c r="Z25" s="4620" t="str">
        <f>Q25</f>
        <v>楼层-1</v>
      </c>
      <c r="AA25" s="4620">
        <f t="shared" ref="AA25:AA46" si="15">D25/F25</f>
        <v>1</v>
      </c>
      <c r="AB25" s="4620">
        <f t="shared" ref="AB25:AB46" si="16">D25/H25</f>
        <v>1</v>
      </c>
      <c r="AC25" s="4620">
        <f t="shared" ref="AC25:AC46" si="17">D25/J25</f>
        <v>1</v>
      </c>
    </row>
    <row r="26" spans="1:29" ht="15">
      <c r="A26" s="336"/>
      <c r="B26" s="4613" t="s">
        <v>1599</v>
      </c>
      <c r="C26" s="3067"/>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63"/>
      <c r="Q26" s="4615" t="str">
        <f t="shared" si="11"/>
        <v>朝向</v>
      </c>
      <c r="R26" s="4044" t="s">
        <v>16</v>
      </c>
      <c r="S26" s="3406">
        <f t="shared" si="12"/>
        <v>100</v>
      </c>
      <c r="T26" s="4044" t="s">
        <v>16</v>
      </c>
      <c r="U26" s="3406">
        <f t="shared" si="13"/>
        <v>100</v>
      </c>
      <c r="V26" s="4044" t="s">
        <v>16</v>
      </c>
      <c r="W26" s="3406">
        <f t="shared" si="14"/>
        <v>100</v>
      </c>
      <c r="X26" s="4619"/>
      <c r="Y26" s="4965"/>
      <c r="Z26" s="4620" t="str">
        <f>Q26</f>
        <v>朝向</v>
      </c>
      <c r="AA26" s="4620">
        <f t="shared" si="15"/>
        <v>1</v>
      </c>
      <c r="AB26" s="4620">
        <f t="shared" si="16"/>
        <v>1</v>
      </c>
      <c r="AC26" s="4620">
        <f t="shared" si="17"/>
        <v>1</v>
      </c>
    </row>
    <row r="27" spans="1:29" s="49" customFormat="1" ht="15">
      <c r="A27" s="378"/>
      <c r="B27" s="4653" t="s">
        <v>4117</v>
      </c>
      <c r="C27" s="3057">
        <v>2</v>
      </c>
      <c r="D27" s="3138">
        <v>100</v>
      </c>
      <c r="E27" s="3108" t="s">
        <v>4119</v>
      </c>
      <c r="F27" s="4035">
        <f>SUMIF(90:90,E27,91:91)-SUMIF(90:90,C27,91:91)+100</f>
        <v>90</v>
      </c>
      <c r="G27" s="3114" t="s">
        <v>4119</v>
      </c>
      <c r="H27" s="4035">
        <f>SUMIF(90:90,G27,91:91)-SUMIF(90:90,C27,91:91)+100</f>
        <v>90</v>
      </c>
      <c r="I27" s="3114" t="s">
        <v>4118</v>
      </c>
      <c r="J27" s="4035">
        <f>SUMIF(90:90,I27,91:91)-SUMIF(90:90,C27,91:91)+100</f>
        <v>100</v>
      </c>
      <c r="K27" s="3045"/>
      <c r="L27" s="2148"/>
      <c r="M27" s="2149"/>
      <c r="N27" s="2149"/>
      <c r="O27" s="2149"/>
      <c r="P27" s="4963"/>
      <c r="Q27" s="4614" t="str">
        <f t="shared" si="11"/>
        <v>楼层</v>
      </c>
      <c r="R27" s="3923" t="s">
        <v>16</v>
      </c>
      <c r="S27" s="3405">
        <f t="shared" si="12"/>
        <v>90</v>
      </c>
      <c r="T27" s="3923" t="s">
        <v>16</v>
      </c>
      <c r="U27" s="3405">
        <f t="shared" si="13"/>
        <v>90</v>
      </c>
      <c r="V27" s="3923" t="s">
        <v>16</v>
      </c>
      <c r="W27" s="3405">
        <f t="shared" si="14"/>
        <v>100</v>
      </c>
      <c r="X27" s="504"/>
      <c r="Y27" s="4965"/>
      <c r="Z27" s="4612" t="str">
        <f>Q27</f>
        <v>楼层</v>
      </c>
      <c r="AA27" s="4620">
        <f t="shared" si="15"/>
        <v>1.1111111111111112</v>
      </c>
      <c r="AB27" s="4620">
        <f t="shared" si="16"/>
        <v>1.1111111111111112</v>
      </c>
      <c r="AC27" s="4620">
        <f t="shared" si="17"/>
        <v>1</v>
      </c>
    </row>
    <row r="28" spans="1:29" ht="15">
      <c r="A28" s="336"/>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63"/>
      <c r="Q28" s="4615">
        <f t="shared" si="11"/>
        <v>111</v>
      </c>
      <c r="R28" s="4044" t="s">
        <v>16</v>
      </c>
      <c r="S28" s="3406">
        <f t="shared" si="12"/>
        <v>100</v>
      </c>
      <c r="T28" s="4044" t="s">
        <v>16</v>
      </c>
      <c r="U28" s="3406">
        <f t="shared" si="13"/>
        <v>100</v>
      </c>
      <c r="V28" s="4044" t="s">
        <v>16</v>
      </c>
      <c r="W28" s="3406">
        <f t="shared" si="14"/>
        <v>100</v>
      </c>
      <c r="X28" s="4619"/>
      <c r="Y28" s="4965"/>
      <c r="Z28" s="4620">
        <f t="shared" ref="Z28:Z46" si="18">Q28</f>
        <v>111</v>
      </c>
      <c r="AA28" s="4620">
        <f t="shared" si="15"/>
        <v>1</v>
      </c>
      <c r="AB28" s="4620">
        <f t="shared" si="16"/>
        <v>1</v>
      </c>
      <c r="AC28" s="4620">
        <f t="shared" si="17"/>
        <v>1</v>
      </c>
    </row>
    <row r="29" spans="1:29" ht="15">
      <c r="A29" s="336"/>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63"/>
      <c r="Q29" s="4615">
        <f t="shared" si="11"/>
        <v>111</v>
      </c>
      <c r="R29" s="4044" t="s">
        <v>16</v>
      </c>
      <c r="S29" s="3406">
        <f t="shared" si="12"/>
        <v>100</v>
      </c>
      <c r="T29" s="4044" t="s">
        <v>16</v>
      </c>
      <c r="U29" s="3406">
        <f t="shared" si="13"/>
        <v>100</v>
      </c>
      <c r="V29" s="4044" t="s">
        <v>16</v>
      </c>
      <c r="W29" s="3406">
        <f t="shared" si="14"/>
        <v>100</v>
      </c>
      <c r="X29" s="4619"/>
      <c r="Y29" s="4965"/>
      <c r="Z29" s="4620">
        <f t="shared" si="18"/>
        <v>111</v>
      </c>
      <c r="AA29" s="4620">
        <f t="shared" si="15"/>
        <v>1</v>
      </c>
      <c r="AB29" s="4620">
        <f t="shared" si="16"/>
        <v>1</v>
      </c>
      <c r="AC29" s="4620">
        <f t="shared" si="17"/>
        <v>1</v>
      </c>
    </row>
    <row r="30" spans="1:29" ht="15">
      <c r="A30" s="336"/>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63"/>
      <c r="Q30" s="4615">
        <f t="shared" si="11"/>
        <v>111</v>
      </c>
      <c r="R30" s="4044" t="s">
        <v>16</v>
      </c>
      <c r="S30" s="3406">
        <f t="shared" si="12"/>
        <v>100</v>
      </c>
      <c r="T30" s="4044" t="s">
        <v>16</v>
      </c>
      <c r="U30" s="3406">
        <f t="shared" si="13"/>
        <v>100</v>
      </c>
      <c r="V30" s="4044" t="s">
        <v>16</v>
      </c>
      <c r="W30" s="3406">
        <f t="shared" si="14"/>
        <v>100</v>
      </c>
      <c r="X30" s="4619"/>
      <c r="Y30" s="4965"/>
      <c r="Z30" s="4620">
        <f t="shared" si="18"/>
        <v>111</v>
      </c>
      <c r="AA30" s="4620">
        <f t="shared" si="15"/>
        <v>1</v>
      </c>
      <c r="AB30" s="4620">
        <f t="shared" si="16"/>
        <v>1</v>
      </c>
      <c r="AC30" s="4620">
        <f t="shared" si="17"/>
        <v>1</v>
      </c>
    </row>
    <row r="31" spans="1:29" ht="15.6" thickBot="1">
      <c r="A31" s="1487"/>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63"/>
      <c r="Q31" s="4615">
        <f t="shared" si="11"/>
        <v>111</v>
      </c>
      <c r="R31" s="4044" t="s">
        <v>16</v>
      </c>
      <c r="S31" s="3406">
        <f t="shared" si="12"/>
        <v>100</v>
      </c>
      <c r="T31" s="4044" t="s">
        <v>16</v>
      </c>
      <c r="U31" s="3406">
        <f t="shared" si="13"/>
        <v>100</v>
      </c>
      <c r="V31" s="4044" t="s">
        <v>16</v>
      </c>
      <c r="W31" s="3406">
        <f t="shared" si="14"/>
        <v>100</v>
      </c>
      <c r="X31" s="4619"/>
      <c r="Y31" s="4965"/>
      <c r="Z31" s="4620">
        <f t="shared" si="18"/>
        <v>111</v>
      </c>
      <c r="AA31" s="4620">
        <f t="shared" si="15"/>
        <v>1</v>
      </c>
      <c r="AB31" s="4620">
        <f t="shared" si="16"/>
        <v>1</v>
      </c>
      <c r="AC31" s="4620">
        <f t="shared" si="17"/>
        <v>1</v>
      </c>
    </row>
    <row r="32" spans="1:29" ht="15">
      <c r="A32" s="329" t="s">
        <v>1600</v>
      </c>
      <c r="B32" s="3033" t="s">
        <v>1601</v>
      </c>
      <c r="C32" s="3065" t="s">
        <v>4133</v>
      </c>
      <c r="D32" s="3139">
        <v>100</v>
      </c>
      <c r="E32" s="3109" t="s">
        <v>4133</v>
      </c>
      <c r="F32" s="4037">
        <f>SUMIF(100:100,E32,101:101)-SUMIF(100:100,C32,101:101)+100</f>
        <v>100</v>
      </c>
      <c r="G32" s="3065" t="s">
        <v>4133</v>
      </c>
      <c r="H32" s="4041">
        <f>SUMIF(100:100,G32,101:101)-SUMIF(100:100,C32,101:101)+100</f>
        <v>100</v>
      </c>
      <c r="I32" s="3109" t="s">
        <v>4133</v>
      </c>
      <c r="J32" s="4034">
        <f>SUMIF(100:100,I32,101:101)-SUMIF(100:100,C32,101:101)+100</f>
        <v>100</v>
      </c>
      <c r="K32" s="3044"/>
      <c r="L32" s="2153"/>
      <c r="M32" s="2147"/>
      <c r="N32" s="2147"/>
      <c r="O32" s="2147"/>
      <c r="P32" s="4966" t="s">
        <v>1602</v>
      </c>
      <c r="Q32" s="4615" t="str">
        <f t="shared" si="11"/>
        <v>建筑类型</v>
      </c>
      <c r="R32" s="4044" t="s">
        <v>16</v>
      </c>
      <c r="S32" s="3406">
        <f t="shared" si="12"/>
        <v>100</v>
      </c>
      <c r="T32" s="4044" t="s">
        <v>16</v>
      </c>
      <c r="U32" s="3406">
        <f t="shared" si="13"/>
        <v>100</v>
      </c>
      <c r="V32" s="4044" t="s">
        <v>16</v>
      </c>
      <c r="W32" s="3406">
        <f t="shared" si="14"/>
        <v>100</v>
      </c>
      <c r="X32" s="4619"/>
      <c r="Y32" s="4969" t="s">
        <v>1602</v>
      </c>
      <c r="Z32" s="4620" t="str">
        <f t="shared" si="18"/>
        <v>建筑类型</v>
      </c>
      <c r="AA32" s="4620">
        <f t="shared" si="15"/>
        <v>1</v>
      </c>
      <c r="AB32" s="4620">
        <f t="shared" si="16"/>
        <v>1</v>
      </c>
      <c r="AC32" s="4620">
        <f t="shared" si="17"/>
        <v>1</v>
      </c>
    </row>
    <row r="33" spans="1:29" s="285" customFormat="1" ht="15">
      <c r="A33" s="392"/>
      <c r="B33" s="4613" t="s">
        <v>1603</v>
      </c>
      <c r="C33" s="3124">
        <f>'数据-汇总表'!F19</f>
        <v>262.77</v>
      </c>
      <c r="D33" s="3130">
        <v>100</v>
      </c>
      <c r="E33" s="3084">
        <f>Sheet1!H87</f>
        <v>543.95000000000005</v>
      </c>
      <c r="F33" s="4028">
        <f>LOOKUP(E33,103:103,104:104)-LOOKUP(C33,103:103,104:104)+100</f>
        <v>96</v>
      </c>
      <c r="G33" s="3055">
        <f>Sheet1!H89</f>
        <v>429.49</v>
      </c>
      <c r="H33" s="4040">
        <f>LOOKUP(G33,103:103,104:104)-LOOKUP(C33,103:103,104:104)+100</f>
        <v>98</v>
      </c>
      <c r="I33" s="3084">
        <v>354.14</v>
      </c>
      <c r="J33" s="4040">
        <f>LOOKUP(I33,103:103,104:104)-LOOKUP(C33,103:103,104:104)+100</f>
        <v>98</v>
      </c>
      <c r="K33" s="3045"/>
      <c r="L33" s="2152"/>
      <c r="M33" s="2154"/>
      <c r="N33" s="2154"/>
      <c r="O33" s="2154"/>
      <c r="P33" s="4967"/>
      <c r="Q33" s="3106" t="str">
        <f t="shared" si="11"/>
        <v>项目建筑规模</v>
      </c>
      <c r="R33" s="4045" t="s">
        <v>16</v>
      </c>
      <c r="S33" s="3407">
        <f t="shared" si="12"/>
        <v>96</v>
      </c>
      <c r="T33" s="4045" t="s">
        <v>16</v>
      </c>
      <c r="U33" s="3407">
        <f t="shared" si="13"/>
        <v>98</v>
      </c>
      <c r="V33" s="4045" t="s">
        <v>16</v>
      </c>
      <c r="W33" s="3407">
        <f t="shared" si="14"/>
        <v>98</v>
      </c>
      <c r="X33" s="507"/>
      <c r="Y33" s="4969"/>
      <c r="Z33" s="508" t="str">
        <f t="shared" si="18"/>
        <v>项目建筑规模</v>
      </c>
      <c r="AA33" s="4620">
        <f t="shared" si="15"/>
        <v>1.0416666666666667</v>
      </c>
      <c r="AB33" s="4620">
        <f t="shared" si="16"/>
        <v>1.0204081632653061</v>
      </c>
      <c r="AC33" s="4620">
        <f t="shared" si="17"/>
        <v>1.0204081632653061</v>
      </c>
    </row>
    <row r="34" spans="1:29" ht="15">
      <c r="A34" s="398"/>
      <c r="B34" s="4613" t="s">
        <v>1604</v>
      </c>
      <c r="C34" s="3067" t="s">
        <v>4135</v>
      </c>
      <c r="D34" s="3132">
        <v>100</v>
      </c>
      <c r="E34" s="3110" t="s">
        <v>4135</v>
      </c>
      <c r="F34" s="4037">
        <f>SUMIF(105:105,E34,106:106)-SUMIF(105:105,C34,106:106)+100</f>
        <v>100</v>
      </c>
      <c r="G34" s="3067" t="s">
        <v>4135</v>
      </c>
      <c r="H34" s="4034">
        <f>SUMIF(105:105,G34,106:106)-SUMIF(105:105,C34,106:106)+100</f>
        <v>100</v>
      </c>
      <c r="I34" s="3110" t="s">
        <v>4135</v>
      </c>
      <c r="J34" s="4034">
        <f>SUMIF(105:105,I34,106:106)-SUMIF(105:105,C34,106:106)+100</f>
        <v>100</v>
      </c>
      <c r="K34" s="3044"/>
      <c r="L34" s="2153"/>
      <c r="M34" s="2147"/>
      <c r="N34" s="2147"/>
      <c r="O34" s="2147"/>
      <c r="P34" s="4967"/>
      <c r="Q34" s="4615" t="str">
        <f t="shared" si="11"/>
        <v>建筑结构</v>
      </c>
      <c r="R34" s="4044" t="s">
        <v>16</v>
      </c>
      <c r="S34" s="3406">
        <f t="shared" si="12"/>
        <v>100</v>
      </c>
      <c r="T34" s="4044" t="s">
        <v>16</v>
      </c>
      <c r="U34" s="3406">
        <f t="shared" si="13"/>
        <v>100</v>
      </c>
      <c r="V34" s="4044" t="s">
        <v>16</v>
      </c>
      <c r="W34" s="3406">
        <f t="shared" si="14"/>
        <v>100</v>
      </c>
      <c r="X34" s="4619"/>
      <c r="Y34" s="4969"/>
      <c r="Z34" s="4620" t="str">
        <f t="shared" si="18"/>
        <v>建筑结构</v>
      </c>
      <c r="AA34" s="4620">
        <f t="shared" si="15"/>
        <v>1</v>
      </c>
      <c r="AB34" s="4620">
        <f t="shared" si="16"/>
        <v>1</v>
      </c>
      <c r="AC34" s="4620">
        <f t="shared" si="17"/>
        <v>1</v>
      </c>
    </row>
    <row r="35" spans="1:29" ht="15">
      <c r="A35" s="398"/>
      <c r="B35" s="4613"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67"/>
      <c r="Q35" s="4615" t="str">
        <f t="shared" si="11"/>
        <v>建筑品质</v>
      </c>
      <c r="R35" s="4044" t="s">
        <v>16</v>
      </c>
      <c r="S35" s="3406">
        <f t="shared" si="12"/>
        <v>100</v>
      </c>
      <c r="T35" s="4044" t="s">
        <v>16</v>
      </c>
      <c r="U35" s="3406">
        <f t="shared" si="13"/>
        <v>100</v>
      </c>
      <c r="V35" s="4044" t="s">
        <v>16</v>
      </c>
      <c r="W35" s="3406">
        <f t="shared" si="14"/>
        <v>100</v>
      </c>
      <c r="X35" s="4619"/>
      <c r="Y35" s="4969"/>
      <c r="Z35" s="4620" t="str">
        <f t="shared" si="18"/>
        <v>建筑品质</v>
      </c>
      <c r="AA35" s="4620">
        <f t="shared" si="15"/>
        <v>1</v>
      </c>
      <c r="AB35" s="4620">
        <f t="shared" si="16"/>
        <v>1</v>
      </c>
      <c r="AC35" s="4620">
        <f t="shared" si="17"/>
        <v>1</v>
      </c>
    </row>
    <row r="36" spans="1:29" ht="15">
      <c r="A36" s="398"/>
      <c r="B36" s="4613"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67"/>
      <c r="Q36" s="4615" t="str">
        <f t="shared" si="11"/>
        <v>公共部分装修</v>
      </c>
      <c r="R36" s="4044" t="s">
        <v>16</v>
      </c>
      <c r="S36" s="3406">
        <f t="shared" si="12"/>
        <v>100</v>
      </c>
      <c r="T36" s="4044" t="s">
        <v>16</v>
      </c>
      <c r="U36" s="3406">
        <f t="shared" si="13"/>
        <v>100</v>
      </c>
      <c r="V36" s="4044" t="s">
        <v>16</v>
      </c>
      <c r="W36" s="3406">
        <f t="shared" si="14"/>
        <v>100</v>
      </c>
      <c r="X36" s="4619"/>
      <c r="Y36" s="4969"/>
      <c r="Z36" s="4620" t="str">
        <f t="shared" si="18"/>
        <v>公共部分装修</v>
      </c>
      <c r="AA36" s="4620">
        <f t="shared" si="15"/>
        <v>1</v>
      </c>
      <c r="AB36" s="4620">
        <f t="shared" si="16"/>
        <v>1</v>
      </c>
      <c r="AC36" s="4620">
        <f t="shared" si="17"/>
        <v>1</v>
      </c>
    </row>
    <row r="37" spans="1:29" s="49" customFormat="1" ht="15">
      <c r="A37" s="287"/>
      <c r="B37" s="4613" t="s">
        <v>1607</v>
      </c>
      <c r="C37" s="3069">
        <v>0.6</v>
      </c>
      <c r="D37" s="3130">
        <v>100</v>
      </c>
      <c r="E37" s="3069">
        <v>0.75</v>
      </c>
      <c r="F37" s="4028">
        <f>LOOKUP(E37,112:112,113:113)-LOOKUP(C37,112:112,113:113)+100</f>
        <v>103</v>
      </c>
      <c r="G37" s="3117">
        <v>0.75</v>
      </c>
      <c r="H37" s="4040">
        <f>LOOKUP(G37,112:112,113:113)-LOOKUP(C37,112:112,113:113)+100</f>
        <v>103</v>
      </c>
      <c r="I37" s="3118">
        <v>0.6</v>
      </c>
      <c r="J37" s="4040">
        <f>LOOKUP(I37,112:112,113:113)-LOOKUP(C37,112:112,113:113)+100</f>
        <v>100</v>
      </c>
      <c r="K37" s="3044">
        <v>1</v>
      </c>
      <c r="L37" s="2148"/>
      <c r="M37" s="2149"/>
      <c r="N37" s="2149"/>
      <c r="O37" s="2149"/>
      <c r="P37" s="4967"/>
      <c r="Q37" s="4614" t="str">
        <f t="shared" si="11"/>
        <v>成新度</v>
      </c>
      <c r="R37" s="3923" t="s">
        <v>16</v>
      </c>
      <c r="S37" s="3405">
        <f t="shared" si="12"/>
        <v>103</v>
      </c>
      <c r="T37" s="3923" t="s">
        <v>16</v>
      </c>
      <c r="U37" s="3405">
        <f t="shared" si="13"/>
        <v>103</v>
      </c>
      <c r="V37" s="3923" t="s">
        <v>16</v>
      </c>
      <c r="W37" s="3405">
        <f t="shared" si="14"/>
        <v>100</v>
      </c>
      <c r="X37" s="504"/>
      <c r="Y37" s="4969"/>
      <c r="Z37" s="4612" t="str">
        <f t="shared" si="18"/>
        <v>成新度</v>
      </c>
      <c r="AA37" s="4612">
        <f t="shared" si="15"/>
        <v>0.970873786407767</v>
      </c>
      <c r="AB37" s="4612">
        <f t="shared" si="16"/>
        <v>0.970873786407767</v>
      </c>
      <c r="AC37" s="4612">
        <f t="shared" si="17"/>
        <v>1</v>
      </c>
    </row>
    <row r="38" spans="1:29" ht="15">
      <c r="A38" s="398"/>
      <c r="B38" s="4613"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67" t="s">
        <v>1602</v>
      </c>
      <c r="Q38" s="4615" t="str">
        <f t="shared" si="11"/>
        <v>物业管理</v>
      </c>
      <c r="R38" s="4044" t="s">
        <v>16</v>
      </c>
      <c r="S38" s="3406">
        <f t="shared" si="12"/>
        <v>100</v>
      </c>
      <c r="T38" s="4044" t="s">
        <v>16</v>
      </c>
      <c r="U38" s="3406">
        <f t="shared" si="13"/>
        <v>100</v>
      </c>
      <c r="V38" s="4044" t="s">
        <v>16</v>
      </c>
      <c r="W38" s="3406">
        <f t="shared" si="14"/>
        <v>100</v>
      </c>
      <c r="X38" s="4619"/>
      <c r="Y38" s="4969" t="s">
        <v>1602</v>
      </c>
      <c r="Z38" s="4620" t="str">
        <f t="shared" si="18"/>
        <v>物业管理</v>
      </c>
      <c r="AA38" s="4620">
        <f t="shared" si="15"/>
        <v>1</v>
      </c>
      <c r="AB38" s="4620">
        <f t="shared" si="16"/>
        <v>1</v>
      </c>
      <c r="AC38" s="4620">
        <f t="shared" si="17"/>
        <v>1</v>
      </c>
    </row>
    <row r="39" spans="1:29" ht="15">
      <c r="A39" s="398"/>
      <c r="B39" s="4613"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67"/>
      <c r="Q39" s="4615" t="str">
        <f t="shared" si="11"/>
        <v>市政基础设施</v>
      </c>
      <c r="R39" s="4044" t="s">
        <v>16</v>
      </c>
      <c r="S39" s="3406">
        <f t="shared" si="12"/>
        <v>100</v>
      </c>
      <c r="T39" s="4044" t="s">
        <v>16</v>
      </c>
      <c r="U39" s="3406">
        <f t="shared" si="13"/>
        <v>100</v>
      </c>
      <c r="V39" s="4044" t="s">
        <v>16</v>
      </c>
      <c r="W39" s="3406">
        <f t="shared" si="14"/>
        <v>100</v>
      </c>
      <c r="X39" s="4619"/>
      <c r="Y39" s="4969"/>
      <c r="Z39" s="4620" t="str">
        <f t="shared" si="18"/>
        <v>市政基础设施</v>
      </c>
      <c r="AA39" s="4620">
        <f t="shared" si="15"/>
        <v>1</v>
      </c>
      <c r="AB39" s="4620">
        <f t="shared" si="16"/>
        <v>1</v>
      </c>
      <c r="AC39" s="4620">
        <f t="shared" si="17"/>
        <v>1</v>
      </c>
    </row>
    <row r="40" spans="1:29" ht="15">
      <c r="A40" s="398"/>
      <c r="B40" s="4613"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67"/>
      <c r="Q40" s="4615" t="str">
        <f t="shared" si="11"/>
        <v>房型</v>
      </c>
      <c r="R40" s="4044" t="s">
        <v>16</v>
      </c>
      <c r="S40" s="3406">
        <f t="shared" si="12"/>
        <v>100</v>
      </c>
      <c r="T40" s="4044" t="s">
        <v>16</v>
      </c>
      <c r="U40" s="3406">
        <f t="shared" si="13"/>
        <v>100</v>
      </c>
      <c r="V40" s="4044" t="s">
        <v>16</v>
      </c>
      <c r="W40" s="3406">
        <f t="shared" si="14"/>
        <v>100</v>
      </c>
      <c r="X40" s="4619"/>
      <c r="Y40" s="4969"/>
      <c r="Z40" s="4620" t="str">
        <f t="shared" si="18"/>
        <v>房型</v>
      </c>
      <c r="AA40" s="4620">
        <f t="shared" si="15"/>
        <v>1</v>
      </c>
      <c r="AB40" s="4620">
        <f t="shared" si="16"/>
        <v>1</v>
      </c>
      <c r="AC40" s="4620">
        <f t="shared" si="17"/>
        <v>1</v>
      </c>
    </row>
    <row r="41" spans="1:29" s="285" customFormat="1" ht="28.8">
      <c r="A41" s="392"/>
      <c r="B41" s="4613"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67"/>
      <c r="Q41" s="3106" t="str">
        <f t="shared" si="11"/>
        <v>单套/主力户型建筑面积</v>
      </c>
      <c r="R41" s="4045" t="s">
        <v>16</v>
      </c>
      <c r="S41" s="3407">
        <f t="shared" si="12"/>
        <v>100</v>
      </c>
      <c r="T41" s="4045" t="s">
        <v>16</v>
      </c>
      <c r="U41" s="3407">
        <f t="shared" si="13"/>
        <v>100</v>
      </c>
      <c r="V41" s="4045" t="s">
        <v>16</v>
      </c>
      <c r="W41" s="3407">
        <f t="shared" si="14"/>
        <v>100</v>
      </c>
      <c r="X41" s="507"/>
      <c r="Y41" s="4969"/>
      <c r="Z41" s="508" t="str">
        <f t="shared" si="18"/>
        <v>单套/主力户型建筑面积</v>
      </c>
      <c r="AA41" s="4620">
        <f t="shared" si="15"/>
        <v>1</v>
      </c>
      <c r="AB41" s="4620">
        <f t="shared" si="16"/>
        <v>1</v>
      </c>
      <c r="AC41" s="4620">
        <f t="shared" si="17"/>
        <v>1</v>
      </c>
    </row>
    <row r="42" spans="1:29" ht="15">
      <c r="A42" s="398"/>
      <c r="B42" s="4613" t="s">
        <v>1612</v>
      </c>
      <c r="C42" s="3068" t="s">
        <v>4127</v>
      </c>
      <c r="D42" s="3132">
        <v>100</v>
      </c>
      <c r="E42" s="3111" t="s">
        <v>4127</v>
      </c>
      <c r="F42" s="4037">
        <f>SUMIF(122:122,E42,123:123)-SUMIF(122:122,C42,123:123)+100</f>
        <v>100</v>
      </c>
      <c r="G42" s="3068" t="s">
        <v>4131</v>
      </c>
      <c r="H42" s="4034">
        <f>SUMIF(122:122,G42,123:123)-SUMIF(122:122,C42,123:123)+100</f>
        <v>98</v>
      </c>
      <c r="I42" s="3111" t="s">
        <v>4127</v>
      </c>
      <c r="J42" s="4034">
        <f>SUMIF(122:122,I42,123:123)-SUMIF(122:122,C42,123:123)+100</f>
        <v>100</v>
      </c>
      <c r="K42" s="3044">
        <v>1</v>
      </c>
      <c r="L42" s="2153"/>
      <c r="M42" s="2147"/>
      <c r="N42" s="2147"/>
      <c r="O42" s="2147"/>
      <c r="P42" s="4967"/>
      <c r="Q42" s="4615" t="str">
        <f t="shared" si="11"/>
        <v>内部装修</v>
      </c>
      <c r="R42" s="4044" t="s">
        <v>16</v>
      </c>
      <c r="S42" s="3406">
        <f t="shared" si="12"/>
        <v>100</v>
      </c>
      <c r="T42" s="4044" t="s">
        <v>16</v>
      </c>
      <c r="U42" s="3406">
        <f t="shared" si="13"/>
        <v>98</v>
      </c>
      <c r="V42" s="4044" t="s">
        <v>16</v>
      </c>
      <c r="W42" s="3406">
        <f t="shared" si="14"/>
        <v>100</v>
      </c>
      <c r="X42" s="4619"/>
      <c r="Y42" s="4969"/>
      <c r="Z42" s="4620" t="str">
        <f t="shared" si="18"/>
        <v>内部装修</v>
      </c>
      <c r="AA42" s="4620">
        <f t="shared" si="15"/>
        <v>1</v>
      </c>
      <c r="AB42" s="4620">
        <f t="shared" si="16"/>
        <v>1.0204081632653061</v>
      </c>
      <c r="AC42" s="4620">
        <f t="shared" si="17"/>
        <v>1</v>
      </c>
    </row>
    <row r="43" spans="1:29" ht="28.8">
      <c r="A43" s="398"/>
      <c r="B43" s="4613"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67"/>
      <c r="Q43" s="4615" t="str">
        <f t="shared" si="11"/>
        <v>内部装修维护情况</v>
      </c>
      <c r="R43" s="4044" t="s">
        <v>16</v>
      </c>
      <c r="S43" s="3406">
        <f t="shared" si="12"/>
        <v>100</v>
      </c>
      <c r="T43" s="4044" t="s">
        <v>16</v>
      </c>
      <c r="U43" s="3406">
        <f t="shared" si="13"/>
        <v>100</v>
      </c>
      <c r="V43" s="4044" t="s">
        <v>16</v>
      </c>
      <c r="W43" s="3406">
        <f t="shared" si="14"/>
        <v>100</v>
      </c>
      <c r="X43" s="4619"/>
      <c r="Y43" s="4969"/>
      <c r="Z43" s="4620" t="str">
        <f t="shared" si="18"/>
        <v>内部装修维护情况</v>
      </c>
      <c r="AA43" s="4620">
        <f t="shared" si="15"/>
        <v>1</v>
      </c>
      <c r="AB43" s="4620">
        <f t="shared" si="16"/>
        <v>1</v>
      </c>
      <c r="AC43" s="4620">
        <f t="shared" si="17"/>
        <v>1</v>
      </c>
    </row>
    <row r="44" spans="1:29" s="49" customFormat="1" ht="15">
      <c r="A44" s="287"/>
      <c r="B44" s="4653" t="s">
        <v>4111</v>
      </c>
      <c r="C44" s="4654" t="s">
        <v>4112</v>
      </c>
      <c r="D44" s="3130">
        <v>100</v>
      </c>
      <c r="E44" s="4654" t="s">
        <v>4113</v>
      </c>
      <c r="F44" s="4028">
        <f>SUMIF(126:126,E44,127:127)-SUMIF(126:126,C44,127:127)+100</f>
        <v>105</v>
      </c>
      <c r="G44" s="4654" t="s">
        <v>4114</v>
      </c>
      <c r="H44" s="4040">
        <f>SUMIF(126:126,G44,127:127)-SUMIF(126:126,C44,127:127)+100</f>
        <v>105</v>
      </c>
      <c r="I44" s="4654" t="s">
        <v>4112</v>
      </c>
      <c r="J44" s="4040">
        <f>SUMIF(126:126,I44,127:127)-SUMIF(126:126,C44,127:127)+100</f>
        <v>100</v>
      </c>
      <c r="K44" s="3045"/>
      <c r="L44" s="2148"/>
      <c r="M44" s="2149"/>
      <c r="N44" s="2149"/>
      <c r="O44" s="2149"/>
      <c r="P44" s="4967"/>
      <c r="Q44" s="4614" t="str">
        <f t="shared" si="11"/>
        <v>地下室</v>
      </c>
      <c r="R44" s="3923" t="s">
        <v>16</v>
      </c>
      <c r="S44" s="3405">
        <f t="shared" si="12"/>
        <v>105</v>
      </c>
      <c r="T44" s="3923" t="s">
        <v>16</v>
      </c>
      <c r="U44" s="3405">
        <f t="shared" si="13"/>
        <v>105</v>
      </c>
      <c r="V44" s="3923" t="s">
        <v>16</v>
      </c>
      <c r="W44" s="3405">
        <f t="shared" si="14"/>
        <v>100</v>
      </c>
      <c r="X44" s="504"/>
      <c r="Y44" s="4969"/>
      <c r="Z44" s="4612" t="str">
        <f t="shared" si="18"/>
        <v>地下室</v>
      </c>
      <c r="AA44" s="4612">
        <f t="shared" si="15"/>
        <v>0.95238095238095233</v>
      </c>
      <c r="AB44" s="4612">
        <f t="shared" si="16"/>
        <v>0.95238095238095233</v>
      </c>
      <c r="AC44" s="4612">
        <f t="shared" si="17"/>
        <v>1</v>
      </c>
    </row>
    <row r="45" spans="1:29" ht="15">
      <c r="A45" s="398"/>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67"/>
      <c r="Q45" s="4615">
        <f t="shared" si="11"/>
        <v>111</v>
      </c>
      <c r="R45" s="4044" t="s">
        <v>16</v>
      </c>
      <c r="S45" s="3406">
        <f t="shared" si="12"/>
        <v>100</v>
      </c>
      <c r="T45" s="4044" t="s">
        <v>16</v>
      </c>
      <c r="U45" s="3406">
        <f t="shared" si="13"/>
        <v>100</v>
      </c>
      <c r="V45" s="4044" t="s">
        <v>16</v>
      </c>
      <c r="W45" s="3406">
        <f t="shared" si="14"/>
        <v>100</v>
      </c>
      <c r="X45" s="4619"/>
      <c r="Y45" s="4969"/>
      <c r="Z45" s="4620">
        <f t="shared" si="18"/>
        <v>111</v>
      </c>
      <c r="AA45" s="4620">
        <f t="shared" si="15"/>
        <v>1</v>
      </c>
      <c r="AB45" s="4620">
        <f t="shared" si="16"/>
        <v>1</v>
      </c>
      <c r="AC45" s="4620">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68"/>
      <c r="Q46" s="4615">
        <f t="shared" si="11"/>
        <v>111</v>
      </c>
      <c r="R46" s="4044" t="s">
        <v>15</v>
      </c>
      <c r="S46" s="3406">
        <f t="shared" si="12"/>
        <v>100</v>
      </c>
      <c r="T46" s="4044" t="s">
        <v>15</v>
      </c>
      <c r="U46" s="3406">
        <f t="shared" si="13"/>
        <v>100</v>
      </c>
      <c r="V46" s="4044" t="s">
        <v>15</v>
      </c>
      <c r="W46" s="3406">
        <f t="shared" si="14"/>
        <v>100</v>
      </c>
      <c r="X46" s="4619"/>
      <c r="Y46" s="4970"/>
      <c r="Z46" s="4620">
        <f t="shared" si="18"/>
        <v>111</v>
      </c>
      <c r="AA46" s="4620">
        <f t="shared" si="15"/>
        <v>1</v>
      </c>
      <c r="AB46" s="4620">
        <f t="shared" si="16"/>
        <v>1</v>
      </c>
      <c r="AC46" s="4620">
        <f t="shared" si="17"/>
        <v>1</v>
      </c>
    </row>
    <row r="47" spans="1:29" ht="14.4">
      <c r="A47" s="292" t="s">
        <v>1614</v>
      </c>
      <c r="B47" s="293"/>
      <c r="C47" s="808" t="s">
        <v>14</v>
      </c>
      <c r="D47" s="809"/>
      <c r="E47" s="3458">
        <f>Sheet1!P87</f>
        <v>24138</v>
      </c>
      <c r="F47" s="810"/>
      <c r="G47" s="3459">
        <f>Sheet1!P89</f>
        <v>24820</v>
      </c>
      <c r="H47" s="811"/>
      <c r="I47" s="3458">
        <f>Sheet1!F128</f>
        <v>20227</v>
      </c>
      <c r="J47" s="811"/>
      <c r="K47" s="3049"/>
      <c r="L47" s="2155"/>
      <c r="M47" s="2156"/>
      <c r="N47" s="2147"/>
      <c r="O47" s="2156"/>
      <c r="P47" s="4971" t="str">
        <f>A47</f>
        <v>成交单价（元/平方米）</v>
      </c>
      <c r="Q47" s="4971"/>
      <c r="R47" s="4972">
        <f>E47</f>
        <v>24138</v>
      </c>
      <c r="S47" s="4972"/>
      <c r="T47" s="4972">
        <f>G47</f>
        <v>24820</v>
      </c>
      <c r="U47" s="4972"/>
      <c r="V47" s="4972">
        <f>I47</f>
        <v>20227</v>
      </c>
      <c r="W47" s="4972"/>
      <c r="X47" s="493"/>
      <c r="Y47" s="509"/>
      <c r="Z47" s="493"/>
      <c r="AA47" s="493"/>
      <c r="AB47" s="493"/>
      <c r="AC47" s="493"/>
    </row>
    <row r="48" spans="1:29" ht="15" thickBot="1">
      <c r="A48" s="295" t="s">
        <v>1615</v>
      </c>
      <c r="B48" s="296"/>
      <c r="C48" s="4042">
        <f>R49</f>
        <v>24203</v>
      </c>
      <c r="D48" s="4199" t="s">
        <v>2041</v>
      </c>
      <c r="E48" s="3127">
        <f>R48</f>
        <v>24839</v>
      </c>
      <c r="F48" s="3042"/>
      <c r="G48" s="3126">
        <f>T48</f>
        <v>25287</v>
      </c>
      <c r="H48" s="3042"/>
      <c r="I48" s="3127">
        <f>V48</f>
        <v>22483</v>
      </c>
      <c r="J48" s="3042"/>
      <c r="K48" s="3097">
        <f>F48+H48+J48</f>
        <v>0</v>
      </c>
      <c r="L48" s="2155"/>
      <c r="M48" s="2156"/>
      <c r="N48" s="2156"/>
      <c r="O48" s="2156"/>
      <c r="P48" s="4971" t="str">
        <f>A48</f>
        <v>比较价值（元/平方米）</v>
      </c>
      <c r="Q48" s="4971"/>
      <c r="R48" s="4972">
        <f>IF(F1="售价",ROUND(PRODUCT(R47,AA7:AA46),0),ROUND(PRODUCT(R47,AA7:AA46),1))</f>
        <v>24839</v>
      </c>
      <c r="S48" s="4972"/>
      <c r="T48" s="4972">
        <f>IF(F1="售价",ROUND(PRODUCT(T47,AB7:AB46),0),ROUND(PRODUCT(T47,AB7:AB46),1))</f>
        <v>25287</v>
      </c>
      <c r="U48" s="4972"/>
      <c r="V48" s="4972">
        <f>IF(F1="售价",ROUND(PRODUCT(V47,AC7:AC46),0),ROUND(PRODUCT(V47,AC7:AC46),1))</f>
        <v>22483</v>
      </c>
      <c r="W48" s="4972"/>
      <c r="X48" s="493"/>
      <c r="Y48" s="493"/>
      <c r="Z48" s="493"/>
      <c r="AA48" s="493"/>
      <c r="AB48" s="493"/>
      <c r="AC48" s="493"/>
    </row>
    <row r="49" spans="1:29" ht="15" thickBot="1">
      <c r="A49" s="297" t="s">
        <v>1616</v>
      </c>
      <c r="B49" s="298"/>
      <c r="C49" s="4043">
        <f>R49</f>
        <v>24203</v>
      </c>
      <c r="D49" s="812"/>
      <c r="E49" s="812"/>
      <c r="F49" s="812"/>
      <c r="G49" s="812"/>
      <c r="H49" s="812"/>
      <c r="I49" s="812"/>
      <c r="J49" s="812"/>
      <c r="K49" s="1474"/>
      <c r="L49" s="2155"/>
      <c r="M49" s="2156"/>
      <c r="N49" s="2156"/>
      <c r="O49" s="2156"/>
      <c r="P49" s="4973" t="str">
        <f>A49</f>
        <v>估价对象XX用房的比较价值（楼面单价，元/平方米）</v>
      </c>
      <c r="Q49" s="4974"/>
      <c r="R49" s="4975">
        <f>IF(F1="售价",ROUND(IF(D48="简单平均",AVERAGE(R48:V48),R48*F48+T48*H48+V48*J48),0),ROUND(IF(D48="简单平均",AVERAGE(R48:V48),R48*F48+T48*H48+V48*J48),1))</f>
        <v>24203</v>
      </c>
      <c r="S49" s="4975"/>
      <c r="T49" s="4975"/>
      <c r="U49" s="4975"/>
      <c r="V49" s="4975"/>
      <c r="W49" s="497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2.9041345596155344E-2</v>
      </c>
      <c r="F52" s="305" t="str">
        <f>IF(OR(E52&gt;=0.3,E52&lt;=-0.3),"超过30%","")</f>
        <v/>
      </c>
      <c r="G52" s="304">
        <f>IF(G47&lt;G48,G48/G47-1,G47/G48-1)</f>
        <v>1.8815471394037164E-2</v>
      </c>
      <c r="H52" s="305" t="str">
        <f>IF(OR(G52&gt;=0.3,G52&lt;=-0.3),"超过30%","")</f>
        <v/>
      </c>
      <c r="I52" s="304">
        <f>IF(I47&lt;I48,I48/I47-1,I47/I48-1)</f>
        <v>0.11153408810006438</v>
      </c>
      <c r="J52" s="305" t="str">
        <f>IF(OR(I52&gt;=0.3,I52&lt;=-0.3),"超过30%","")</f>
        <v/>
      </c>
      <c r="K52" s="2161"/>
      <c r="L52" s="2157"/>
      <c r="M52" s="2156"/>
      <c r="N52" s="2156"/>
      <c r="O52" s="2156"/>
    </row>
    <row r="53" spans="1:29" ht="13.5" customHeight="1">
      <c r="A53" s="2156"/>
      <c r="B53" s="2156"/>
      <c r="C53" s="302" t="s">
        <v>1618</v>
      </c>
      <c r="D53" s="306"/>
      <c r="E53" s="304">
        <f>IF(E48&lt;G48,G48/E48-1,E48/G48-1)</f>
        <v>1.803615282418769E-2</v>
      </c>
      <c r="F53" s="305" t="str">
        <f>IF(OR(E53&gt;=0.2,E53&lt;=-0.2),"超过20%","")</f>
        <v/>
      </c>
      <c r="G53" s="304">
        <f>IF(G48&lt;I48,I48/G48-1,G48/I48-1)</f>
        <v>0.12471645243072538</v>
      </c>
      <c r="H53" s="305" t="str">
        <f>IF(OR(G53&gt;=0.2,G53&lt;=-0.2),"超过20%","")</f>
        <v/>
      </c>
      <c r="I53" s="304">
        <f>IF(I48&lt;E48,E48/I48-1,I48/E48-1)</f>
        <v>0.10479028599386209</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2.8254204987985698E-2</v>
      </c>
      <c r="F54" s="305" t="str">
        <f>IF(OR(E54&gt;=0.3,E54&lt;=-0.3),"超过30%","")</f>
        <v/>
      </c>
      <c r="G54" s="304">
        <f>IF(G47&lt;I47,I47/G47-1,G47/I47-1)</f>
        <v>0.22707272457606176</v>
      </c>
      <c r="H54" s="305" t="str">
        <f>IF(OR(G54&gt;=0.3,G54&lt;=-0.3),"超过30%","")</f>
        <v/>
      </c>
      <c r="I54" s="304">
        <f>IF(I47&lt;E47,E47/I47-1,I47/E47-1)</f>
        <v>0.19335541602808126</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1585</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4650">
        <f t="shared" ref="P58" si="20">EDATE(O58,-1)</f>
        <v>45658</v>
      </c>
      <c r="Q58" s="4650">
        <f t="shared" ref="Q58" si="21">EDATE(P58,-1)</f>
        <v>45627</v>
      </c>
    </row>
    <row r="59" spans="1:29" s="49" customFormat="1">
      <c r="A59" s="435"/>
      <c r="B59" s="1478"/>
      <c r="C59" s="827">
        <v>100</v>
      </c>
      <c r="D59" s="314">
        <v>100</v>
      </c>
      <c r="E59" s="315">
        <v>101</v>
      </c>
      <c r="F59" s="315">
        <f>E59</f>
        <v>101</v>
      </c>
      <c r="G59" s="315">
        <f>E59</f>
        <v>101</v>
      </c>
      <c r="H59" s="315">
        <v>102</v>
      </c>
      <c r="I59" s="315">
        <f>H59</f>
        <v>102</v>
      </c>
      <c r="J59" s="315">
        <f>H59</f>
        <v>102</v>
      </c>
      <c r="K59" s="315">
        <v>103</v>
      </c>
      <c r="L59" s="315">
        <f>K59</f>
        <v>103</v>
      </c>
      <c r="M59" s="1462">
        <f>K59</f>
        <v>103</v>
      </c>
      <c r="N59" s="315">
        <v>104</v>
      </c>
      <c r="O59" s="1462">
        <f>N59</f>
        <v>104</v>
      </c>
      <c r="P59" s="1479">
        <f>N59</f>
        <v>104</v>
      </c>
      <c r="Q59" s="49">
        <v>105</v>
      </c>
    </row>
    <row r="60" spans="1:29" s="49" customFormat="1" ht="15" thickBot="1">
      <c r="A60" s="562" t="s">
        <v>1622</v>
      </c>
      <c r="B60" s="319"/>
      <c r="C60" s="320"/>
      <c r="D60" s="321"/>
      <c r="E60" s="4651">
        <f>'地价-分区'!N41</f>
        <v>-2.4300000000000002E-2</v>
      </c>
      <c r="F60" s="321"/>
      <c r="G60" s="321"/>
      <c r="H60" s="4651">
        <f>'地价-分区'!N42</f>
        <v>-6.1999999999999998E-3</v>
      </c>
      <c r="I60" s="321"/>
      <c r="J60" s="321"/>
      <c r="K60" s="4651">
        <f>'地价-分区'!N43</f>
        <v>2.9999999999999997E-4</v>
      </c>
      <c r="L60" s="321"/>
      <c r="M60" s="322"/>
      <c r="N60" s="4651">
        <f>'地价-分区'!N44</f>
        <v>-5.1000000000000004E-3</v>
      </c>
      <c r="O60" s="322"/>
      <c r="P60" s="1479"/>
      <c r="Q60" s="308">
        <f>'地价-分区'!N45</f>
        <v>-8.8000000000000005E-3</v>
      </c>
    </row>
    <row r="61" spans="1:29" s="49" customFormat="1" ht="14.4">
      <c r="A61" s="324" t="s">
        <v>1587</v>
      </c>
      <c r="B61" s="313"/>
      <c r="C61" s="325" t="s">
        <v>1624</v>
      </c>
      <c r="D61" s="4652" t="s">
        <v>4110</v>
      </c>
      <c r="E61" s="326"/>
      <c r="F61" s="326"/>
      <c r="G61" s="326"/>
      <c r="H61" s="326"/>
      <c r="I61" s="326"/>
      <c r="J61" s="326"/>
      <c r="K61" s="326"/>
      <c r="L61" s="327"/>
      <c r="M61" s="328"/>
      <c r="N61" s="644"/>
      <c r="O61" s="644"/>
      <c r="P61" s="1480"/>
      <c r="Q61" s="308"/>
    </row>
    <row r="62" spans="1:29" s="49" customFormat="1" ht="14.4" thickBot="1">
      <c r="A62" s="324"/>
      <c r="B62" s="313"/>
      <c r="C62" s="314">
        <v>100</v>
      </c>
      <c r="D62" s="315">
        <v>90</v>
      </c>
      <c r="E62" s="315"/>
      <c r="F62" s="315"/>
      <c r="G62" s="315"/>
      <c r="H62" s="315"/>
      <c r="I62" s="315"/>
      <c r="J62" s="315"/>
      <c r="K62" s="315"/>
      <c r="L62" s="315"/>
      <c r="M62" s="434"/>
      <c r="N62" s="644"/>
      <c r="O62" s="644"/>
      <c r="P62" s="1479"/>
      <c r="Q62" s="308"/>
    </row>
    <row r="63" spans="1:29" ht="14.4">
      <c r="A63" s="329" t="s">
        <v>1625</v>
      </c>
      <c r="B63" s="330" t="s">
        <v>1591</v>
      </c>
      <c r="C63" s="4621" t="str">
        <f>C9</f>
        <v>别墅</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2">D68&amp;"（含）"&amp;"-"&amp;E68</f>
        <v>0.5（含）-1</v>
      </c>
      <c r="E67" s="349" t="str">
        <f t="shared" si="22"/>
        <v>1（含）-1.5</v>
      </c>
      <c r="F67" s="349" t="str">
        <f t="shared" si="22"/>
        <v>1.5（含）-2</v>
      </c>
      <c r="G67" s="349" t="str">
        <f t="shared" si="22"/>
        <v>2（含）-</v>
      </c>
      <c r="H67" s="349" t="str">
        <f t="shared" si="22"/>
        <v>（含）-</v>
      </c>
      <c r="I67" s="349" t="str">
        <f t="shared" si="22"/>
        <v>（含）-</v>
      </c>
      <c r="J67" s="349" t="str">
        <f t="shared" si="22"/>
        <v>（含）-</v>
      </c>
      <c r="K67" s="349" t="str">
        <f>K68&amp;"（含）"&amp;"-"&amp;L68</f>
        <v>（含）-</v>
      </c>
      <c r="L67" s="349" t="str">
        <f t="shared" si="22"/>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3">C69-$K11</f>
        <v>100</v>
      </c>
      <c r="E69" s="346">
        <f t="shared" si="23"/>
        <v>100</v>
      </c>
      <c r="F69" s="346">
        <f t="shared" si="23"/>
        <v>100</v>
      </c>
      <c r="G69" s="346">
        <f t="shared" si="23"/>
        <v>100</v>
      </c>
      <c r="H69" s="346">
        <f t="shared" si="23"/>
        <v>100</v>
      </c>
      <c r="I69" s="346">
        <f t="shared" si="23"/>
        <v>100</v>
      </c>
      <c r="J69" s="346">
        <f t="shared" si="23"/>
        <v>100</v>
      </c>
      <c r="K69" s="346">
        <f t="shared" si="23"/>
        <v>100</v>
      </c>
      <c r="L69" s="346">
        <f t="shared" si="23"/>
        <v>100</v>
      </c>
      <c r="M69" s="347">
        <f t="shared" si="23"/>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728" t="s">
        <v>1627</v>
      </c>
      <c r="D76" s="728" t="s">
        <v>1628</v>
      </c>
      <c r="E76" s="728" t="s">
        <v>1629</v>
      </c>
      <c r="F76" s="728" t="s">
        <v>1630</v>
      </c>
      <c r="G76" s="728" t="s">
        <v>1631</v>
      </c>
      <c r="H76" s="4621"/>
      <c r="I76" s="4621"/>
      <c r="J76" s="462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616">
        <v>100</v>
      </c>
      <c r="D83" s="4616">
        <f>C83-$K21</f>
        <v>100</v>
      </c>
      <c r="E83" s="4616">
        <f t="shared" ref="E83:G83" si="24">D83-$K21</f>
        <v>100</v>
      </c>
      <c r="F83" s="4616">
        <f t="shared" si="24"/>
        <v>100</v>
      </c>
      <c r="G83" s="4616">
        <f t="shared" si="24"/>
        <v>100</v>
      </c>
      <c r="H83" s="4616"/>
      <c r="I83" s="4616"/>
      <c r="J83" s="4616"/>
      <c r="K83" s="4616"/>
      <c r="L83" s="4616"/>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5">$C$87-($C$86-D86)*$K$25</f>
        <v>100</v>
      </c>
      <c r="E87" s="346">
        <f t="shared" si="25"/>
        <v>100</v>
      </c>
      <c r="F87" s="346">
        <f t="shared" si="25"/>
        <v>100</v>
      </c>
      <c r="G87" s="346">
        <f t="shared" si="25"/>
        <v>100</v>
      </c>
      <c r="H87" s="346">
        <f t="shared" si="25"/>
        <v>100</v>
      </c>
      <c r="I87" s="346">
        <f t="shared" si="25"/>
        <v>100</v>
      </c>
      <c r="J87" s="346">
        <f t="shared" si="25"/>
        <v>100</v>
      </c>
      <c r="K87" s="346">
        <f t="shared" si="25"/>
        <v>100</v>
      </c>
      <c r="L87" s="346">
        <f t="shared" si="25"/>
        <v>100</v>
      </c>
      <c r="M87" s="346">
        <f t="shared" si="25"/>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6">C89-$K26</f>
        <v>100</v>
      </c>
      <c r="E89" s="346">
        <f t="shared" si="26"/>
        <v>100</v>
      </c>
      <c r="F89" s="346">
        <f t="shared" si="26"/>
        <v>100</v>
      </c>
      <c r="G89" s="346">
        <f t="shared" si="26"/>
        <v>100</v>
      </c>
      <c r="H89" s="346">
        <f t="shared" si="26"/>
        <v>100</v>
      </c>
      <c r="I89" s="346">
        <f t="shared" si="26"/>
        <v>100</v>
      </c>
      <c r="J89" s="346">
        <f t="shared" si="26"/>
        <v>100</v>
      </c>
      <c r="K89" s="346">
        <f t="shared" si="26"/>
        <v>100</v>
      </c>
      <c r="L89" s="346">
        <f t="shared" si="26"/>
        <v>100</v>
      </c>
      <c r="M89" s="346">
        <f t="shared" si="26"/>
        <v>100</v>
      </c>
      <c r="N89" s="646"/>
      <c r="O89" s="646"/>
      <c r="P89" s="1481"/>
      <c r="Q89" s="308"/>
    </row>
    <row r="90" spans="1:17" s="285" customFormat="1" ht="14.4" thickTop="1">
      <c r="A90" s="355"/>
      <c r="B90" s="340" t="str">
        <f>B27</f>
        <v>楼层</v>
      </c>
      <c r="C90" s="356">
        <f>C27</f>
        <v>2</v>
      </c>
      <c r="D90" s="4657" t="str">
        <f>E27</f>
        <v>3（-1）</v>
      </c>
      <c r="E90" s="356"/>
      <c r="F90" s="356"/>
      <c r="G90" s="356"/>
      <c r="H90" s="357"/>
      <c r="I90" s="357"/>
      <c r="J90" s="357"/>
      <c r="K90" s="357"/>
      <c r="L90" s="358"/>
      <c r="M90" s="359"/>
      <c r="N90" s="647"/>
      <c r="O90" s="647"/>
      <c r="P90" s="1482"/>
      <c r="Q90" s="360"/>
    </row>
    <row r="91" spans="1:17" s="285" customFormat="1" ht="14.4" thickBot="1">
      <c r="A91" s="355"/>
      <c r="B91" s="345"/>
      <c r="C91" s="361">
        <v>100</v>
      </c>
      <c r="D91" s="361">
        <v>90</v>
      </c>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4659" t="s">
        <v>4134</v>
      </c>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7">C101-$K32</f>
        <v>100</v>
      </c>
      <c r="E101" s="346">
        <f t="shared" si="27"/>
        <v>100</v>
      </c>
      <c r="F101" s="346">
        <f t="shared" si="27"/>
        <v>100</v>
      </c>
      <c r="G101" s="346">
        <f t="shared" si="27"/>
        <v>100</v>
      </c>
      <c r="H101" s="346">
        <f t="shared" si="27"/>
        <v>100</v>
      </c>
      <c r="I101" s="346">
        <f t="shared" si="27"/>
        <v>100</v>
      </c>
      <c r="J101" s="346">
        <f t="shared" si="27"/>
        <v>100</v>
      </c>
      <c r="K101" s="346">
        <f t="shared" si="27"/>
        <v>100</v>
      </c>
      <c r="L101" s="346">
        <f t="shared" si="27"/>
        <v>100</v>
      </c>
      <c r="M101" s="346">
        <f t="shared" si="27"/>
        <v>100</v>
      </c>
      <c r="N101" s="646"/>
      <c r="O101" s="646"/>
      <c r="P101" s="1481"/>
      <c r="Q101" s="308"/>
    </row>
    <row r="102" spans="1:17" ht="15" thickTop="1">
      <c r="A102" s="336"/>
      <c r="B102" s="340" t="s">
        <v>1643</v>
      </c>
      <c r="C102" s="377" t="str">
        <f>C103&amp;"(含)"&amp;"-"&amp;D103</f>
        <v>0(含)-300</v>
      </c>
      <c r="D102" s="377" t="str">
        <f t="shared" ref="D102:L102" si="28">D103&amp;"(含)"&amp;"-"&amp;E103</f>
        <v>300(含)-500</v>
      </c>
      <c r="E102" s="377" t="str">
        <f t="shared" si="28"/>
        <v>500(含)-700</v>
      </c>
      <c r="F102" s="377" t="str">
        <f t="shared" si="28"/>
        <v>700(含)-</v>
      </c>
      <c r="G102" s="377" t="str">
        <f t="shared" si="28"/>
        <v>(含)-</v>
      </c>
      <c r="H102" s="377" t="str">
        <f t="shared" si="28"/>
        <v>(含)-</v>
      </c>
      <c r="I102" s="377" t="str">
        <f t="shared" si="28"/>
        <v>(含)-</v>
      </c>
      <c r="J102" s="377" t="str">
        <f t="shared" si="28"/>
        <v>(含)-</v>
      </c>
      <c r="K102" s="377" t="str">
        <f>K103&amp;"(含)"&amp;"-"&amp;L103</f>
        <v>(含)-</v>
      </c>
      <c r="L102" s="377" t="str">
        <f t="shared" si="28"/>
        <v>(含)-</v>
      </c>
      <c r="M102" s="377" t="str">
        <f>M103&amp;"(含)"&amp;"-"&amp;P103</f>
        <v>(含)-</v>
      </c>
      <c r="N102" s="644"/>
      <c r="O102" s="644"/>
      <c r="P102" s="1481"/>
      <c r="Q102" s="308"/>
    </row>
    <row r="103" spans="1:17" s="285" customFormat="1">
      <c r="A103" s="392"/>
      <c r="B103" s="393"/>
      <c r="C103" s="394">
        <v>0</v>
      </c>
      <c r="D103" s="394">
        <v>300</v>
      </c>
      <c r="E103" s="394">
        <v>500</v>
      </c>
      <c r="F103" s="394">
        <v>700</v>
      </c>
      <c r="G103" s="394"/>
      <c r="H103" s="394"/>
      <c r="I103" s="394"/>
      <c r="J103" s="395"/>
      <c r="K103" s="395"/>
      <c r="L103" s="396"/>
      <c r="M103" s="397"/>
      <c r="N103" s="647"/>
      <c r="O103" s="647"/>
      <c r="P103" s="1482"/>
      <c r="Q103" s="360"/>
    </row>
    <row r="104" spans="1:17" s="285" customFormat="1" ht="14.4" thickBot="1">
      <c r="A104" s="355"/>
      <c r="B104" s="345"/>
      <c r="C104" s="361">
        <v>100</v>
      </c>
      <c r="D104" s="338">
        <v>98</v>
      </c>
      <c r="E104" s="338">
        <v>96</v>
      </c>
      <c r="F104" s="338">
        <v>94</v>
      </c>
      <c r="G104" s="338"/>
      <c r="H104" s="338"/>
      <c r="I104" s="338"/>
      <c r="J104" s="338"/>
      <c r="K104" s="338"/>
      <c r="L104" s="338"/>
      <c r="M104" s="338"/>
      <c r="N104" s="646"/>
      <c r="O104" s="646"/>
      <c r="P104" s="1482"/>
      <c r="Q104" s="360"/>
    </row>
    <row r="105" spans="1:17" ht="15" thickTop="1">
      <c r="A105" s="398"/>
      <c r="B105" s="340" t="s">
        <v>1644</v>
      </c>
      <c r="C105" s="4655" t="s">
        <v>4136</v>
      </c>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9">C106-$K34</f>
        <v>100</v>
      </c>
      <c r="E106" s="346">
        <f t="shared" si="29"/>
        <v>100</v>
      </c>
      <c r="F106" s="346">
        <f t="shared" si="29"/>
        <v>100</v>
      </c>
      <c r="G106" s="346">
        <f t="shared" si="29"/>
        <v>100</v>
      </c>
      <c r="H106" s="346">
        <f t="shared" si="29"/>
        <v>100</v>
      </c>
      <c r="I106" s="346">
        <f t="shared" si="29"/>
        <v>100</v>
      </c>
      <c r="J106" s="346">
        <f t="shared" si="29"/>
        <v>100</v>
      </c>
      <c r="K106" s="346">
        <f t="shared" si="29"/>
        <v>100</v>
      </c>
      <c r="L106" s="346">
        <f t="shared" si="29"/>
        <v>100</v>
      </c>
      <c r="M106" s="346">
        <f t="shared" si="29"/>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30">C108-$K35</f>
        <v>100</v>
      </c>
      <c r="E108" s="346">
        <f t="shared" si="30"/>
        <v>100</v>
      </c>
      <c r="F108" s="346">
        <f t="shared" si="30"/>
        <v>100</v>
      </c>
      <c r="G108" s="346">
        <f t="shared" si="30"/>
        <v>100</v>
      </c>
      <c r="H108" s="346">
        <f t="shared" si="30"/>
        <v>100</v>
      </c>
      <c r="I108" s="346">
        <f t="shared" si="30"/>
        <v>100</v>
      </c>
      <c r="J108" s="346">
        <f t="shared" si="30"/>
        <v>100</v>
      </c>
      <c r="K108" s="346">
        <f t="shared" si="30"/>
        <v>100</v>
      </c>
      <c r="L108" s="346">
        <f t="shared" si="30"/>
        <v>100</v>
      </c>
      <c r="M108" s="346">
        <f t="shared" si="30"/>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31">C110-$K36</f>
        <v>100</v>
      </c>
      <c r="E110" s="346">
        <f t="shared" si="31"/>
        <v>100</v>
      </c>
      <c r="F110" s="346">
        <f t="shared" si="31"/>
        <v>100</v>
      </c>
      <c r="G110" s="346">
        <f t="shared" si="31"/>
        <v>100</v>
      </c>
      <c r="H110" s="346">
        <f t="shared" si="31"/>
        <v>100</v>
      </c>
      <c r="I110" s="346">
        <f t="shared" si="31"/>
        <v>100</v>
      </c>
      <c r="J110" s="346">
        <f t="shared" si="31"/>
        <v>100</v>
      </c>
      <c r="K110" s="346">
        <f t="shared" si="31"/>
        <v>100</v>
      </c>
      <c r="L110" s="346">
        <f t="shared" si="31"/>
        <v>100</v>
      </c>
      <c r="M110" s="346">
        <f t="shared" si="31"/>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2">G112&amp;"(含)"&amp;"-"&amp;H112</f>
        <v>0.7(含)-0.75</v>
      </c>
      <c r="H111" s="377" t="str">
        <f t="shared" si="32"/>
        <v>0.75(含)-0.8</v>
      </c>
      <c r="I111" s="377" t="str">
        <f t="shared" si="32"/>
        <v>0.8(含)-0.85</v>
      </c>
      <c r="J111" s="377" t="str">
        <f t="shared" si="32"/>
        <v>0.85(含)-0.9</v>
      </c>
      <c r="K111" s="377" t="str">
        <f t="shared" si="32"/>
        <v>0.9(含)-0.95</v>
      </c>
      <c r="L111" s="377" t="str">
        <f t="shared" ref="L111" si="33">L112&amp;"(含)"&amp;"-"&amp;ROUND(M112,0)&amp;"(含)"</f>
        <v>0.95(含)-1(含)</v>
      </c>
      <c r="M111" s="377"/>
      <c r="N111" s="647"/>
      <c r="O111" s="647"/>
      <c r="P111" s="1482"/>
      <c r="Q111" s="360"/>
    </row>
    <row r="112" spans="1:17" s="285" customFormat="1">
      <c r="A112" s="392"/>
      <c r="B112" s="348"/>
      <c r="C112" s="4618">
        <v>0.5</v>
      </c>
      <c r="D112" s="4618">
        <v>0.55000000000000004</v>
      </c>
      <c r="E112" s="4618">
        <v>0.6</v>
      </c>
      <c r="F112" s="4618">
        <v>0.65</v>
      </c>
      <c r="G112" s="4618">
        <v>0.7</v>
      </c>
      <c r="H112" s="4618">
        <v>0.75</v>
      </c>
      <c r="I112" s="4618">
        <v>0.8</v>
      </c>
      <c r="J112" s="4618">
        <v>0.85</v>
      </c>
      <c r="K112" s="4618">
        <v>0.9</v>
      </c>
      <c r="L112" s="4618">
        <v>0.95</v>
      </c>
      <c r="M112" s="4618">
        <v>1.0001</v>
      </c>
      <c r="N112" s="647"/>
      <c r="O112" s="647"/>
      <c r="P112" s="1482"/>
      <c r="Q112" s="360"/>
    </row>
    <row r="113" spans="1:17" s="285" customFormat="1" ht="14.4" thickBot="1">
      <c r="A113" s="355"/>
      <c r="B113" s="345"/>
      <c r="C113" s="381">
        <v>100</v>
      </c>
      <c r="D113" s="346">
        <f>C113+$K37</f>
        <v>101</v>
      </c>
      <c r="E113" s="346">
        <f>D113+$K37</f>
        <v>102</v>
      </c>
      <c r="F113" s="346">
        <f>E113+$K37</f>
        <v>103</v>
      </c>
      <c r="G113" s="346">
        <f>F113+$K37</f>
        <v>104</v>
      </c>
      <c r="H113" s="346">
        <f>G113+$K37</f>
        <v>105</v>
      </c>
      <c r="I113" s="346">
        <f t="shared" ref="I113:M113" si="34">H113+$K37</f>
        <v>106</v>
      </c>
      <c r="J113" s="346">
        <f t="shared" si="34"/>
        <v>107</v>
      </c>
      <c r="K113" s="346">
        <f t="shared" si="34"/>
        <v>108</v>
      </c>
      <c r="L113" s="346">
        <f t="shared" si="34"/>
        <v>109</v>
      </c>
      <c r="M113" s="346">
        <f t="shared" si="34"/>
        <v>110</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5">C115-$K38</f>
        <v>100</v>
      </c>
      <c r="E115" s="346">
        <f t="shared" si="35"/>
        <v>100</v>
      </c>
      <c r="F115" s="346">
        <f t="shared" si="35"/>
        <v>100</v>
      </c>
      <c r="G115" s="346">
        <f t="shared" si="35"/>
        <v>100</v>
      </c>
      <c r="H115" s="346">
        <f t="shared" si="35"/>
        <v>100</v>
      </c>
      <c r="I115" s="346">
        <f t="shared" si="35"/>
        <v>100</v>
      </c>
      <c r="J115" s="346">
        <f t="shared" si="35"/>
        <v>100</v>
      </c>
      <c r="K115" s="346">
        <f t="shared" si="35"/>
        <v>100</v>
      </c>
      <c r="L115" s="346">
        <f t="shared" si="35"/>
        <v>100</v>
      </c>
      <c r="M115" s="346">
        <f t="shared" si="35"/>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6">C119-$K40</f>
        <v>100</v>
      </c>
      <c r="E119" s="346">
        <f t="shared" si="36"/>
        <v>100</v>
      </c>
      <c r="F119" s="346">
        <f t="shared" si="36"/>
        <v>100</v>
      </c>
      <c r="G119" s="346">
        <f t="shared" si="36"/>
        <v>100</v>
      </c>
      <c r="H119" s="346">
        <f t="shared" si="36"/>
        <v>100</v>
      </c>
      <c r="I119" s="346">
        <f t="shared" si="36"/>
        <v>100</v>
      </c>
      <c r="J119" s="346">
        <f t="shared" si="36"/>
        <v>100</v>
      </c>
      <c r="K119" s="346">
        <f t="shared" si="36"/>
        <v>100</v>
      </c>
      <c r="L119" s="346">
        <f t="shared" si="36"/>
        <v>100</v>
      </c>
      <c r="M119" s="346">
        <f t="shared" si="36"/>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29.4" thickTop="1">
      <c r="A122" s="398"/>
      <c r="B122" s="340" t="s">
        <v>1650</v>
      </c>
      <c r="C122" s="4655" t="s">
        <v>4129</v>
      </c>
      <c r="D122" s="356" t="s">
        <v>4128</v>
      </c>
      <c r="E122" s="4655" t="s">
        <v>4130</v>
      </c>
      <c r="F122" s="4658" t="s">
        <v>4132</v>
      </c>
      <c r="G122" s="382"/>
      <c r="H122" s="382"/>
      <c r="I122" s="382"/>
      <c r="J122" s="382"/>
      <c r="K122" s="383"/>
      <c r="L122" s="384"/>
      <c r="M122" s="385"/>
      <c r="N122" s="645"/>
      <c r="O122" s="645"/>
      <c r="P122" s="1481"/>
      <c r="Q122" s="308"/>
    </row>
    <row r="123" spans="1:17" ht="14.4" thickBot="1">
      <c r="A123" s="336"/>
      <c r="B123" s="345"/>
      <c r="C123" s="346">
        <v>100</v>
      </c>
      <c r="D123" s="346">
        <f t="shared" ref="D123:M123" si="37">C123-$K42</f>
        <v>99</v>
      </c>
      <c r="E123" s="346">
        <f t="shared" si="37"/>
        <v>98</v>
      </c>
      <c r="F123" s="346">
        <f t="shared" si="37"/>
        <v>97</v>
      </c>
      <c r="G123" s="346">
        <f t="shared" si="37"/>
        <v>96</v>
      </c>
      <c r="H123" s="346">
        <f t="shared" si="37"/>
        <v>95</v>
      </c>
      <c r="I123" s="346">
        <f t="shared" si="37"/>
        <v>94</v>
      </c>
      <c r="J123" s="346">
        <f t="shared" si="37"/>
        <v>93</v>
      </c>
      <c r="K123" s="346">
        <f t="shared" si="37"/>
        <v>92</v>
      </c>
      <c r="L123" s="346">
        <f t="shared" si="37"/>
        <v>91</v>
      </c>
      <c r="M123" s="346">
        <f t="shared" si="37"/>
        <v>90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t="str">
        <f>B44</f>
        <v>地下室</v>
      </c>
      <c r="C126" s="4655" t="s">
        <v>4112</v>
      </c>
      <c r="D126" s="4655" t="s">
        <v>4115</v>
      </c>
      <c r="E126" s="356"/>
      <c r="F126" s="356"/>
      <c r="G126" s="356"/>
      <c r="H126" s="357"/>
      <c r="I126" s="357"/>
      <c r="J126" s="357"/>
      <c r="K126" s="357"/>
      <c r="L126" s="358"/>
      <c r="M126" s="359"/>
      <c r="N126" s="647"/>
      <c r="O126" s="647"/>
      <c r="P126" s="1482"/>
      <c r="Q126" s="360"/>
    </row>
    <row r="127" spans="1:17" s="285" customFormat="1" ht="14.4" thickBot="1">
      <c r="A127" s="355"/>
      <c r="B127" s="345"/>
      <c r="C127" s="361">
        <v>100</v>
      </c>
      <c r="D127" s="338">
        <v>105</v>
      </c>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4174" t="s">
        <v>1657</v>
      </c>
      <c r="I138" s="1498"/>
      <c r="J138" s="55" t="s">
        <v>1659</v>
      </c>
      <c r="K138" s="4174"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87"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2 H52 J52">
    <cfRule type="containsText" dxfId="173" priority="18" stopIfTrue="1" operator="containsText" text="超过">
      <formula>NOT(ISERROR(SEARCH("超过",F52)))</formula>
    </cfRule>
  </conditionalFormatting>
  <conditionalFormatting sqref="J54">
    <cfRule type="containsText" dxfId="172" priority="17" stopIfTrue="1" operator="containsText" text="超过">
      <formula>NOT(ISERROR(SEARCH("超过",J54)))</formula>
    </cfRule>
  </conditionalFormatting>
  <conditionalFormatting sqref="H54">
    <cfRule type="containsText" dxfId="171" priority="16" stopIfTrue="1" operator="containsText" text="超过">
      <formula>NOT(ISERROR(SEARCH("超过",H54)))</formula>
    </cfRule>
  </conditionalFormatting>
  <conditionalFormatting sqref="F54">
    <cfRule type="containsText" dxfId="170" priority="15" stopIfTrue="1" operator="containsText" text="超过">
      <formula>NOT(ISERROR(SEARCH("超过",F54)))</formula>
    </cfRule>
  </conditionalFormatting>
  <conditionalFormatting sqref="F53 H53 J53">
    <cfRule type="containsText" dxfId="169" priority="14" stopIfTrue="1" operator="containsText" text="超过">
      <formula>NOT(ISERROR(SEARCH("超过",F53)))</formula>
    </cfRule>
  </conditionalFormatting>
  <conditionalFormatting sqref="E52">
    <cfRule type="expression" dxfId="168" priority="13" stopIfTrue="1">
      <formula>$F$52="超过30%"</formula>
    </cfRule>
  </conditionalFormatting>
  <conditionalFormatting sqref="G54">
    <cfRule type="expression" dxfId="167" priority="12" stopIfTrue="1">
      <formula>$H$54="超过30%"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G52">
    <cfRule type="expression" dxfId="164" priority="9" stopIfTrue="1">
      <formula>$H$52="超过30%"</formula>
    </cfRule>
  </conditionalFormatting>
  <conditionalFormatting sqref="G53">
    <cfRule type="expression" dxfId="163" priority="8" stopIfTrue="1">
      <formula>$H$53="超过20%"</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2:S128"/>
  <sheetViews>
    <sheetView topLeftCell="A28" workbookViewId="0">
      <selection activeCell="G162" sqref="G162"/>
    </sheetView>
  </sheetViews>
  <sheetFormatPr defaultRowHeight="14.4"/>
  <cols>
    <col min="1" max="1" width="14.33203125" customWidth="1"/>
    <col min="2" max="2" width="10.5546875" bestFit="1" customWidth="1"/>
    <col min="19" max="19" width="12.21875" customWidth="1"/>
    <col min="20" max="20" width="13.33203125" customWidth="1"/>
    <col min="21" max="21" width="11.6640625" customWidth="1"/>
  </cols>
  <sheetData>
    <row r="22" spans="1:14" ht="15" thickBot="1"/>
    <row r="23" spans="1:14" ht="15" thickBot="1">
      <c r="A23" s="4631" t="s">
        <v>4035</v>
      </c>
      <c r="B23" s="4632">
        <v>46023</v>
      </c>
      <c r="C23" s="4632">
        <v>45992</v>
      </c>
      <c r="D23" s="4632">
        <v>45962</v>
      </c>
      <c r="E23" s="4632">
        <v>45931</v>
      </c>
      <c r="F23" s="4632">
        <v>45901</v>
      </c>
      <c r="G23" s="4632">
        <v>45870</v>
      </c>
      <c r="H23" s="4632">
        <v>45839</v>
      </c>
      <c r="I23" s="4632">
        <v>45809</v>
      </c>
      <c r="J23" s="4632">
        <v>45778</v>
      </c>
      <c r="K23" s="4632">
        <v>45748</v>
      </c>
      <c r="L23" s="4632">
        <v>45717</v>
      </c>
      <c r="M23" s="4632">
        <v>45689</v>
      </c>
      <c r="N23" s="4632">
        <v>45658</v>
      </c>
    </row>
    <row r="24" spans="1:14" ht="17.399999999999999" thickBot="1">
      <c r="A24" s="4633" t="s">
        <v>4036</v>
      </c>
      <c r="B24" s="4634">
        <v>34.57</v>
      </c>
      <c r="C24" s="4634">
        <v>34.53</v>
      </c>
      <c r="D24" s="4634">
        <v>34.32</v>
      </c>
      <c r="E24" s="4634">
        <v>34.479999999999997</v>
      </c>
      <c r="F24" s="4634">
        <v>34.36</v>
      </c>
      <c r="G24" s="4634">
        <v>38.51</v>
      </c>
      <c r="H24" s="4634">
        <v>40.03</v>
      </c>
      <c r="I24" s="4634">
        <v>37.1</v>
      </c>
      <c r="J24" s="4634">
        <v>34.68</v>
      </c>
      <c r="K24" s="4634">
        <v>34.9</v>
      </c>
      <c r="L24" s="4634">
        <v>35.94</v>
      </c>
      <c r="M24" s="4634">
        <v>35.74</v>
      </c>
      <c r="N24" s="4634">
        <v>37.520000000000003</v>
      </c>
    </row>
    <row r="25" spans="1:14" ht="17.399999999999999" thickBot="1">
      <c r="A25" s="2238" t="s">
        <v>4040</v>
      </c>
      <c r="B25" s="4635">
        <v>35.18</v>
      </c>
      <c r="C25" s="4635">
        <v>35.18</v>
      </c>
      <c r="D25" s="4635">
        <v>34.75</v>
      </c>
      <c r="E25" s="4635">
        <v>34.33</v>
      </c>
      <c r="F25" s="4635">
        <v>35.35</v>
      </c>
      <c r="G25" s="4635">
        <v>34.590000000000003</v>
      </c>
      <c r="H25" s="4635">
        <v>37.5</v>
      </c>
      <c r="I25" s="4635">
        <v>36.270000000000003</v>
      </c>
      <c r="J25" s="4635">
        <v>35.31</v>
      </c>
      <c r="K25" s="4635">
        <v>35.31</v>
      </c>
      <c r="L25" s="4635">
        <v>33.82</v>
      </c>
      <c r="M25" s="4635">
        <v>33.82</v>
      </c>
      <c r="N25" s="4635">
        <v>33.82</v>
      </c>
    </row>
    <row r="26" spans="1:14" ht="17.399999999999999" thickBot="1">
      <c r="A26" s="2238" t="s">
        <v>4037</v>
      </c>
      <c r="B26" s="4636">
        <v>42.99</v>
      </c>
      <c r="C26" s="4636">
        <v>42.99</v>
      </c>
      <c r="D26" s="4636">
        <v>42.99</v>
      </c>
      <c r="E26" s="4636">
        <v>42.99</v>
      </c>
      <c r="F26" s="4636">
        <v>59.01</v>
      </c>
      <c r="G26" s="4636">
        <v>56.2</v>
      </c>
      <c r="H26" s="4636">
        <v>53.83</v>
      </c>
      <c r="I26" s="4636">
        <v>56.22</v>
      </c>
      <c r="J26" s="4636">
        <v>56.66</v>
      </c>
      <c r="K26" s="4636">
        <v>54.01</v>
      </c>
      <c r="L26" s="4636">
        <v>52.48</v>
      </c>
      <c r="M26" s="4636">
        <v>52.48</v>
      </c>
      <c r="N26" s="4636">
        <v>45.8</v>
      </c>
    </row>
    <row r="30" spans="1:14">
      <c r="A30" s="2526" t="s">
        <v>4034</v>
      </c>
      <c r="B30" s="4630">
        <v>45857</v>
      </c>
      <c r="C30">
        <v>352.59</v>
      </c>
      <c r="D30">
        <v>10000</v>
      </c>
      <c r="E30">
        <f>D30/C30</f>
        <v>28.36155307864659</v>
      </c>
    </row>
    <row r="31" spans="1:14">
      <c r="B31" s="4630">
        <v>45453</v>
      </c>
      <c r="C31">
        <v>343.06</v>
      </c>
      <c r="D31">
        <v>15000</v>
      </c>
      <c r="E31" s="2373">
        <f>D31/C31</f>
        <v>43.724129889815195</v>
      </c>
    </row>
    <row r="33" spans="1:5">
      <c r="A33" s="2526" t="s">
        <v>4038</v>
      </c>
      <c r="B33" s="4630">
        <v>45508</v>
      </c>
      <c r="C33">
        <v>331.56</v>
      </c>
      <c r="D33">
        <v>14000</v>
      </c>
      <c r="E33" s="2373">
        <f>D33/C33</f>
        <v>42.224635058511282</v>
      </c>
    </row>
    <row r="75" spans="1:19" ht="15" thickBot="1"/>
    <row r="76" spans="1:19">
      <c r="A76" s="4643" t="s">
        <v>4041</v>
      </c>
      <c r="B76" s="4643" t="s">
        <v>4042</v>
      </c>
      <c r="C76" s="4643" t="s">
        <v>4043</v>
      </c>
      <c r="D76" s="4643" t="s">
        <v>4044</v>
      </c>
      <c r="E76" s="4643" t="s">
        <v>4045</v>
      </c>
      <c r="F76" s="4643" t="s">
        <v>4046</v>
      </c>
      <c r="G76" s="4643" t="s">
        <v>4047</v>
      </c>
      <c r="H76" s="4643" t="s">
        <v>4048</v>
      </c>
      <c r="I76" s="4643" t="s">
        <v>4049</v>
      </c>
      <c r="J76" s="4643" t="s">
        <v>4050</v>
      </c>
      <c r="K76" s="4643" t="s">
        <v>4051</v>
      </c>
      <c r="L76" s="4643" t="s">
        <v>4052</v>
      </c>
      <c r="M76" s="4643" t="s">
        <v>4053</v>
      </c>
      <c r="N76" s="4643" t="s">
        <v>4054</v>
      </c>
      <c r="O76" s="4643" t="s">
        <v>4055</v>
      </c>
      <c r="P76" s="4643" t="s">
        <v>4056</v>
      </c>
      <c r="Q76" s="4643" t="s">
        <v>4057</v>
      </c>
      <c r="R76" s="4643" t="s">
        <v>4058</v>
      </c>
      <c r="S76" s="4643" t="s">
        <v>4059</v>
      </c>
    </row>
    <row r="77" spans="1:19" ht="34.799999999999997" thickBot="1">
      <c r="A77" s="4637" t="s">
        <v>4060</v>
      </c>
      <c r="B77" s="4637" t="s">
        <v>4061</v>
      </c>
      <c r="C77" s="4637" t="s">
        <v>4062</v>
      </c>
      <c r="D77" s="4637" t="s">
        <v>4063</v>
      </c>
      <c r="E77" s="4637" t="s">
        <v>4064</v>
      </c>
      <c r="F77" s="4637" t="s">
        <v>4065</v>
      </c>
      <c r="G77" s="4637" t="s">
        <v>4066</v>
      </c>
      <c r="H77" s="4637">
        <v>416.25</v>
      </c>
      <c r="I77" s="4637" t="s">
        <v>4067</v>
      </c>
      <c r="J77" s="4637">
        <v>3</v>
      </c>
      <c r="K77" s="4637">
        <f t="shared" ref="K77:K85" si="0">-1-2</f>
        <v>-3</v>
      </c>
      <c r="L77" s="4637" t="s">
        <v>627</v>
      </c>
      <c r="M77" s="4637">
        <v>1996</v>
      </c>
      <c r="N77" s="4637" t="s">
        <v>627</v>
      </c>
      <c r="O77" s="4637" t="s">
        <v>627</v>
      </c>
      <c r="P77" s="4637">
        <v>0</v>
      </c>
      <c r="Q77" s="4637">
        <v>22000</v>
      </c>
      <c r="R77" s="4637">
        <v>9157500</v>
      </c>
      <c r="S77" s="4638">
        <v>46056</v>
      </c>
    </row>
    <row r="78" spans="1:19" ht="34.799999999999997" thickBot="1">
      <c r="A78" s="4639" t="s">
        <v>4068</v>
      </c>
      <c r="B78" s="4639" t="s">
        <v>4061</v>
      </c>
      <c r="C78" s="4639" t="s">
        <v>4062</v>
      </c>
      <c r="D78" s="4639" t="s">
        <v>4069</v>
      </c>
      <c r="E78" s="4639" t="s">
        <v>4064</v>
      </c>
      <c r="F78" s="4639" t="s">
        <v>4065</v>
      </c>
      <c r="G78" s="4639" t="s">
        <v>4066</v>
      </c>
      <c r="H78" s="4639">
        <v>710.26</v>
      </c>
      <c r="I78" s="4639" t="s">
        <v>4067</v>
      </c>
      <c r="J78" s="4639" t="s">
        <v>4070</v>
      </c>
      <c r="K78" s="4639">
        <f t="shared" si="0"/>
        <v>-3</v>
      </c>
      <c r="L78" s="4639" t="s">
        <v>627</v>
      </c>
      <c r="M78" s="4639">
        <v>1996</v>
      </c>
      <c r="N78" s="4639" t="s">
        <v>627</v>
      </c>
      <c r="O78" s="4639" t="s">
        <v>627</v>
      </c>
      <c r="P78" s="4639">
        <v>0</v>
      </c>
      <c r="Q78" s="4639">
        <v>29000</v>
      </c>
      <c r="R78" s="4639">
        <v>20597540</v>
      </c>
      <c r="S78" s="4640">
        <v>45919</v>
      </c>
    </row>
    <row r="79" spans="1:19" ht="34.799999999999997" thickBot="1">
      <c r="A79" s="4637" t="s">
        <v>4071</v>
      </c>
      <c r="B79" s="4637" t="s">
        <v>4061</v>
      </c>
      <c r="C79" s="4637" t="s">
        <v>4062</v>
      </c>
      <c r="D79" s="4637" t="s">
        <v>4063</v>
      </c>
      <c r="E79" s="4637" t="s">
        <v>4064</v>
      </c>
      <c r="F79" s="4637" t="s">
        <v>4065</v>
      </c>
      <c r="G79" s="4637" t="s">
        <v>4066</v>
      </c>
      <c r="H79" s="4637">
        <v>416.25</v>
      </c>
      <c r="I79" s="4637" t="s">
        <v>3271</v>
      </c>
      <c r="J79" s="4637" t="s">
        <v>4070</v>
      </c>
      <c r="K79" s="4637">
        <f t="shared" si="0"/>
        <v>-3</v>
      </c>
      <c r="L79" s="4637" t="s">
        <v>627</v>
      </c>
      <c r="M79" s="4637">
        <v>1996</v>
      </c>
      <c r="N79" s="4637" t="s">
        <v>627</v>
      </c>
      <c r="O79" s="4637" t="s">
        <v>627</v>
      </c>
      <c r="P79" s="4637">
        <v>0</v>
      </c>
      <c r="Q79" s="4637">
        <v>22000</v>
      </c>
      <c r="R79" s="4637">
        <v>9157500</v>
      </c>
      <c r="S79" s="4638">
        <v>45862</v>
      </c>
    </row>
    <row r="80" spans="1:19" ht="34.799999999999997" thickBot="1">
      <c r="A80" s="4641" t="s">
        <v>4072</v>
      </c>
      <c r="B80" s="4641" t="s">
        <v>4061</v>
      </c>
      <c r="C80" s="4641" t="s">
        <v>4089</v>
      </c>
      <c r="D80" s="4641" t="s">
        <v>4073</v>
      </c>
      <c r="E80" s="4641" t="s">
        <v>4033</v>
      </c>
      <c r="F80" s="4641" t="s">
        <v>4065</v>
      </c>
      <c r="G80" s="4641" t="s">
        <v>4066</v>
      </c>
      <c r="H80" s="4641">
        <v>285.95999999999998</v>
      </c>
      <c r="I80" s="4641" t="s">
        <v>4067</v>
      </c>
      <c r="J80" s="4641" t="s">
        <v>4070</v>
      </c>
      <c r="K80" s="4641">
        <f t="shared" si="0"/>
        <v>-3</v>
      </c>
      <c r="L80" s="4641">
        <v>1995</v>
      </c>
      <c r="M80" s="4641" t="s">
        <v>627</v>
      </c>
      <c r="N80" s="4641" t="s">
        <v>627</v>
      </c>
      <c r="O80" s="4641" t="s">
        <v>627</v>
      </c>
      <c r="P80" s="4641">
        <v>0</v>
      </c>
      <c r="Q80" s="4641">
        <v>28904</v>
      </c>
      <c r="R80" s="4641">
        <v>8265388</v>
      </c>
      <c r="S80" s="4642">
        <v>45712</v>
      </c>
    </row>
    <row r="81" spans="1:19" ht="34.799999999999997" thickBot="1">
      <c r="A81" s="4637" t="s">
        <v>4074</v>
      </c>
      <c r="B81" s="4637" t="s">
        <v>4075</v>
      </c>
      <c r="C81" s="4637" t="s">
        <v>4062</v>
      </c>
      <c r="D81" s="4637" t="s">
        <v>4076</v>
      </c>
      <c r="E81" s="4637" t="s">
        <v>4033</v>
      </c>
      <c r="F81" s="4637" t="s">
        <v>4065</v>
      </c>
      <c r="G81" s="4637" t="s">
        <v>4066</v>
      </c>
      <c r="H81" s="4637">
        <v>285.95999999999998</v>
      </c>
      <c r="I81" s="4637" t="s">
        <v>3271</v>
      </c>
      <c r="J81" s="4637">
        <v>2</v>
      </c>
      <c r="K81" s="4637">
        <f t="shared" si="0"/>
        <v>-3</v>
      </c>
      <c r="L81" s="4637">
        <v>1995</v>
      </c>
      <c r="M81" s="4637" t="s">
        <v>41</v>
      </c>
      <c r="N81" s="4637"/>
      <c r="O81" s="4637" t="s">
        <v>4077</v>
      </c>
      <c r="P81" s="4637">
        <v>0</v>
      </c>
      <c r="Q81" s="4637">
        <v>28904</v>
      </c>
      <c r="R81" s="4637">
        <v>8265388</v>
      </c>
      <c r="S81" s="4638">
        <v>45701</v>
      </c>
    </row>
    <row r="82" spans="1:19" ht="34.799999999999997" thickBot="1">
      <c r="A82" s="4641" t="s">
        <v>4078</v>
      </c>
      <c r="B82" s="4641" t="s">
        <v>4061</v>
      </c>
      <c r="C82" s="4641" t="s">
        <v>4062</v>
      </c>
      <c r="D82" s="4641" t="s">
        <v>4079</v>
      </c>
      <c r="E82" s="4641" t="s">
        <v>4064</v>
      </c>
      <c r="F82" s="4641" t="s">
        <v>4065</v>
      </c>
      <c r="G82" s="4641" t="s">
        <v>4066</v>
      </c>
      <c r="H82" s="4641">
        <v>591.48</v>
      </c>
      <c r="I82" s="4641" t="s">
        <v>4067</v>
      </c>
      <c r="J82" s="4641" t="s">
        <v>4080</v>
      </c>
      <c r="K82" s="4641">
        <f t="shared" si="0"/>
        <v>-3</v>
      </c>
      <c r="L82" s="4641" t="s">
        <v>627</v>
      </c>
      <c r="M82" s="4641">
        <v>1996</v>
      </c>
      <c r="N82" s="4641" t="s">
        <v>627</v>
      </c>
      <c r="O82" s="4641" t="s">
        <v>627</v>
      </c>
      <c r="P82" s="4641">
        <v>0</v>
      </c>
      <c r="Q82" s="4641">
        <v>24205</v>
      </c>
      <c r="R82" s="4641">
        <v>14316773</v>
      </c>
      <c r="S82" s="4642">
        <v>45643</v>
      </c>
    </row>
    <row r="83" spans="1:19" ht="34.799999999999997" thickBot="1">
      <c r="A83" s="4637" t="s">
        <v>4081</v>
      </c>
      <c r="B83" s="4637" t="s">
        <v>4075</v>
      </c>
      <c r="C83" s="4637" t="s">
        <v>4062</v>
      </c>
      <c r="D83" s="4637" t="s">
        <v>4073</v>
      </c>
      <c r="E83" s="4637" t="s">
        <v>4033</v>
      </c>
      <c r="F83" s="4637" t="s">
        <v>4065</v>
      </c>
      <c r="G83" s="4637" t="s">
        <v>4066</v>
      </c>
      <c r="H83" s="4637">
        <v>285.95999999999998</v>
      </c>
      <c r="I83" s="4637" t="s">
        <v>3271</v>
      </c>
      <c r="J83" s="4637">
        <v>2</v>
      </c>
      <c r="K83" s="4637">
        <f t="shared" si="0"/>
        <v>-3</v>
      </c>
      <c r="L83" s="4637">
        <v>1995</v>
      </c>
      <c r="M83" s="4637" t="s">
        <v>627</v>
      </c>
      <c r="N83" s="4637" t="s">
        <v>627</v>
      </c>
      <c r="O83" s="4637" t="s">
        <v>4077</v>
      </c>
      <c r="P83" s="4637">
        <v>0</v>
      </c>
      <c r="Q83" s="4637">
        <v>28904</v>
      </c>
      <c r="R83" s="4637">
        <v>8265388</v>
      </c>
      <c r="S83" s="4638">
        <v>45643</v>
      </c>
    </row>
    <row r="84" spans="1:19" ht="34.799999999999997" thickBot="1">
      <c r="A84" s="4641" t="s">
        <v>4082</v>
      </c>
      <c r="B84" s="4641" t="s">
        <v>4083</v>
      </c>
      <c r="C84" s="4641" t="s">
        <v>4062</v>
      </c>
      <c r="D84" s="4641" t="s">
        <v>4084</v>
      </c>
      <c r="E84" s="4641" t="s">
        <v>4085</v>
      </c>
      <c r="F84" s="4641"/>
      <c r="G84" s="4641" t="s">
        <v>4066</v>
      </c>
      <c r="H84" s="4641">
        <v>591.48</v>
      </c>
      <c r="I84" s="4641" t="s">
        <v>4067</v>
      </c>
      <c r="J84" s="4641" t="s">
        <v>4086</v>
      </c>
      <c r="K84" s="4641">
        <f t="shared" si="0"/>
        <v>-3</v>
      </c>
      <c r="L84" s="4641" t="s">
        <v>627</v>
      </c>
      <c r="M84" s="4641">
        <v>1996</v>
      </c>
      <c r="N84" s="4641" t="s">
        <v>627</v>
      </c>
      <c r="O84" s="4641" t="s">
        <v>627</v>
      </c>
      <c r="P84" s="4641">
        <v>0</v>
      </c>
      <c r="Q84" s="4641">
        <v>25939</v>
      </c>
      <c r="R84" s="4641">
        <v>15342400</v>
      </c>
      <c r="S84" s="4642">
        <v>45483</v>
      </c>
    </row>
    <row r="85" spans="1:19" ht="34.799999999999997" thickBot="1">
      <c r="A85" s="4637" t="s">
        <v>4087</v>
      </c>
      <c r="B85" s="4637" t="s">
        <v>4088</v>
      </c>
      <c r="C85" s="4637" t="s">
        <v>4062</v>
      </c>
      <c r="D85" s="4637" t="s">
        <v>4076</v>
      </c>
      <c r="E85" s="4637" t="s">
        <v>4033</v>
      </c>
      <c r="F85" s="4637" t="s">
        <v>4065</v>
      </c>
      <c r="G85" s="4637" t="s">
        <v>4066</v>
      </c>
      <c r="H85" s="4637">
        <v>285.95999999999998</v>
      </c>
      <c r="I85" s="4637" t="s">
        <v>3271</v>
      </c>
      <c r="J85" s="4637" t="s">
        <v>4070</v>
      </c>
      <c r="K85" s="4637">
        <f t="shared" si="0"/>
        <v>-3</v>
      </c>
      <c r="L85" s="4637">
        <v>1995</v>
      </c>
      <c r="M85" s="4637" t="s">
        <v>627</v>
      </c>
      <c r="N85" s="4637" t="s">
        <v>627</v>
      </c>
      <c r="O85" s="4637" t="s">
        <v>4077</v>
      </c>
      <c r="P85" s="4637">
        <v>0</v>
      </c>
      <c r="Q85" s="4637">
        <v>35765</v>
      </c>
      <c r="R85" s="4637">
        <v>10227359</v>
      </c>
      <c r="S85" s="4638">
        <v>44439</v>
      </c>
    </row>
    <row r="86" spans="1:19" ht="34.799999999999997" thickBot="1">
      <c r="A86" s="4645" t="s">
        <v>4091</v>
      </c>
      <c r="B86" s="4645" t="s">
        <v>4061</v>
      </c>
      <c r="C86" s="4645" t="s">
        <v>4062</v>
      </c>
      <c r="D86" s="4645" t="s">
        <v>4092</v>
      </c>
      <c r="E86" s="4645" t="s">
        <v>4093</v>
      </c>
      <c r="F86" s="4645" t="s">
        <v>4065</v>
      </c>
      <c r="G86" s="4645" t="s">
        <v>4066</v>
      </c>
      <c r="H86" s="4645">
        <v>439.03</v>
      </c>
      <c r="I86" s="4645" t="s">
        <v>4094</v>
      </c>
      <c r="J86" s="4645" t="s">
        <v>4095</v>
      </c>
      <c r="K86" s="4645">
        <f>-1-3</f>
        <v>-4</v>
      </c>
      <c r="L86" s="4645" t="s">
        <v>627</v>
      </c>
      <c r="M86" s="4645">
        <v>2010</v>
      </c>
      <c r="N86" s="4645" t="s">
        <v>627</v>
      </c>
      <c r="O86" s="4645" t="s">
        <v>627</v>
      </c>
      <c r="P86" s="4645">
        <v>0</v>
      </c>
      <c r="Q86" s="4645">
        <v>25000</v>
      </c>
      <c r="R86" s="4645">
        <v>10975750</v>
      </c>
      <c r="S86" s="4646">
        <v>45997</v>
      </c>
    </row>
    <row r="87" spans="1:19" ht="34.799999999999997" thickBot="1">
      <c r="A87" s="4647" t="s">
        <v>4123</v>
      </c>
      <c r="B87" s="4647" t="s">
        <v>4096</v>
      </c>
      <c r="C87" s="4647" t="s">
        <v>4062</v>
      </c>
      <c r="D87" s="4647" t="s">
        <v>4097</v>
      </c>
      <c r="E87" s="4647" t="s">
        <v>4093</v>
      </c>
      <c r="F87" s="4647" t="s">
        <v>4065</v>
      </c>
      <c r="G87" s="4647" t="s">
        <v>4066</v>
      </c>
      <c r="H87" s="4647">
        <v>543.95000000000005</v>
      </c>
      <c r="I87" s="4647" t="s">
        <v>4094</v>
      </c>
      <c r="J87" s="4647" t="s">
        <v>4098</v>
      </c>
      <c r="K87" s="4647">
        <f>-1-3</f>
        <v>-4</v>
      </c>
      <c r="L87" s="4647">
        <v>2011</v>
      </c>
      <c r="M87" s="4647" t="s">
        <v>627</v>
      </c>
      <c r="N87" s="4647" t="s">
        <v>627</v>
      </c>
      <c r="O87" s="4647" t="s">
        <v>627</v>
      </c>
      <c r="P87" s="4647">
        <v>24138</v>
      </c>
      <c r="Q87" s="4647">
        <v>24361</v>
      </c>
      <c r="R87" s="4647">
        <v>13251166</v>
      </c>
      <c r="S87" s="4648">
        <v>45741</v>
      </c>
    </row>
    <row r="88" spans="1:19" ht="34.799999999999997" thickBot="1">
      <c r="A88" s="4641" t="s">
        <v>4099</v>
      </c>
      <c r="B88" s="4641" t="s">
        <v>4061</v>
      </c>
      <c r="C88" s="4641" t="s">
        <v>4062</v>
      </c>
      <c r="D88" s="4641" t="s">
        <v>4092</v>
      </c>
      <c r="E88" s="4641" t="s">
        <v>4093</v>
      </c>
      <c r="F88" s="4641" t="s">
        <v>4065</v>
      </c>
      <c r="G88" s="4641" t="s">
        <v>4066</v>
      </c>
      <c r="H88" s="4641">
        <v>439.03</v>
      </c>
      <c r="I88" s="4641" t="s">
        <v>4094</v>
      </c>
      <c r="J88" s="4641">
        <v>4</v>
      </c>
      <c r="K88" s="4641">
        <f>-1-3</f>
        <v>-4</v>
      </c>
      <c r="L88" s="4641">
        <v>2010</v>
      </c>
      <c r="M88" s="4641" t="s">
        <v>627</v>
      </c>
      <c r="N88" s="4641" t="s">
        <v>627</v>
      </c>
      <c r="O88" s="4641" t="s">
        <v>627</v>
      </c>
      <c r="P88" s="4641">
        <v>0</v>
      </c>
      <c r="Q88" s="4641">
        <v>25300</v>
      </c>
      <c r="R88" s="4641">
        <v>11107459</v>
      </c>
      <c r="S88" s="4642">
        <v>45682</v>
      </c>
    </row>
    <row r="89" spans="1:19" ht="34.799999999999997" thickBot="1">
      <c r="A89" s="4647" t="s">
        <v>4124</v>
      </c>
      <c r="B89" s="4647" t="s">
        <v>4100</v>
      </c>
      <c r="C89" s="4647" t="s">
        <v>4062</v>
      </c>
      <c r="D89" s="4647" t="s">
        <v>4101</v>
      </c>
      <c r="E89" s="4647" t="s">
        <v>4093</v>
      </c>
      <c r="F89" s="4647" t="s">
        <v>4065</v>
      </c>
      <c r="G89" s="4647" t="s">
        <v>4066</v>
      </c>
      <c r="H89" s="4647">
        <v>429.49</v>
      </c>
      <c r="I89" s="4647" t="s">
        <v>4094</v>
      </c>
      <c r="J89" s="4647" t="s">
        <v>4098</v>
      </c>
      <c r="K89" s="4647">
        <f>-1-3</f>
        <v>-4</v>
      </c>
      <c r="L89" s="4647">
        <v>2011</v>
      </c>
      <c r="M89" s="4647" t="s">
        <v>627</v>
      </c>
      <c r="N89" s="4647" t="s">
        <v>627</v>
      </c>
      <c r="O89" s="4647" t="s">
        <v>627</v>
      </c>
      <c r="P89" s="4647">
        <v>24820</v>
      </c>
      <c r="Q89" s="4647">
        <v>25198</v>
      </c>
      <c r="R89" s="4647">
        <v>10822289</v>
      </c>
      <c r="S89" s="4648">
        <v>45632</v>
      </c>
    </row>
    <row r="90" spans="1:19" ht="34.799999999999997" thickBot="1">
      <c r="A90" s="4639" t="s">
        <v>4102</v>
      </c>
      <c r="B90" s="4639" t="s">
        <v>4103</v>
      </c>
      <c r="C90" s="4639" t="s">
        <v>4062</v>
      </c>
      <c r="D90" s="4639" t="s">
        <v>4104</v>
      </c>
      <c r="E90" s="4639" t="s">
        <v>4093</v>
      </c>
      <c r="F90" s="4639" t="s">
        <v>4065</v>
      </c>
      <c r="G90" s="4639" t="s">
        <v>4066</v>
      </c>
      <c r="H90" s="4639">
        <v>337.42</v>
      </c>
      <c r="I90" s="4639" t="s">
        <v>4094</v>
      </c>
      <c r="J90" s="4639" t="s">
        <v>4095</v>
      </c>
      <c r="K90" s="4639">
        <f>-1-3</f>
        <v>-4</v>
      </c>
      <c r="L90" s="4639" t="s">
        <v>627</v>
      </c>
      <c r="M90" s="4639">
        <v>2009</v>
      </c>
      <c r="N90" s="4639" t="s">
        <v>627</v>
      </c>
      <c r="O90" s="4639" t="s">
        <v>627</v>
      </c>
      <c r="P90" s="4639">
        <v>28155</v>
      </c>
      <c r="Q90" s="4639">
        <v>28180</v>
      </c>
      <c r="R90" s="4639">
        <v>9508496</v>
      </c>
      <c r="S90" s="4640">
        <v>45455</v>
      </c>
    </row>
    <row r="124" spans="1:6">
      <c r="A124" s="4644" t="s">
        <v>4090</v>
      </c>
    </row>
    <row r="128" spans="1:6">
      <c r="F128">
        <f>ROUND(7163170.61/354.14,0)</f>
        <v>20227</v>
      </c>
    </row>
  </sheetData>
  <phoneticPr fontId="134"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受贵公司委托，我公司对北京市房地产市场价值进行了预评估。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估价对象为北京市房地产，为所有。根据《国有土地使用证》[]，估价对象（分摊）出让国有建设用地使用权面积为623.5平方米，建筑面积为262.77平方米。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估价对象为北京市房地产,属开发建设的，该项目尚在开发建设中。根据《国有土地使用证》[]，估价对象（分摊）出让国有建设用地使用权面积为623.5平方米，规划建筑面积为262.77平方米。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2026年2月10日（评估专业人员实地查勘之日）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86" t="str">
        <f>IF(项目基本情况!B9="房地产市场价值","——",IF(项目基本情况!E8="房地产抵押价值",定义!C54,IF(项目基本情况!E8="已注销",定义!C55,定义!C56)))</f>
        <v>——</v>
      </c>
    </row>
    <row r="21" spans="1:1" ht="17.399999999999999">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86" t="str">
        <f>IF(项目基本情况!B9="房地产市场价值","——",IF(项目基本情况!E9="——","",定义!C57))</f>
        <v>——</v>
      </c>
    </row>
    <row r="23" spans="1:1" ht="17.399999999999999">
      <c r="A23" s="1091" t="s">
        <v>880</v>
      </c>
    </row>
    <row r="24" spans="1:1" ht="17.399999999999999">
      <c r="A24" s="1093" t="str">
        <f>"本次评估采用的主估价方法为"&amp;结果表!K4&amp;"和"&amp;结果表!L4&amp;"。"</f>
        <v>本次评估采用的主估价方法为比较法和成本法。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Normal="60" zoomScaleSheetLayoutView="100" workbookViewId="0">
      <selection activeCell="H65" sqref="H65"/>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452" t="s">
        <v>1567</v>
      </c>
      <c r="C1" s="876" t="s">
        <v>1568</v>
      </c>
      <c r="D1" s="863"/>
      <c r="E1" s="2701"/>
      <c r="F1" s="1453"/>
      <c r="G1" s="873" t="s">
        <v>1569</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f>IF(C2="含税",D2,ROUND(D2/(1+F3),0))</f>
        <v>0</v>
      </c>
      <c r="C2" s="3021"/>
      <c r="D2" s="4024" t="b">
        <f>IF(E1="项目模式",IF(E2="——",ROUND(C49*D3/10000,0),ROUND(C49*D3/10000,0)-F2),IF(E1="单套模式",IF(E2="——",ROUND(C49*D3/10000,4),ROUND(C49*D3/10000,4)-F2)))</f>
        <v>0</v>
      </c>
      <c r="E2" s="3032"/>
      <c r="F2" s="4025" t="e">
        <f ca="1">IF(E1="项目模式",SUMIF(INDIRECT("'"&amp;H2&amp;"'"&amp;"!A:A"),"承租人权益价值",INDIRECT("'"&amp;H2&amp;"'"&amp;"!c:c")),SUMIF(INDIRECT("'"&amp;H2&amp;"'"&amp;"!A:A"),"承租人权益价值（单套）",INDIRECT("'"&amp;H2&amp;"'"&amp;"!c:c")))</f>
        <v>#REF!</v>
      </c>
      <c r="G2" s="1456" t="s">
        <v>1570</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1571</v>
      </c>
      <c r="D3" s="3123">
        <f>IF(D1="",'数据-汇总表'!E3,SUMIF('数据-汇总表'!$C19:$C33,D1,'数据-汇总表'!$E19:$E33))</f>
        <v>262.77</v>
      </c>
      <c r="E3" s="3456"/>
      <c r="F3" s="4198">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1572</v>
      </c>
      <c r="B4" s="242"/>
      <c r="C4" s="4923" t="s">
        <v>1573</v>
      </c>
      <c r="D4" s="4924"/>
      <c r="E4" s="4925" t="s">
        <v>1574</v>
      </c>
      <c r="F4" s="4926"/>
      <c r="G4" s="4923" t="s">
        <v>1575</v>
      </c>
      <c r="H4" s="4924"/>
      <c r="I4" s="4923" t="s">
        <v>1576</v>
      </c>
      <c r="J4" s="4924"/>
      <c r="K4" s="3050" t="s">
        <v>1577</v>
      </c>
      <c r="L4" s="2146"/>
      <c r="M4" s="2147"/>
      <c r="N4" s="2147"/>
      <c r="O4" s="2147"/>
      <c r="P4" s="4927" t="s">
        <v>1578</v>
      </c>
      <c r="Q4" s="4928"/>
      <c r="R4" s="4933" t="s">
        <v>1574</v>
      </c>
      <c r="S4" s="4934"/>
      <c r="T4" s="4933" t="s">
        <v>1575</v>
      </c>
      <c r="U4" s="4934"/>
      <c r="V4" s="4946" t="s">
        <v>1576</v>
      </c>
      <c r="W4" s="4946"/>
      <c r="X4" s="963"/>
      <c r="Y4" s="4947" t="s">
        <v>1578</v>
      </c>
      <c r="Z4" s="4948"/>
      <c r="AA4" s="4920" t="s">
        <v>1574</v>
      </c>
      <c r="AB4" s="4920" t="s">
        <v>1575</v>
      </c>
      <c r="AC4" s="4920" t="s">
        <v>1576</v>
      </c>
    </row>
    <row r="5" spans="1:29">
      <c r="A5" s="244"/>
      <c r="B5" s="245"/>
      <c r="C5" s="4937" t="s">
        <v>1579</v>
      </c>
      <c r="D5" s="4938"/>
      <c r="E5" s="4939" t="s">
        <v>4039</v>
      </c>
      <c r="F5" s="4940"/>
      <c r="G5" s="4937" t="str">
        <f>Sheet1!A25</f>
        <v>阳光花园别墅</v>
      </c>
      <c r="H5" s="4938"/>
      <c r="I5" s="4937" t="str">
        <f>Sheet1!A26</f>
        <v>富力湾(别墅)</v>
      </c>
      <c r="J5" s="4938"/>
      <c r="K5" s="3051"/>
      <c r="L5" s="2146"/>
      <c r="M5" s="2147"/>
      <c r="N5" s="2147"/>
      <c r="O5" s="2147"/>
      <c r="P5" s="4929"/>
      <c r="Q5" s="4930"/>
      <c r="R5" s="4935"/>
      <c r="S5" s="4936"/>
      <c r="T5" s="4935"/>
      <c r="U5" s="4936"/>
      <c r="V5" s="4946"/>
      <c r="W5" s="4946"/>
      <c r="X5" s="963"/>
      <c r="Y5" s="4949"/>
      <c r="Z5" s="4950"/>
      <c r="AA5" s="4921"/>
      <c r="AB5" s="4921"/>
      <c r="AC5" s="4921"/>
    </row>
    <row r="6" spans="1:29" ht="15" thickBot="1">
      <c r="A6" s="246"/>
      <c r="B6" s="247"/>
      <c r="C6" s="4953" t="s">
        <v>1583</v>
      </c>
      <c r="D6" s="4954"/>
      <c r="E6" s="4955" t="s">
        <v>1583</v>
      </c>
      <c r="F6" s="4956"/>
      <c r="G6" s="4953" t="s">
        <v>1583</v>
      </c>
      <c r="H6" s="4954"/>
      <c r="I6" s="4953" t="s">
        <v>1583</v>
      </c>
      <c r="J6" s="4954"/>
      <c r="K6" s="3051" t="s">
        <v>1584</v>
      </c>
      <c r="L6" s="2146"/>
      <c r="M6" s="2147"/>
      <c r="N6" s="2147"/>
      <c r="O6" s="2147"/>
      <c r="P6" s="4931"/>
      <c r="Q6" s="4932"/>
      <c r="R6" s="4935"/>
      <c r="S6" s="4936"/>
      <c r="T6" s="4944"/>
      <c r="U6" s="4945"/>
      <c r="V6" s="4946"/>
      <c r="W6" s="4946"/>
      <c r="X6" s="963"/>
      <c r="Y6" s="4951"/>
      <c r="Z6" s="4952"/>
      <c r="AA6" s="4922"/>
      <c r="AB6" s="4922"/>
      <c r="AC6" s="4922"/>
    </row>
    <row r="7" spans="1:29" s="49" customFormat="1" ht="15" thickBot="1">
      <c r="A7" s="248" t="s">
        <v>1585</v>
      </c>
      <c r="B7" s="249"/>
      <c r="C7" s="3052">
        <f>'数据-取费表'!B2</f>
        <v>46063</v>
      </c>
      <c r="D7" s="3128">
        <v>100</v>
      </c>
      <c r="E7" s="3082">
        <v>46023</v>
      </c>
      <c r="F7" s="4026">
        <f>SUMIF(58:58,YEAR(E7)&amp;"-"&amp;MONTH(E7),59:59)</f>
        <v>100</v>
      </c>
      <c r="G7" s="3082">
        <v>46023</v>
      </c>
      <c r="H7" s="4038">
        <f>SUMIF(58:58,YEAR(G7)&amp;"-"&amp;MONTH(G7),59:59)</f>
        <v>100</v>
      </c>
      <c r="I7" s="3082">
        <v>46023</v>
      </c>
      <c r="J7" s="4038">
        <f>SUMIF(58:58,YEAR(I7)&amp;"-"&amp;MONTH(I7),59:59)</f>
        <v>100</v>
      </c>
      <c r="K7" s="3043"/>
      <c r="L7" s="2148"/>
      <c r="M7" s="2149"/>
      <c r="N7" s="2149"/>
      <c r="O7" s="2149"/>
      <c r="P7" s="4957" t="s">
        <v>1586</v>
      </c>
      <c r="Q7" s="4958"/>
      <c r="R7" s="3923" t="s">
        <v>18</v>
      </c>
      <c r="S7" s="3405">
        <f t="shared" ref="S7:S15" si="0">F7</f>
        <v>100</v>
      </c>
      <c r="T7" s="3923" t="s">
        <v>18</v>
      </c>
      <c r="U7" s="3405">
        <f t="shared" ref="U7:U15" si="1">H7</f>
        <v>100</v>
      </c>
      <c r="V7" s="3923" t="s">
        <v>18</v>
      </c>
      <c r="W7" s="3405">
        <f t="shared" ref="W7:W15" si="2">J7</f>
        <v>100</v>
      </c>
      <c r="X7" s="504"/>
      <c r="Y7" s="4942" t="s">
        <v>1586</v>
      </c>
      <c r="Z7" s="4943"/>
      <c r="AA7" s="505">
        <f>D7/F7</f>
        <v>1</v>
      </c>
      <c r="AB7" s="505">
        <f>D7/H7</f>
        <v>1</v>
      </c>
      <c r="AC7" s="505">
        <f>D7/J7</f>
        <v>1</v>
      </c>
    </row>
    <row r="8" spans="1:29" s="49" customFormat="1" ht="15" thickBot="1">
      <c r="A8" s="248" t="s">
        <v>1587</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957" t="s">
        <v>1589</v>
      </c>
      <c r="Q8" s="4959"/>
      <c r="R8" s="3923" t="s">
        <v>18</v>
      </c>
      <c r="S8" s="3405">
        <f t="shared" si="0"/>
        <v>100</v>
      </c>
      <c r="T8" s="3923" t="s">
        <v>18</v>
      </c>
      <c r="U8" s="3405">
        <f t="shared" si="1"/>
        <v>100</v>
      </c>
      <c r="V8" s="3923" t="s">
        <v>18</v>
      </c>
      <c r="W8" s="3405">
        <f t="shared" si="2"/>
        <v>100</v>
      </c>
      <c r="X8" s="504"/>
      <c r="Y8" s="4942" t="s">
        <v>1589</v>
      </c>
      <c r="Z8" s="4943"/>
      <c r="AA8" s="505">
        <f t="shared" ref="AA8:AA19" si="3">D8/F8</f>
        <v>1</v>
      </c>
      <c r="AB8" s="505">
        <f t="shared" ref="AB8:AB19" si="4">D8/H8</f>
        <v>1</v>
      </c>
      <c r="AC8" s="505">
        <f t="shared" ref="AC8:AC19" si="5">D8/J8</f>
        <v>1</v>
      </c>
    </row>
    <row r="9" spans="1:29" s="49" customFormat="1" ht="14.4">
      <c r="A9" s="253" t="s">
        <v>1590</v>
      </c>
      <c r="B9" s="3033" t="s">
        <v>1591</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60" t="s">
        <v>1592</v>
      </c>
      <c r="Q9" s="3026" t="str">
        <f t="shared" ref="Q9:Q15" si="6">B9</f>
        <v>用途</v>
      </c>
      <c r="R9" s="3923" t="s">
        <v>13</v>
      </c>
      <c r="S9" s="3405">
        <f t="shared" si="0"/>
        <v>100</v>
      </c>
      <c r="T9" s="3923" t="s">
        <v>13</v>
      </c>
      <c r="U9" s="3405">
        <f t="shared" si="1"/>
        <v>100</v>
      </c>
      <c r="V9" s="3923" t="s">
        <v>13</v>
      </c>
      <c r="W9" s="3405">
        <f t="shared" si="2"/>
        <v>100</v>
      </c>
      <c r="X9" s="504"/>
      <c r="Y9" s="4961"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60"/>
      <c r="Q10" s="3026" t="str">
        <f t="shared" si="6"/>
        <v>土地使用年限（年）</v>
      </c>
      <c r="R10" s="3923" t="s">
        <v>13</v>
      </c>
      <c r="S10" s="3405">
        <f t="shared" si="0"/>
        <v>100</v>
      </c>
      <c r="T10" s="3923" t="s">
        <v>13</v>
      </c>
      <c r="U10" s="3405">
        <f t="shared" si="1"/>
        <v>100</v>
      </c>
      <c r="V10" s="3923" t="s">
        <v>13</v>
      </c>
      <c r="W10" s="3405">
        <f t="shared" si="2"/>
        <v>100</v>
      </c>
      <c r="X10" s="504"/>
      <c r="Y10" s="4961"/>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60"/>
      <c r="Q11" s="3026" t="str">
        <f t="shared" si="6"/>
        <v>容积率</v>
      </c>
      <c r="R11" s="3923" t="s">
        <v>16</v>
      </c>
      <c r="S11" s="3405">
        <f t="shared" si="0"/>
        <v>100</v>
      </c>
      <c r="T11" s="3923" t="s">
        <v>16</v>
      </c>
      <c r="U11" s="3405">
        <f t="shared" si="1"/>
        <v>100</v>
      </c>
      <c r="V11" s="3923" t="s">
        <v>16</v>
      </c>
      <c r="W11" s="3405">
        <f t="shared" si="2"/>
        <v>100</v>
      </c>
      <c r="X11" s="504"/>
      <c r="Y11" s="4961"/>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60"/>
      <c r="Q12" s="3026">
        <f t="shared" si="6"/>
        <v>111</v>
      </c>
      <c r="R12" s="3923" t="s">
        <v>16</v>
      </c>
      <c r="S12" s="3405">
        <f t="shared" si="0"/>
        <v>100</v>
      </c>
      <c r="T12" s="3923" t="s">
        <v>16</v>
      </c>
      <c r="U12" s="3405">
        <f t="shared" si="1"/>
        <v>100</v>
      </c>
      <c r="V12" s="3923" t="s">
        <v>16</v>
      </c>
      <c r="W12" s="3405">
        <f t="shared" si="2"/>
        <v>100</v>
      </c>
      <c r="X12" s="504"/>
      <c r="Y12" s="4961"/>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60"/>
      <c r="Q13" s="3026">
        <f t="shared" si="6"/>
        <v>111</v>
      </c>
      <c r="R13" s="3923" t="s">
        <v>16</v>
      </c>
      <c r="S13" s="3405">
        <f t="shared" si="0"/>
        <v>100</v>
      </c>
      <c r="T13" s="3923" t="s">
        <v>16</v>
      </c>
      <c r="U13" s="3405">
        <f t="shared" si="1"/>
        <v>100</v>
      </c>
      <c r="V13" s="3923" t="s">
        <v>16</v>
      </c>
      <c r="W13" s="3405">
        <f t="shared" si="2"/>
        <v>100</v>
      </c>
      <c r="X13" s="504"/>
      <c r="Y13" s="4961"/>
      <c r="Z13" s="28">
        <f t="shared" si="7"/>
        <v>111</v>
      </c>
      <c r="AA13" s="505">
        <f t="shared" si="3"/>
        <v>1</v>
      </c>
      <c r="AB13" s="505">
        <f t="shared" si="4"/>
        <v>1</v>
      </c>
      <c r="AC13" s="505">
        <f t="shared" si="5"/>
        <v>1</v>
      </c>
    </row>
    <row r="14" spans="1:29" ht="15.6"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60"/>
      <c r="Q14" s="3026">
        <f t="shared" si="6"/>
        <v>111</v>
      </c>
      <c r="R14" s="3923" t="s">
        <v>16</v>
      </c>
      <c r="S14" s="3405">
        <f t="shared" si="0"/>
        <v>100</v>
      </c>
      <c r="T14" s="3923" t="s">
        <v>16</v>
      </c>
      <c r="U14" s="3405">
        <f t="shared" si="1"/>
        <v>100</v>
      </c>
      <c r="V14" s="3923" t="s">
        <v>16</v>
      </c>
      <c r="W14" s="3405">
        <f t="shared" si="2"/>
        <v>100</v>
      </c>
      <c r="X14" s="504"/>
      <c r="Y14" s="4961"/>
      <c r="Z14" s="28">
        <f t="shared" si="7"/>
        <v>111</v>
      </c>
      <c r="AA14" s="505">
        <f t="shared" si="3"/>
        <v>1</v>
      </c>
      <c r="AB14" s="505">
        <f t="shared" si="4"/>
        <v>1</v>
      </c>
      <c r="AC14" s="505">
        <f t="shared" si="5"/>
        <v>1</v>
      </c>
    </row>
    <row r="15" spans="1:29" ht="96.6">
      <c r="A15" s="268" t="s">
        <v>1596</v>
      </c>
      <c r="B15" s="3036" t="s">
        <v>1234</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62" t="s">
        <v>1597</v>
      </c>
      <c r="Q15" s="1618" t="str">
        <f t="shared" si="6"/>
        <v>居住社区成熟度</v>
      </c>
      <c r="R15" s="4044" t="s">
        <v>16</v>
      </c>
      <c r="S15" s="3406">
        <f t="shared" si="0"/>
        <v>100</v>
      </c>
      <c r="T15" s="4044" t="s">
        <v>16</v>
      </c>
      <c r="U15" s="3406">
        <f t="shared" si="1"/>
        <v>100</v>
      </c>
      <c r="V15" s="4044" t="s">
        <v>16</v>
      </c>
      <c r="W15" s="3406">
        <f t="shared" si="2"/>
        <v>100</v>
      </c>
      <c r="X15" s="963"/>
      <c r="Y15" s="4964" t="s">
        <v>1597</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63"/>
      <c r="Q16" s="1618"/>
      <c r="R16" s="4044"/>
      <c r="S16" s="3406"/>
      <c r="T16" s="4044"/>
      <c r="U16" s="3406"/>
      <c r="V16" s="4044"/>
      <c r="W16" s="3406"/>
      <c r="X16" s="963"/>
      <c r="Y16" s="4965"/>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63"/>
      <c r="Q17" s="1618" t="str">
        <f>B17</f>
        <v>交通便捷度</v>
      </c>
      <c r="R17" s="4044" t="s">
        <v>16</v>
      </c>
      <c r="S17" s="3406">
        <f>F17</f>
        <v>100</v>
      </c>
      <c r="T17" s="4044" t="s">
        <v>16</v>
      </c>
      <c r="U17" s="3406">
        <f>H17</f>
        <v>100</v>
      </c>
      <c r="V17" s="4044" t="s">
        <v>16</v>
      </c>
      <c r="W17" s="3406">
        <f>J17</f>
        <v>100</v>
      </c>
      <c r="X17" s="963"/>
      <c r="Y17" s="4965"/>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63"/>
      <c r="Q18" s="1618"/>
      <c r="R18" s="4044"/>
      <c r="S18" s="3406"/>
      <c r="T18" s="4044"/>
      <c r="U18" s="3406"/>
      <c r="V18" s="4044"/>
      <c r="W18" s="3406"/>
      <c r="X18" s="963"/>
      <c r="Y18" s="4965"/>
      <c r="Z18" s="964"/>
      <c r="AA18" s="961">
        <v>1</v>
      </c>
      <c r="AB18" s="961">
        <v>1</v>
      </c>
      <c r="AC18" s="961">
        <v>1</v>
      </c>
    </row>
    <row r="19" spans="1:29" ht="41.4">
      <c r="A19" s="260"/>
      <c r="B19" s="3038" t="s">
        <v>1235</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63"/>
      <c r="Q19" s="1618" t="str">
        <f>B19</f>
        <v>公共配套设施</v>
      </c>
      <c r="R19" s="4044" t="s">
        <v>16</v>
      </c>
      <c r="S19" s="3406">
        <f>F19</f>
        <v>100</v>
      </c>
      <c r="T19" s="4044" t="s">
        <v>16</v>
      </c>
      <c r="U19" s="3406">
        <f>H19</f>
        <v>100</v>
      </c>
      <c r="V19" s="4044" t="s">
        <v>16</v>
      </c>
      <c r="W19" s="3406">
        <f>J19</f>
        <v>100</v>
      </c>
      <c r="X19" s="963"/>
      <c r="Y19" s="4965"/>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63"/>
      <c r="Q20" s="1618"/>
      <c r="R20" s="4044"/>
      <c r="S20" s="3406"/>
      <c r="T20" s="4044"/>
      <c r="U20" s="3406"/>
      <c r="V20" s="4044"/>
      <c r="W20" s="3406"/>
      <c r="X20" s="963"/>
      <c r="Y20" s="4965"/>
      <c r="Z20" s="964"/>
      <c r="AA20" s="961">
        <v>1</v>
      </c>
      <c r="AB20" s="961">
        <v>1</v>
      </c>
      <c r="AC20" s="961">
        <v>1</v>
      </c>
    </row>
    <row r="21" spans="1:29" ht="27.6">
      <c r="A21" s="260"/>
      <c r="B21" s="3040" t="s">
        <v>1237</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63"/>
      <c r="Q21" s="1618" t="str">
        <f>B21</f>
        <v>基础设施水平</v>
      </c>
      <c r="R21" s="4044" t="s">
        <v>13</v>
      </c>
      <c r="S21" s="3406">
        <f>F21</f>
        <v>100</v>
      </c>
      <c r="T21" s="4044" t="s">
        <v>13</v>
      </c>
      <c r="U21" s="3406">
        <f>H21</f>
        <v>100</v>
      </c>
      <c r="V21" s="4044" t="s">
        <v>13</v>
      </c>
      <c r="W21" s="3406">
        <f>J21</f>
        <v>100</v>
      </c>
      <c r="X21" s="963"/>
      <c r="Y21" s="496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63"/>
      <c r="Q22" s="1618"/>
      <c r="R22" s="4044"/>
      <c r="S22" s="3406"/>
      <c r="T22" s="4044"/>
      <c r="U22" s="3406"/>
      <c r="V22" s="4044"/>
      <c r="W22" s="3406"/>
      <c r="X22" s="963"/>
      <c r="Y22" s="4965"/>
      <c r="Z22" s="964"/>
      <c r="AA22" s="961">
        <v>1</v>
      </c>
      <c r="AB22" s="961">
        <v>1</v>
      </c>
      <c r="AC22" s="961">
        <v>1</v>
      </c>
    </row>
    <row r="23" spans="1:29" ht="55.2">
      <c r="A23" s="260"/>
      <c r="B23" s="3038" t="s">
        <v>1238</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63"/>
      <c r="Q23" s="1618" t="str">
        <f>B23</f>
        <v>自然及人文环境</v>
      </c>
      <c r="R23" s="4044" t="s">
        <v>16</v>
      </c>
      <c r="S23" s="3406">
        <f>F23</f>
        <v>100</v>
      </c>
      <c r="T23" s="4044" t="s">
        <v>16</v>
      </c>
      <c r="U23" s="3406">
        <f>H23</f>
        <v>100</v>
      </c>
      <c r="V23" s="4044" t="s">
        <v>16</v>
      </c>
      <c r="W23" s="3406">
        <f>J23</f>
        <v>100</v>
      </c>
      <c r="X23" s="963"/>
      <c r="Y23" s="4965"/>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63"/>
      <c r="Q24" s="1618"/>
      <c r="R24" s="4044"/>
      <c r="S24" s="3406"/>
      <c r="T24" s="4044"/>
      <c r="U24" s="3406"/>
      <c r="V24" s="4044"/>
      <c r="W24" s="3406"/>
      <c r="X24" s="963"/>
      <c r="Y24" s="4965"/>
      <c r="Z24" s="964"/>
      <c r="AA24" s="961">
        <v>1</v>
      </c>
      <c r="AB24" s="961">
        <v>1</v>
      </c>
      <c r="AC24" s="961">
        <v>1</v>
      </c>
    </row>
    <row r="25" spans="1:29" ht="15">
      <c r="A25" s="260"/>
      <c r="B25" s="3028" t="s">
        <v>1598</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63"/>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965"/>
      <c r="Z25" s="964" t="str">
        <f>Q25</f>
        <v>楼层-1</v>
      </c>
      <c r="AA25" s="961">
        <f t="shared" ref="AA25:AA46" si="15">D25/F25</f>
        <v>1</v>
      </c>
      <c r="AB25" s="961">
        <f t="shared" ref="AB25:AB46" si="16">D25/H25</f>
        <v>1</v>
      </c>
      <c r="AC25" s="961">
        <f t="shared" ref="AC25:AC46" si="17">D25/J25</f>
        <v>1</v>
      </c>
    </row>
    <row r="26" spans="1:29" ht="15">
      <c r="A26" s="260"/>
      <c r="B26" s="3028" t="s">
        <v>1599</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63"/>
      <c r="Q26" s="1618" t="str">
        <f t="shared" si="11"/>
        <v>朝向</v>
      </c>
      <c r="R26" s="4044" t="s">
        <v>16</v>
      </c>
      <c r="S26" s="3406">
        <f t="shared" si="12"/>
        <v>100</v>
      </c>
      <c r="T26" s="4044" t="s">
        <v>16</v>
      </c>
      <c r="U26" s="3406">
        <f t="shared" si="13"/>
        <v>100</v>
      </c>
      <c r="V26" s="4044" t="s">
        <v>16</v>
      </c>
      <c r="W26" s="3406">
        <f t="shared" si="14"/>
        <v>100</v>
      </c>
      <c r="X26" s="963"/>
      <c r="Y26" s="4965"/>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63"/>
      <c r="Q27" s="3026">
        <f t="shared" si="11"/>
        <v>111</v>
      </c>
      <c r="R27" s="3923" t="s">
        <v>16</v>
      </c>
      <c r="S27" s="3405">
        <f t="shared" si="12"/>
        <v>100</v>
      </c>
      <c r="T27" s="3923" t="s">
        <v>16</v>
      </c>
      <c r="U27" s="3405">
        <f t="shared" si="13"/>
        <v>100</v>
      </c>
      <c r="V27" s="3923" t="s">
        <v>16</v>
      </c>
      <c r="W27" s="3405">
        <f t="shared" si="14"/>
        <v>100</v>
      </c>
      <c r="X27" s="504"/>
      <c r="Y27" s="4965"/>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63"/>
      <c r="Q28" s="1618">
        <f t="shared" si="11"/>
        <v>111</v>
      </c>
      <c r="R28" s="4044" t="s">
        <v>16</v>
      </c>
      <c r="S28" s="3406">
        <f t="shared" si="12"/>
        <v>100</v>
      </c>
      <c r="T28" s="4044" t="s">
        <v>16</v>
      </c>
      <c r="U28" s="3406">
        <f t="shared" si="13"/>
        <v>100</v>
      </c>
      <c r="V28" s="4044" t="s">
        <v>16</v>
      </c>
      <c r="W28" s="3406">
        <f t="shared" si="14"/>
        <v>100</v>
      </c>
      <c r="X28" s="963"/>
      <c r="Y28" s="4965"/>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63"/>
      <c r="Q29" s="1618">
        <f t="shared" si="11"/>
        <v>111</v>
      </c>
      <c r="R29" s="4044" t="s">
        <v>16</v>
      </c>
      <c r="S29" s="3406">
        <f t="shared" si="12"/>
        <v>100</v>
      </c>
      <c r="T29" s="4044" t="s">
        <v>16</v>
      </c>
      <c r="U29" s="3406">
        <f t="shared" si="13"/>
        <v>100</v>
      </c>
      <c r="V29" s="4044" t="s">
        <v>16</v>
      </c>
      <c r="W29" s="3406">
        <f t="shared" si="14"/>
        <v>100</v>
      </c>
      <c r="X29" s="963"/>
      <c r="Y29" s="4965"/>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63"/>
      <c r="Q30" s="1618">
        <f t="shared" si="11"/>
        <v>111</v>
      </c>
      <c r="R30" s="4044" t="s">
        <v>16</v>
      </c>
      <c r="S30" s="3406">
        <f t="shared" si="12"/>
        <v>100</v>
      </c>
      <c r="T30" s="4044" t="s">
        <v>16</v>
      </c>
      <c r="U30" s="3406">
        <f t="shared" si="13"/>
        <v>100</v>
      </c>
      <c r="V30" s="4044" t="s">
        <v>16</v>
      </c>
      <c r="W30" s="3406">
        <f t="shared" si="14"/>
        <v>100</v>
      </c>
      <c r="X30" s="963"/>
      <c r="Y30" s="4965"/>
      <c r="Z30" s="964">
        <f t="shared" si="18"/>
        <v>111</v>
      </c>
      <c r="AA30" s="961">
        <f t="shared" si="15"/>
        <v>1</v>
      </c>
      <c r="AB30" s="961">
        <f t="shared" si="16"/>
        <v>1</v>
      </c>
      <c r="AC30" s="961">
        <f t="shared" si="17"/>
        <v>1</v>
      </c>
    </row>
    <row r="31" spans="1:29" ht="15.6"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63"/>
      <c r="Q31" s="1618">
        <f t="shared" si="11"/>
        <v>111</v>
      </c>
      <c r="R31" s="4044" t="s">
        <v>16</v>
      </c>
      <c r="S31" s="3406">
        <f t="shared" si="12"/>
        <v>100</v>
      </c>
      <c r="T31" s="4044" t="s">
        <v>16</v>
      </c>
      <c r="U31" s="3406">
        <f t="shared" si="13"/>
        <v>100</v>
      </c>
      <c r="V31" s="4044" t="s">
        <v>16</v>
      </c>
      <c r="W31" s="3406">
        <f t="shared" si="14"/>
        <v>100</v>
      </c>
      <c r="X31" s="963"/>
      <c r="Y31" s="4965"/>
      <c r="Z31" s="964">
        <f t="shared" si="18"/>
        <v>111</v>
      </c>
      <c r="AA31" s="961">
        <f t="shared" si="15"/>
        <v>1</v>
      </c>
      <c r="AB31" s="961">
        <f t="shared" si="16"/>
        <v>1</v>
      </c>
      <c r="AC31" s="961">
        <f t="shared" si="17"/>
        <v>1</v>
      </c>
    </row>
    <row r="32" spans="1:29" ht="15">
      <c r="A32" s="268" t="s">
        <v>1600</v>
      </c>
      <c r="B32" s="3033" t="s">
        <v>1601</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66" t="s">
        <v>1602</v>
      </c>
      <c r="Q32" s="1618" t="str">
        <f t="shared" si="11"/>
        <v>建筑类型</v>
      </c>
      <c r="R32" s="4044" t="s">
        <v>16</v>
      </c>
      <c r="S32" s="3406">
        <f t="shared" si="12"/>
        <v>100</v>
      </c>
      <c r="T32" s="4044" t="s">
        <v>16</v>
      </c>
      <c r="U32" s="3406">
        <f t="shared" si="13"/>
        <v>100</v>
      </c>
      <c r="V32" s="4044" t="s">
        <v>16</v>
      </c>
      <c r="W32" s="3406">
        <f t="shared" si="14"/>
        <v>100</v>
      </c>
      <c r="X32" s="963"/>
      <c r="Y32" s="4969" t="s">
        <v>1602</v>
      </c>
      <c r="Z32" s="964" t="str">
        <f t="shared" si="18"/>
        <v>建筑类型</v>
      </c>
      <c r="AA32" s="961">
        <f t="shared" si="15"/>
        <v>1</v>
      </c>
      <c r="AB32" s="961">
        <f t="shared" si="16"/>
        <v>1</v>
      </c>
      <c r="AC32" s="961">
        <f t="shared" si="17"/>
        <v>1</v>
      </c>
    </row>
    <row r="33" spans="1:29" s="285" customFormat="1" ht="15">
      <c r="A33" s="283"/>
      <c r="B33" s="3028" t="s">
        <v>1603</v>
      </c>
      <c r="C33" s="3124">
        <v>87000</v>
      </c>
      <c r="D33" s="3130">
        <v>100</v>
      </c>
      <c r="E33" s="3084">
        <v>87000</v>
      </c>
      <c r="F33" s="4028">
        <f>LOOKUP(E33,103:103,104:104)-LOOKUP(C33,103:103,104:104)+100</f>
        <v>100</v>
      </c>
      <c r="G33" s="3055">
        <v>50000</v>
      </c>
      <c r="H33" s="4040">
        <f>LOOKUP(G33,103:103,104:104)-LOOKUP(C33,103:103,104:104)+100</f>
        <v>100</v>
      </c>
      <c r="I33" s="3084">
        <v>158000</v>
      </c>
      <c r="J33" s="4040">
        <f>LOOKUP(I33,103:103,104:104)-LOOKUP(C33,103:103,104:104)+100</f>
        <v>105</v>
      </c>
      <c r="K33" s="3045"/>
      <c r="L33" s="2152"/>
      <c r="M33" s="2154"/>
      <c r="N33" s="2154"/>
      <c r="O33" s="2154"/>
      <c r="P33" s="4967"/>
      <c r="Q33" s="3106" t="str">
        <f t="shared" si="11"/>
        <v>项目建筑规模</v>
      </c>
      <c r="R33" s="4045" t="s">
        <v>16</v>
      </c>
      <c r="S33" s="3407">
        <f t="shared" si="12"/>
        <v>100</v>
      </c>
      <c r="T33" s="4045" t="s">
        <v>16</v>
      </c>
      <c r="U33" s="3407">
        <f t="shared" si="13"/>
        <v>100</v>
      </c>
      <c r="V33" s="4045" t="s">
        <v>16</v>
      </c>
      <c r="W33" s="3407">
        <f t="shared" si="14"/>
        <v>105</v>
      </c>
      <c r="X33" s="507"/>
      <c r="Y33" s="4969"/>
      <c r="Z33" s="508" t="str">
        <f t="shared" si="18"/>
        <v>项目建筑规模</v>
      </c>
      <c r="AA33" s="961">
        <f t="shared" si="15"/>
        <v>1</v>
      </c>
      <c r="AB33" s="961">
        <f t="shared" si="16"/>
        <v>1</v>
      </c>
      <c r="AC33" s="961">
        <f t="shared" si="17"/>
        <v>0.95238095238095233</v>
      </c>
    </row>
    <row r="34" spans="1:29" ht="15">
      <c r="A34" s="286"/>
      <c r="B34" s="3028" t="s">
        <v>1604</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67"/>
      <c r="Q34" s="1618" t="str">
        <f t="shared" si="11"/>
        <v>建筑结构</v>
      </c>
      <c r="R34" s="4044" t="s">
        <v>16</v>
      </c>
      <c r="S34" s="3406">
        <f t="shared" si="12"/>
        <v>100</v>
      </c>
      <c r="T34" s="4044" t="s">
        <v>16</v>
      </c>
      <c r="U34" s="3406">
        <f t="shared" si="13"/>
        <v>100</v>
      </c>
      <c r="V34" s="4044" t="s">
        <v>16</v>
      </c>
      <c r="W34" s="3406">
        <f t="shared" si="14"/>
        <v>100</v>
      </c>
      <c r="X34" s="963"/>
      <c r="Y34" s="4969"/>
      <c r="Z34" s="964" t="str">
        <f t="shared" si="18"/>
        <v>建筑结构</v>
      </c>
      <c r="AA34" s="961">
        <f t="shared" si="15"/>
        <v>1</v>
      </c>
      <c r="AB34" s="961">
        <f t="shared" si="16"/>
        <v>1</v>
      </c>
      <c r="AC34" s="961">
        <f t="shared" si="17"/>
        <v>1</v>
      </c>
    </row>
    <row r="35" spans="1:29" ht="15">
      <c r="A35" s="286"/>
      <c r="B35" s="3028" t="s">
        <v>1605</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67"/>
      <c r="Q35" s="1618" t="str">
        <f t="shared" si="11"/>
        <v>建筑品质</v>
      </c>
      <c r="R35" s="4044" t="s">
        <v>16</v>
      </c>
      <c r="S35" s="3406">
        <f t="shared" si="12"/>
        <v>100</v>
      </c>
      <c r="T35" s="4044" t="s">
        <v>16</v>
      </c>
      <c r="U35" s="3406">
        <f t="shared" si="13"/>
        <v>100</v>
      </c>
      <c r="V35" s="4044" t="s">
        <v>16</v>
      </c>
      <c r="W35" s="3406">
        <f t="shared" si="14"/>
        <v>100</v>
      </c>
      <c r="X35" s="963"/>
      <c r="Y35" s="4969"/>
      <c r="Z35" s="964" t="str">
        <f t="shared" si="18"/>
        <v>建筑品质</v>
      </c>
      <c r="AA35" s="961">
        <f t="shared" si="15"/>
        <v>1</v>
      </c>
      <c r="AB35" s="961">
        <f t="shared" si="16"/>
        <v>1</v>
      </c>
      <c r="AC35" s="961">
        <f t="shared" si="17"/>
        <v>1</v>
      </c>
    </row>
    <row r="36" spans="1:29" ht="15">
      <c r="A36" s="286"/>
      <c r="B36" s="3028" t="s">
        <v>1606</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67"/>
      <c r="Q36" s="1618" t="str">
        <f t="shared" si="11"/>
        <v>公共部分装修</v>
      </c>
      <c r="R36" s="4044" t="s">
        <v>16</v>
      </c>
      <c r="S36" s="3406">
        <f t="shared" si="12"/>
        <v>100</v>
      </c>
      <c r="T36" s="4044" t="s">
        <v>16</v>
      </c>
      <c r="U36" s="3406">
        <f t="shared" si="13"/>
        <v>100</v>
      </c>
      <c r="V36" s="4044" t="s">
        <v>16</v>
      </c>
      <c r="W36" s="3406">
        <f t="shared" si="14"/>
        <v>100</v>
      </c>
      <c r="X36" s="963"/>
      <c r="Y36" s="4969"/>
      <c r="Z36" s="964" t="str">
        <f t="shared" si="18"/>
        <v>公共部分装修</v>
      </c>
      <c r="AA36" s="961">
        <f t="shared" si="15"/>
        <v>1</v>
      </c>
      <c r="AB36" s="961">
        <f t="shared" si="16"/>
        <v>1</v>
      </c>
      <c r="AC36" s="961">
        <f t="shared" si="17"/>
        <v>1</v>
      </c>
    </row>
    <row r="37" spans="1:29" s="49" customFormat="1" ht="15">
      <c r="A37" s="287"/>
      <c r="B37" s="3028" t="s">
        <v>1607</v>
      </c>
      <c r="C37" s="3069">
        <v>0.6</v>
      </c>
      <c r="D37" s="3130">
        <v>100</v>
      </c>
      <c r="E37" s="3069">
        <v>0.6</v>
      </c>
      <c r="F37" s="4028">
        <f>LOOKUP(E37,112:112,113:113)-LOOKUP(C37,112:112,113:113)+100</f>
        <v>100</v>
      </c>
      <c r="G37" s="3117">
        <v>0.7</v>
      </c>
      <c r="H37" s="4040">
        <f>LOOKUP(G37,112:112,113:113)-LOOKUP(C37,112:112,113:113)+100</f>
        <v>101</v>
      </c>
      <c r="I37" s="3118">
        <v>0.75</v>
      </c>
      <c r="J37" s="4040">
        <f>LOOKUP(I37,112:112,113:113)-LOOKUP(C37,112:112,113:113)+100</f>
        <v>101.5</v>
      </c>
      <c r="K37" s="3044">
        <v>0.5</v>
      </c>
      <c r="L37" s="2148"/>
      <c r="M37" s="2149"/>
      <c r="N37" s="2149"/>
      <c r="O37" s="2149"/>
      <c r="P37" s="4967"/>
      <c r="Q37" s="3026" t="str">
        <f t="shared" si="11"/>
        <v>成新度</v>
      </c>
      <c r="R37" s="3923" t="s">
        <v>16</v>
      </c>
      <c r="S37" s="3405">
        <f t="shared" si="12"/>
        <v>100</v>
      </c>
      <c r="T37" s="3923" t="s">
        <v>16</v>
      </c>
      <c r="U37" s="3405">
        <f t="shared" si="13"/>
        <v>101</v>
      </c>
      <c r="V37" s="3923" t="s">
        <v>16</v>
      </c>
      <c r="W37" s="3405">
        <f t="shared" si="14"/>
        <v>101.5</v>
      </c>
      <c r="X37" s="504"/>
      <c r="Y37" s="4969"/>
      <c r="Z37" s="28" t="str">
        <f t="shared" si="18"/>
        <v>成新度</v>
      </c>
      <c r="AA37" s="505">
        <f t="shared" si="15"/>
        <v>1</v>
      </c>
      <c r="AB37" s="505">
        <f t="shared" si="16"/>
        <v>0.99009900990099009</v>
      </c>
      <c r="AC37" s="505">
        <f t="shared" si="17"/>
        <v>0.98522167487684731</v>
      </c>
    </row>
    <row r="38" spans="1:29" ht="15">
      <c r="A38" s="286"/>
      <c r="B38" s="3028" t="s">
        <v>1608</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67" t="s">
        <v>1602</v>
      </c>
      <c r="Q38" s="1618" t="str">
        <f t="shared" si="11"/>
        <v>物业管理</v>
      </c>
      <c r="R38" s="4044" t="s">
        <v>16</v>
      </c>
      <c r="S38" s="3406">
        <f t="shared" si="12"/>
        <v>100</v>
      </c>
      <c r="T38" s="4044" t="s">
        <v>16</v>
      </c>
      <c r="U38" s="3406">
        <f t="shared" si="13"/>
        <v>100</v>
      </c>
      <c r="V38" s="4044" t="s">
        <v>16</v>
      </c>
      <c r="W38" s="3406">
        <f t="shared" si="14"/>
        <v>100</v>
      </c>
      <c r="X38" s="963"/>
      <c r="Y38" s="4969" t="s">
        <v>1602</v>
      </c>
      <c r="Z38" s="964" t="str">
        <f t="shared" si="18"/>
        <v>物业管理</v>
      </c>
      <c r="AA38" s="961">
        <f t="shared" si="15"/>
        <v>1</v>
      </c>
      <c r="AB38" s="961">
        <f t="shared" si="16"/>
        <v>1</v>
      </c>
      <c r="AC38" s="961">
        <f t="shared" si="17"/>
        <v>1</v>
      </c>
    </row>
    <row r="39" spans="1:29" ht="15">
      <c r="A39" s="286"/>
      <c r="B39" s="3028" t="s">
        <v>1609</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67"/>
      <c r="Q39" s="1618" t="str">
        <f t="shared" si="11"/>
        <v>市政基础设施</v>
      </c>
      <c r="R39" s="4044" t="s">
        <v>16</v>
      </c>
      <c r="S39" s="3406">
        <f t="shared" si="12"/>
        <v>100</v>
      </c>
      <c r="T39" s="4044" t="s">
        <v>16</v>
      </c>
      <c r="U39" s="3406">
        <f t="shared" si="13"/>
        <v>100</v>
      </c>
      <c r="V39" s="4044" t="s">
        <v>16</v>
      </c>
      <c r="W39" s="3406">
        <f t="shared" si="14"/>
        <v>100</v>
      </c>
      <c r="X39" s="963"/>
      <c r="Y39" s="4969"/>
      <c r="Z39" s="964" t="str">
        <f t="shared" si="18"/>
        <v>市政基础设施</v>
      </c>
      <c r="AA39" s="961">
        <f t="shared" si="15"/>
        <v>1</v>
      </c>
      <c r="AB39" s="961">
        <f t="shared" si="16"/>
        <v>1</v>
      </c>
      <c r="AC39" s="961">
        <f t="shared" si="17"/>
        <v>1</v>
      </c>
    </row>
    <row r="40" spans="1:29" ht="15">
      <c r="A40" s="286"/>
      <c r="B40" s="3028" t="s">
        <v>1610</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67"/>
      <c r="Q40" s="1618" t="str">
        <f t="shared" si="11"/>
        <v>房型</v>
      </c>
      <c r="R40" s="4044" t="s">
        <v>16</v>
      </c>
      <c r="S40" s="3406">
        <f t="shared" si="12"/>
        <v>100</v>
      </c>
      <c r="T40" s="4044" t="s">
        <v>16</v>
      </c>
      <c r="U40" s="3406">
        <f t="shared" si="13"/>
        <v>100</v>
      </c>
      <c r="V40" s="4044" t="s">
        <v>16</v>
      </c>
      <c r="W40" s="3406">
        <f t="shared" si="14"/>
        <v>100</v>
      </c>
      <c r="X40" s="963"/>
      <c r="Y40" s="4969"/>
      <c r="Z40" s="964" t="str">
        <f t="shared" si="18"/>
        <v>房型</v>
      </c>
      <c r="AA40" s="961">
        <f t="shared" si="15"/>
        <v>1</v>
      </c>
      <c r="AB40" s="961">
        <f t="shared" si="16"/>
        <v>1</v>
      </c>
      <c r="AC40" s="961">
        <f t="shared" si="17"/>
        <v>1</v>
      </c>
    </row>
    <row r="41" spans="1:29" s="285" customFormat="1" ht="28.8">
      <c r="A41" s="283"/>
      <c r="B41" s="3028" t="s">
        <v>1611</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67"/>
      <c r="Q41" s="3106" t="str">
        <f t="shared" si="11"/>
        <v>单套/主力户型建筑面积</v>
      </c>
      <c r="R41" s="4045" t="s">
        <v>16</v>
      </c>
      <c r="S41" s="3407">
        <f t="shared" si="12"/>
        <v>100</v>
      </c>
      <c r="T41" s="4045" t="s">
        <v>16</v>
      </c>
      <c r="U41" s="3407">
        <f t="shared" si="13"/>
        <v>100</v>
      </c>
      <c r="V41" s="4045" t="s">
        <v>16</v>
      </c>
      <c r="W41" s="3407">
        <f t="shared" si="14"/>
        <v>100</v>
      </c>
      <c r="X41" s="507"/>
      <c r="Y41" s="4969"/>
      <c r="Z41" s="508" t="str">
        <f t="shared" si="18"/>
        <v>单套/主力户型建筑面积</v>
      </c>
      <c r="AA41" s="961">
        <f t="shared" si="15"/>
        <v>1</v>
      </c>
      <c r="AB41" s="961">
        <f t="shared" si="16"/>
        <v>1</v>
      </c>
      <c r="AC41" s="961">
        <f t="shared" si="17"/>
        <v>1</v>
      </c>
    </row>
    <row r="42" spans="1:29" ht="15">
      <c r="A42" s="286"/>
      <c r="B42" s="3028" t="s">
        <v>1612</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67"/>
      <c r="Q42" s="1618" t="str">
        <f t="shared" si="11"/>
        <v>内部装修</v>
      </c>
      <c r="R42" s="4044" t="s">
        <v>16</v>
      </c>
      <c r="S42" s="3406">
        <f t="shared" si="12"/>
        <v>100</v>
      </c>
      <c r="T42" s="4044" t="s">
        <v>16</v>
      </c>
      <c r="U42" s="3406">
        <f t="shared" si="13"/>
        <v>100</v>
      </c>
      <c r="V42" s="4044" t="s">
        <v>16</v>
      </c>
      <c r="W42" s="3406">
        <f t="shared" si="14"/>
        <v>100</v>
      </c>
      <c r="X42" s="963"/>
      <c r="Y42" s="4969"/>
      <c r="Z42" s="964" t="str">
        <f t="shared" si="18"/>
        <v>内部装修</v>
      </c>
      <c r="AA42" s="961">
        <f t="shared" si="15"/>
        <v>1</v>
      </c>
      <c r="AB42" s="961">
        <f t="shared" si="16"/>
        <v>1</v>
      </c>
      <c r="AC42" s="961">
        <f t="shared" si="17"/>
        <v>1</v>
      </c>
    </row>
    <row r="43" spans="1:29" ht="28.8">
      <c r="A43" s="286"/>
      <c r="B43" s="3028" t="s">
        <v>1613</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67"/>
      <c r="Q43" s="1618" t="str">
        <f t="shared" si="11"/>
        <v>内部装修维护情况</v>
      </c>
      <c r="R43" s="4044" t="s">
        <v>16</v>
      </c>
      <c r="S43" s="3406">
        <f t="shared" si="12"/>
        <v>100</v>
      </c>
      <c r="T43" s="4044" t="s">
        <v>16</v>
      </c>
      <c r="U43" s="3406">
        <f t="shared" si="13"/>
        <v>100</v>
      </c>
      <c r="V43" s="4044" t="s">
        <v>16</v>
      </c>
      <c r="W43" s="3406">
        <f t="shared" si="14"/>
        <v>100</v>
      </c>
      <c r="X43" s="963"/>
      <c r="Y43" s="4969"/>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67"/>
      <c r="Q44" s="3026">
        <f t="shared" si="11"/>
        <v>111</v>
      </c>
      <c r="R44" s="3923" t="s">
        <v>16</v>
      </c>
      <c r="S44" s="3405">
        <f t="shared" si="12"/>
        <v>100</v>
      </c>
      <c r="T44" s="3923" t="s">
        <v>16</v>
      </c>
      <c r="U44" s="3405">
        <f t="shared" si="13"/>
        <v>100</v>
      </c>
      <c r="V44" s="3923" t="s">
        <v>16</v>
      </c>
      <c r="W44" s="3405">
        <f t="shared" si="14"/>
        <v>100</v>
      </c>
      <c r="X44" s="504"/>
      <c r="Y44" s="4969"/>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67"/>
      <c r="Q45" s="1618">
        <f t="shared" si="11"/>
        <v>111</v>
      </c>
      <c r="R45" s="4044" t="s">
        <v>16</v>
      </c>
      <c r="S45" s="3406">
        <f t="shared" si="12"/>
        <v>100</v>
      </c>
      <c r="T45" s="4044" t="s">
        <v>16</v>
      </c>
      <c r="U45" s="3406">
        <f t="shared" si="13"/>
        <v>100</v>
      </c>
      <c r="V45" s="4044" t="s">
        <v>16</v>
      </c>
      <c r="W45" s="3406">
        <f t="shared" si="14"/>
        <v>100</v>
      </c>
      <c r="X45" s="963"/>
      <c r="Y45" s="4969"/>
      <c r="Z45" s="964">
        <f t="shared" si="18"/>
        <v>111</v>
      </c>
      <c r="AA45" s="961">
        <f t="shared" si="15"/>
        <v>1</v>
      </c>
      <c r="AB45" s="961">
        <f t="shared" si="16"/>
        <v>1</v>
      </c>
      <c r="AC45" s="961">
        <f t="shared" si="17"/>
        <v>1</v>
      </c>
    </row>
    <row r="46" spans="1:29" ht="15.6"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68"/>
      <c r="Q46" s="1618">
        <f t="shared" si="11"/>
        <v>111</v>
      </c>
      <c r="R46" s="4044" t="s">
        <v>15</v>
      </c>
      <c r="S46" s="3406">
        <f t="shared" si="12"/>
        <v>100</v>
      </c>
      <c r="T46" s="4044" t="s">
        <v>15</v>
      </c>
      <c r="U46" s="3406">
        <f t="shared" si="13"/>
        <v>100</v>
      </c>
      <c r="V46" s="4044" t="s">
        <v>15</v>
      </c>
      <c r="W46" s="3406">
        <f t="shared" si="14"/>
        <v>100</v>
      </c>
      <c r="X46" s="963"/>
      <c r="Y46" s="4970"/>
      <c r="Z46" s="964">
        <f t="shared" si="18"/>
        <v>111</v>
      </c>
      <c r="AA46" s="961">
        <f t="shared" si="15"/>
        <v>1</v>
      </c>
      <c r="AB46" s="961">
        <f t="shared" si="16"/>
        <v>1</v>
      </c>
      <c r="AC46" s="961">
        <f t="shared" si="17"/>
        <v>1</v>
      </c>
    </row>
    <row r="47" spans="1:29" ht="14.4">
      <c r="A47" s="292" t="s">
        <v>1614</v>
      </c>
      <c r="B47" s="293"/>
      <c r="C47" s="808" t="s">
        <v>14</v>
      </c>
      <c r="D47" s="809"/>
      <c r="E47" s="3458">
        <f>Sheet1!B24</f>
        <v>34.57</v>
      </c>
      <c r="F47" s="810"/>
      <c r="G47" s="3459">
        <f>Sheet1!B25</f>
        <v>35.18</v>
      </c>
      <c r="H47" s="811"/>
      <c r="I47" s="3458">
        <f>Sheet1!B26</f>
        <v>42.99</v>
      </c>
      <c r="J47" s="811"/>
      <c r="K47" s="3049"/>
      <c r="L47" s="2155"/>
      <c r="M47" s="2156"/>
      <c r="N47" s="2147"/>
      <c r="O47" s="2156"/>
      <c r="P47" s="4971" t="str">
        <f>A47</f>
        <v>成交单价（元/平方米）</v>
      </c>
      <c r="Q47" s="4971"/>
      <c r="R47" s="4972">
        <f>E47</f>
        <v>34.57</v>
      </c>
      <c r="S47" s="4972"/>
      <c r="T47" s="4972">
        <f>G47</f>
        <v>35.18</v>
      </c>
      <c r="U47" s="4972"/>
      <c r="V47" s="4972">
        <f>I47</f>
        <v>42.99</v>
      </c>
      <c r="W47" s="4972"/>
      <c r="X47" s="493"/>
      <c r="Y47" s="509"/>
      <c r="Z47" s="493"/>
      <c r="AA47" s="493"/>
      <c r="AB47" s="493"/>
      <c r="AC47" s="493"/>
    </row>
    <row r="48" spans="1:29" ht="15" thickBot="1">
      <c r="A48" s="295" t="s">
        <v>1615</v>
      </c>
      <c r="B48" s="296"/>
      <c r="C48" s="4042">
        <f>R49</f>
        <v>36.6</v>
      </c>
      <c r="D48" s="4199" t="s">
        <v>2041</v>
      </c>
      <c r="E48" s="3127">
        <f>R48</f>
        <v>34.6</v>
      </c>
      <c r="F48" s="3042"/>
      <c r="G48" s="3126">
        <f>T48</f>
        <v>34.799999999999997</v>
      </c>
      <c r="H48" s="3042"/>
      <c r="I48" s="3127">
        <f>V48</f>
        <v>40.299999999999997</v>
      </c>
      <c r="J48" s="3042"/>
      <c r="K48" s="3097">
        <f>F48+H48+J48</f>
        <v>0</v>
      </c>
      <c r="L48" s="2155"/>
      <c r="M48" s="2156"/>
      <c r="N48" s="2156"/>
      <c r="O48" s="2156"/>
      <c r="P48" s="4971" t="str">
        <f>A48</f>
        <v>比较价值（元/平方米）</v>
      </c>
      <c r="Q48" s="4971"/>
      <c r="R48" s="4972">
        <f>IF(F1="售价",ROUND(PRODUCT(R47,AA7:AA46),0),ROUND(PRODUCT(R47,AA7:AA46),1))</f>
        <v>34.6</v>
      </c>
      <c r="S48" s="4972"/>
      <c r="T48" s="4972">
        <f>IF(F1="售价",ROUND(PRODUCT(T47,AB7:AB46),0),ROUND(PRODUCT(T47,AB7:AB46),1))</f>
        <v>34.799999999999997</v>
      </c>
      <c r="U48" s="4972"/>
      <c r="V48" s="4972">
        <f>IF(F1="售价",ROUND(PRODUCT(V47,AC7:AC46),0),ROUND(PRODUCT(V47,AC7:AC46),1))</f>
        <v>40.299999999999997</v>
      </c>
      <c r="W48" s="4972"/>
      <c r="X48" s="493"/>
      <c r="Y48" s="493"/>
      <c r="Z48" s="493"/>
      <c r="AA48" s="493"/>
      <c r="AB48" s="493"/>
      <c r="AC48" s="493"/>
    </row>
    <row r="49" spans="1:29" ht="15" thickBot="1">
      <c r="A49" s="297" t="s">
        <v>1616</v>
      </c>
      <c r="B49" s="298"/>
      <c r="C49" s="4043">
        <f>R49</f>
        <v>36.6</v>
      </c>
      <c r="D49" s="812"/>
      <c r="E49" s="812"/>
      <c r="F49" s="812"/>
      <c r="G49" s="812"/>
      <c r="H49" s="812"/>
      <c r="I49" s="812"/>
      <c r="J49" s="812"/>
      <c r="K49" s="1474"/>
      <c r="L49" s="2155"/>
      <c r="M49" s="2156"/>
      <c r="N49" s="2156"/>
      <c r="O49" s="2156"/>
      <c r="P49" s="4973" t="str">
        <f>A49</f>
        <v>估价对象XX用房的比较价值（楼面单价，元/平方米）</v>
      </c>
      <c r="Q49" s="4974"/>
      <c r="R49" s="4975">
        <f>IF(F1="售价",ROUND(IF(D48="简单平均",AVERAGE(R48:V48),R48*F48+T48*H48+V48*J48),0),ROUND(IF(D48="简单平均",AVERAGE(R48:V48),R48*F48+T48*H48+V48*J48),1))</f>
        <v>36.6</v>
      </c>
      <c r="S49" s="4975"/>
      <c r="T49" s="4975"/>
      <c r="U49" s="4975"/>
      <c r="V49" s="4975"/>
      <c r="W49" s="497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1617</v>
      </c>
      <c r="D52" s="303"/>
      <c r="E52" s="304">
        <f>IF(E47&lt;E48,E48/E47-1,E47/E48-1)</f>
        <v>8.6780445472967038E-4</v>
      </c>
      <c r="F52" s="305" t="str">
        <f>IF(OR(E52&gt;=0.3,E52&lt;=-0.3),"超过30%","")</f>
        <v/>
      </c>
      <c r="G52" s="304">
        <f>IF(G47&lt;G48,G48/G47-1,G47/G48-1)</f>
        <v>1.0919540229885172E-2</v>
      </c>
      <c r="H52" s="305" t="str">
        <f>IF(OR(G52&gt;=0.3,G52&lt;=-0.3),"超过30%","")</f>
        <v/>
      </c>
      <c r="I52" s="304">
        <f>IF(I47&lt;I48,I48/I47-1,I47/I48-1)</f>
        <v>6.6749379652605523E-2</v>
      </c>
      <c r="J52" s="305" t="str">
        <f>IF(OR(I52&gt;=0.3,I52&lt;=-0.3),"超过30%","")</f>
        <v/>
      </c>
      <c r="K52" s="2161"/>
      <c r="L52" s="2157"/>
      <c r="M52" s="2156"/>
      <c r="N52" s="2156"/>
      <c r="O52" s="2156"/>
    </row>
    <row r="53" spans="1:29" ht="13.5" customHeight="1">
      <c r="A53" s="2156"/>
      <c r="B53" s="2156"/>
      <c r="C53" s="302" t="s">
        <v>1618</v>
      </c>
      <c r="D53" s="306"/>
      <c r="E53" s="304">
        <f>IF(E48&lt;G48,G48/E48-1,E48/G48-1)</f>
        <v>5.7803468208090791E-3</v>
      </c>
      <c r="F53" s="305" t="str">
        <f>IF(OR(E53&gt;=0.2,E53&lt;=-0.2),"超过20%","")</f>
        <v/>
      </c>
      <c r="G53" s="304">
        <f>IF(G48&lt;I48,I48/G48-1,G48/I48-1)</f>
        <v>0.15804597701149437</v>
      </c>
      <c r="H53" s="305" t="str">
        <f>IF(OR(G53&gt;=0.2,G53&lt;=-0.2),"超过20%","")</f>
        <v/>
      </c>
      <c r="I53" s="304">
        <f>IF(I48&lt;E48,E48/I48-1,I48/E48-1)</f>
        <v>0.16473988439306342</v>
      </c>
      <c r="J53" s="305" t="str">
        <f>IF(OR(I53&gt;=0.2,I53&lt;=-0.2),"超过20%","")</f>
        <v/>
      </c>
      <c r="K53" s="2161"/>
      <c r="L53" s="2157"/>
      <c r="M53" s="2156"/>
      <c r="N53" s="2156"/>
      <c r="O53" s="2156"/>
    </row>
    <row r="54" spans="1:29" s="307" customFormat="1" ht="13.5" customHeight="1">
      <c r="A54" s="2159"/>
      <c r="B54" s="2159"/>
      <c r="C54" s="302" t="s">
        <v>1619</v>
      </c>
      <c r="D54" s="306"/>
      <c r="E54" s="304">
        <f>IF(E47&lt;G47,G47/E47-1,E47/G47-1)</f>
        <v>1.7645357246167226E-2</v>
      </c>
      <c r="F54" s="305" t="str">
        <f>IF(OR(E54&gt;=0.3,E54&lt;=-0.3),"超过30%","")</f>
        <v/>
      </c>
      <c r="G54" s="304">
        <f>IF(G47&lt;I47,I47/G47-1,G47/I47-1)</f>
        <v>0.22200113700966462</v>
      </c>
      <c r="H54" s="305" t="str">
        <f>IF(OR(G54&gt;=0.3,G54&lt;=-0.3),"超过30%","")</f>
        <v/>
      </c>
      <c r="I54" s="304">
        <f>IF(I47&lt;E47,E47/I47-1,I47/E47-1)</f>
        <v>0.2435637836274227</v>
      </c>
      <c r="J54" s="305" t="str">
        <f>IF(OR(I54&gt;=0.3,I54&lt;=-0.3),"超过30%","")</f>
        <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1620</v>
      </c>
      <c r="B57" s="493"/>
      <c r="C57" s="498"/>
      <c r="D57" s="498"/>
      <c r="E57" s="498"/>
      <c r="F57" s="499"/>
      <c r="G57" s="499"/>
      <c r="H57" s="498"/>
      <c r="I57" s="498"/>
      <c r="J57" s="498"/>
      <c r="K57" s="653"/>
      <c r="L57" s="654"/>
      <c r="M57" s="652"/>
      <c r="N57" s="652"/>
      <c r="O57" s="652"/>
      <c r="P57" s="1477"/>
      <c r="Q57" s="308"/>
    </row>
    <row r="58" spans="1:29" s="311" customFormat="1" ht="14.4">
      <c r="A58" s="309" t="s">
        <v>1621</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c r="A59" s="312"/>
      <c r="B59" s="1478"/>
      <c r="C59" s="827">
        <v>100</v>
      </c>
      <c r="D59" s="314">
        <v>100</v>
      </c>
      <c r="E59" s="315"/>
      <c r="F59" s="315"/>
      <c r="G59" s="315"/>
      <c r="H59" s="315"/>
      <c r="I59" s="315"/>
      <c r="J59" s="315"/>
      <c r="K59" s="315"/>
      <c r="L59" s="315"/>
      <c r="M59" s="316"/>
      <c r="N59" s="315"/>
      <c r="O59" s="316"/>
      <c r="P59" s="1479"/>
    </row>
    <row r="60" spans="1:29" s="49" customFormat="1" ht="15" thickBot="1">
      <c r="A60" s="318" t="s">
        <v>1622</v>
      </c>
      <c r="B60" s="319"/>
      <c r="C60" s="320"/>
      <c r="D60" s="321"/>
      <c r="E60" s="321"/>
      <c r="F60" s="321"/>
      <c r="G60" s="321"/>
      <c r="H60" s="321"/>
      <c r="I60" s="321"/>
      <c r="J60" s="321"/>
      <c r="K60" s="321"/>
      <c r="L60" s="321"/>
      <c r="M60" s="322"/>
      <c r="N60" s="321"/>
      <c r="O60" s="322"/>
      <c r="P60" s="1479"/>
      <c r="Q60" s="308"/>
    </row>
    <row r="61" spans="1:29" s="49" customFormat="1" ht="14.4">
      <c r="A61" s="324" t="s">
        <v>1623</v>
      </c>
      <c r="B61" s="313"/>
      <c r="C61" s="325" t="s">
        <v>1624</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1625</v>
      </c>
      <c r="B63" s="330" t="s">
        <v>1591</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1594</v>
      </c>
      <c r="C65" s="382"/>
      <c r="D65" s="382"/>
      <c r="E65" s="382"/>
      <c r="F65" s="382"/>
      <c r="G65" s="382"/>
      <c r="H65" s="382"/>
      <c r="I65" s="382"/>
      <c r="J65" s="382"/>
      <c r="K65" s="382"/>
      <c r="L65" s="382"/>
      <c r="M65" s="382"/>
      <c r="N65" s="646"/>
      <c r="O65" s="646"/>
      <c r="P65" s="1481"/>
      <c r="Q65" s="308"/>
    </row>
    <row r="66" spans="1:17" ht="15" thickBot="1">
      <c r="A66" s="336"/>
      <c r="B66" s="345" t="s">
        <v>3874</v>
      </c>
      <c r="C66" s="338"/>
      <c r="D66" s="338"/>
      <c r="E66" s="338"/>
      <c r="F66" s="338"/>
      <c r="G66" s="338"/>
      <c r="H66" s="338"/>
      <c r="I66" s="338"/>
      <c r="J66" s="338"/>
      <c r="K66" s="338"/>
      <c r="L66" s="338"/>
      <c r="M66" s="339"/>
      <c r="N66" s="646"/>
      <c r="O66" s="646"/>
      <c r="P66" s="1481"/>
      <c r="Q66" s="308"/>
    </row>
    <row r="67" spans="1:17" ht="15" thickTop="1">
      <c r="A67" s="336"/>
      <c r="B67" s="348" t="s">
        <v>1595</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1596</v>
      </c>
      <c r="B76" s="330" t="s">
        <v>1626</v>
      </c>
      <c r="C76" s="373" t="s">
        <v>1627</v>
      </c>
      <c r="D76" s="373" t="s">
        <v>1628</v>
      </c>
      <c r="E76" s="373" t="s">
        <v>1629</v>
      </c>
      <c r="F76" s="373" t="s">
        <v>1630</v>
      </c>
      <c r="G76" s="373" t="s">
        <v>1631</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1632</v>
      </c>
      <c r="C78" s="377" t="s">
        <v>1627</v>
      </c>
      <c r="D78" s="377" t="s">
        <v>1628</v>
      </c>
      <c r="E78" s="377" t="s">
        <v>1629</v>
      </c>
      <c r="F78" s="377" t="s">
        <v>1630</v>
      </c>
      <c r="G78" s="377" t="s">
        <v>1631</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1633</v>
      </c>
      <c r="C80" s="377" t="s">
        <v>1627</v>
      </c>
      <c r="D80" s="377" t="s">
        <v>1628</v>
      </c>
      <c r="E80" s="377" t="s">
        <v>1629</v>
      </c>
      <c r="F80" s="377" t="s">
        <v>1630</v>
      </c>
      <c r="G80" s="377" t="s">
        <v>1631</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1237</v>
      </c>
      <c r="C82" s="341" t="s">
        <v>1634</v>
      </c>
      <c r="D82" s="341" t="s">
        <v>1635</v>
      </c>
      <c r="E82" s="341" t="s">
        <v>1636</v>
      </c>
      <c r="F82" s="341" t="s">
        <v>1637</v>
      </c>
      <c r="G82" s="341" t="s">
        <v>1638</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1639</v>
      </c>
      <c r="C84" s="377" t="s">
        <v>1627</v>
      </c>
      <c r="D84" s="377" t="s">
        <v>1628</v>
      </c>
      <c r="E84" s="377" t="s">
        <v>1629</v>
      </c>
      <c r="F84" s="377" t="s">
        <v>1630</v>
      </c>
      <c r="G84" s="377" t="s">
        <v>1631</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1640</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1641</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1600</v>
      </c>
      <c r="B100" s="330" t="s">
        <v>1642</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28.2" thickTop="1">
      <c r="A102" s="336"/>
      <c r="B102" s="340" t="s">
        <v>1643</v>
      </c>
      <c r="C102" s="377" t="str">
        <f>C103&amp;"(含)"&amp;"-"&amp;D103</f>
        <v>0(含)-100000</v>
      </c>
      <c r="D102" s="377" t="str">
        <f t="shared" ref="D102:L102" si="26">D103&amp;"(含)"&amp;"-"&amp;E103</f>
        <v>100000(含)-200000</v>
      </c>
      <c r="E102" s="377" t="str">
        <f t="shared" si="26"/>
        <v>200000(含)-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v>0</v>
      </c>
      <c r="D103" s="394">
        <v>100000</v>
      </c>
      <c r="E103" s="394">
        <v>200000</v>
      </c>
      <c r="F103" s="394"/>
      <c r="G103" s="394"/>
      <c r="H103" s="394"/>
      <c r="I103" s="394"/>
      <c r="J103" s="395"/>
      <c r="K103" s="395"/>
      <c r="L103" s="396"/>
      <c r="M103" s="397"/>
      <c r="N103" s="647"/>
      <c r="O103" s="647"/>
      <c r="P103" s="1482"/>
      <c r="Q103" s="360"/>
    </row>
    <row r="104" spans="1:17" s="285" customFormat="1" ht="14.4" thickBot="1">
      <c r="A104" s="355"/>
      <c r="B104" s="345"/>
      <c r="C104" s="361">
        <v>90</v>
      </c>
      <c r="D104" s="338">
        <v>95</v>
      </c>
      <c r="E104" s="338">
        <v>100</v>
      </c>
      <c r="F104" s="338"/>
      <c r="G104" s="338"/>
      <c r="H104" s="338"/>
      <c r="I104" s="338"/>
      <c r="J104" s="338"/>
      <c r="K104" s="338"/>
      <c r="L104" s="338"/>
      <c r="M104" s="338"/>
      <c r="N104" s="646"/>
      <c r="O104" s="646"/>
      <c r="P104" s="1482"/>
      <c r="Q104" s="360"/>
    </row>
    <row r="105" spans="1:17" ht="15" thickTop="1">
      <c r="A105" s="398"/>
      <c r="B105" s="340" t="s">
        <v>1644</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1645</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1646</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1172</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100.5</v>
      </c>
      <c r="E113" s="346">
        <f>D113+$K37</f>
        <v>101</v>
      </c>
      <c r="F113" s="346">
        <f>E113+$K37</f>
        <v>101.5</v>
      </c>
      <c r="G113" s="346">
        <f>F113+$K37</f>
        <v>102</v>
      </c>
      <c r="H113" s="346">
        <f>G113+$K37</f>
        <v>102.5</v>
      </c>
      <c r="I113" s="346">
        <f t="shared" ref="I113:M113" si="32">H113+$K37</f>
        <v>103</v>
      </c>
      <c r="J113" s="346">
        <f t="shared" si="32"/>
        <v>103.5</v>
      </c>
      <c r="K113" s="346">
        <f t="shared" si="32"/>
        <v>104</v>
      </c>
      <c r="L113" s="346">
        <f t="shared" si="32"/>
        <v>104.5</v>
      </c>
      <c r="M113" s="346">
        <f t="shared" si="32"/>
        <v>105</v>
      </c>
      <c r="N113" s="647"/>
      <c r="O113" s="647"/>
      <c r="P113" s="1482"/>
      <c r="Q113" s="360"/>
    </row>
    <row r="114" spans="1:17" ht="15" thickTop="1">
      <c r="A114" s="398"/>
      <c r="B114" s="340" t="s">
        <v>1647</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1648</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1649</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1611</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1650</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1651</v>
      </c>
      <c r="C124" s="377" t="s">
        <v>1627</v>
      </c>
      <c r="D124" s="377" t="s">
        <v>1628</v>
      </c>
      <c r="E124" s="377" t="s">
        <v>1629</v>
      </c>
      <c r="F124" s="377" t="s">
        <v>1630</v>
      </c>
      <c r="G124" s="377" t="s">
        <v>1631</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1652</v>
      </c>
    </row>
    <row r="137" spans="1:17" ht="15">
      <c r="B137" s="1489" t="s">
        <v>1653</v>
      </c>
      <c r="C137" s="1490"/>
      <c r="D137" s="1490"/>
      <c r="E137" s="1490"/>
      <c r="F137" s="1490"/>
      <c r="G137" s="1491"/>
      <c r="H137" s="1492"/>
      <c r="I137" s="1493" t="s">
        <v>1654</v>
      </c>
      <c r="J137" s="1490"/>
      <c r="K137" s="1494"/>
    </row>
    <row r="138" spans="1:17" ht="15">
      <c r="B138" s="1495"/>
      <c r="C138" s="55" t="s">
        <v>1655</v>
      </c>
      <c r="D138" s="55" t="s">
        <v>1656</v>
      </c>
      <c r="E138" s="1496" t="s">
        <v>1657</v>
      </c>
      <c r="F138" s="1497" t="s">
        <v>1658</v>
      </c>
      <c r="G138" s="55" t="s">
        <v>1656</v>
      </c>
      <c r="H138" s="56" t="s">
        <v>1657</v>
      </c>
      <c r="I138" s="1498"/>
      <c r="J138" s="55" t="s">
        <v>1659</v>
      </c>
      <c r="K138" s="56" t="s">
        <v>1660</v>
      </c>
    </row>
    <row r="139" spans="1:17" ht="15">
      <c r="B139" s="588">
        <v>6</v>
      </c>
      <c r="C139" s="589">
        <v>96</v>
      </c>
      <c r="D139" s="1499" t="s">
        <v>1661</v>
      </c>
      <c r="E139" s="590">
        <v>100</v>
      </c>
      <c r="F139" s="591">
        <v>102.5</v>
      </c>
      <c r="G139" s="1499" t="s">
        <v>1661</v>
      </c>
      <c r="H139" s="592">
        <v>105</v>
      </c>
      <c r="I139" s="1500" t="s">
        <v>1662</v>
      </c>
      <c r="J139" s="589">
        <v>20</v>
      </c>
      <c r="K139" s="593">
        <f>C145/(J139-2)</f>
        <v>4.0555555555555553E-3</v>
      </c>
    </row>
    <row r="140" spans="1:17" ht="15">
      <c r="B140" s="594">
        <v>5</v>
      </c>
      <c r="C140" s="595">
        <v>100</v>
      </c>
      <c r="D140" s="595"/>
      <c r="E140" s="596"/>
      <c r="F140" s="597">
        <v>102</v>
      </c>
      <c r="G140" s="595"/>
      <c r="H140" s="598"/>
      <c r="I140" s="1501" t="s">
        <v>1663</v>
      </c>
      <c r="J140" s="170">
        <f>ROUNDUP((J139-1)/2,0)</f>
        <v>10</v>
      </c>
      <c r="K140" s="599">
        <v>100</v>
      </c>
    </row>
    <row r="141" spans="1:17" ht="15">
      <c r="B141" s="594">
        <v>4</v>
      </c>
      <c r="C141" s="595">
        <v>102</v>
      </c>
      <c r="D141" s="595"/>
      <c r="E141" s="596"/>
      <c r="F141" s="597">
        <v>101.5</v>
      </c>
      <c r="G141" s="595"/>
      <c r="H141" s="598"/>
      <c r="I141" s="1501" t="s">
        <v>1664</v>
      </c>
      <c r="J141" s="170">
        <v>1</v>
      </c>
      <c r="K141" s="600">
        <f>ROUND(100+(J141-J140)*K139*100,1)</f>
        <v>96.4</v>
      </c>
    </row>
    <row r="142" spans="1:17" ht="15">
      <c r="B142" s="594">
        <v>3</v>
      </c>
      <c r="C142" s="595">
        <v>103</v>
      </c>
      <c r="D142" s="595"/>
      <c r="E142" s="596"/>
      <c r="F142" s="597">
        <v>101</v>
      </c>
      <c r="G142" s="595"/>
      <c r="H142" s="598"/>
      <c r="I142" s="1501" t="s">
        <v>1665</v>
      </c>
      <c r="J142" s="170">
        <f>J139</f>
        <v>20</v>
      </c>
      <c r="K142" s="601">
        <v>95</v>
      </c>
    </row>
    <row r="143" spans="1:17" ht="15">
      <c r="B143" s="594">
        <v>2</v>
      </c>
      <c r="C143" s="595">
        <v>100</v>
      </c>
      <c r="D143" s="595"/>
      <c r="E143" s="596"/>
      <c r="F143" s="597">
        <v>100.5</v>
      </c>
      <c r="G143" s="595"/>
      <c r="H143" s="598"/>
      <c r="I143" s="1501" t="s">
        <v>1666</v>
      </c>
      <c r="J143" s="595">
        <v>15</v>
      </c>
      <c r="K143" s="600">
        <f>ROUND(100+(J143-J140)*K139*100,1)</f>
        <v>102</v>
      </c>
    </row>
    <row r="144" spans="1:17" ht="15">
      <c r="B144" s="594">
        <v>1</v>
      </c>
      <c r="C144" s="595">
        <v>98</v>
      </c>
      <c r="D144" s="1502" t="s">
        <v>1667</v>
      </c>
      <c r="E144" s="596">
        <v>102</v>
      </c>
      <c r="F144" s="602">
        <v>100</v>
      </c>
      <c r="G144" s="1502" t="s">
        <v>1667</v>
      </c>
      <c r="H144" s="598">
        <v>105</v>
      </c>
      <c r="I144" s="1501" t="s">
        <v>1666</v>
      </c>
      <c r="J144" s="595">
        <v>18</v>
      </c>
      <c r="K144" s="600">
        <f>ROUND(100+(J144-J140)*K139*100,1)</f>
        <v>103.2</v>
      </c>
    </row>
    <row r="145" spans="2:11" ht="16.2" thickBot="1">
      <c r="B145" s="1503" t="s">
        <v>1668</v>
      </c>
      <c r="C145" s="603">
        <f>ROUND(MAX(C139:C144)/MIN(C139:C144)-1,3)</f>
        <v>7.2999999999999995E-2</v>
      </c>
      <c r="D145" s="604"/>
      <c r="E145" s="604"/>
      <c r="F145" s="1504" t="s">
        <v>1669</v>
      </c>
      <c r="G145" s="1505"/>
      <c r="H145" s="1506"/>
      <c r="I145" s="1507" t="s">
        <v>1666</v>
      </c>
      <c r="J145" s="605">
        <v>8</v>
      </c>
      <c r="K145" s="606">
        <f>ROUND(100+(J145-J140)*K139*100,1)</f>
        <v>99.2</v>
      </c>
    </row>
    <row r="147" spans="2:11" ht="14.4">
      <c r="B147" s="1488" t="s">
        <v>1670</v>
      </c>
    </row>
    <row r="148" spans="2:11" ht="14.4">
      <c r="B148" s="1488" t="s">
        <v>1671</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3076" t="s">
        <v>1672</v>
      </c>
      <c r="C1" s="876" t="s">
        <v>1568</v>
      </c>
      <c r="D1" s="863"/>
      <c r="E1" s="2701"/>
      <c r="F1" s="1453"/>
      <c r="G1" s="873" t="s">
        <v>1673</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1430</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1432</v>
      </c>
      <c r="B3" s="3122">
        <f>IF(E2="——",C49,ROUND(B2*10000/D3,0))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1675</v>
      </c>
      <c r="B4" s="242"/>
      <c r="C4" s="4923" t="s">
        <v>1676</v>
      </c>
      <c r="D4" s="4924"/>
      <c r="E4" s="4925" t="s">
        <v>1677</v>
      </c>
      <c r="F4" s="4926"/>
      <c r="G4" s="4923" t="s">
        <v>1678</v>
      </c>
      <c r="H4" s="4924"/>
      <c r="I4" s="4923" t="s">
        <v>1679</v>
      </c>
      <c r="J4" s="4924"/>
      <c r="K4" s="3105" t="s">
        <v>1680</v>
      </c>
      <c r="L4" s="2146"/>
      <c r="M4" s="2147"/>
      <c r="N4" s="2147"/>
      <c r="O4" s="2147"/>
      <c r="P4" s="4927" t="s">
        <v>1681</v>
      </c>
      <c r="Q4" s="4928"/>
      <c r="R4" s="4933" t="s">
        <v>1677</v>
      </c>
      <c r="S4" s="4934"/>
      <c r="T4" s="4933" t="s">
        <v>1678</v>
      </c>
      <c r="U4" s="4934"/>
      <c r="V4" s="4946" t="s">
        <v>1679</v>
      </c>
      <c r="W4" s="4946"/>
      <c r="X4" s="963"/>
      <c r="Y4" s="4947" t="s">
        <v>1681</v>
      </c>
      <c r="Z4" s="4948"/>
      <c r="AA4" s="4920" t="s">
        <v>1677</v>
      </c>
      <c r="AB4" s="4976" t="s">
        <v>1678</v>
      </c>
      <c r="AC4" s="4920" t="s">
        <v>1679</v>
      </c>
    </row>
    <row r="5" spans="1:29">
      <c r="A5" s="244"/>
      <c r="B5" s="245"/>
      <c r="C5" s="4937" t="s">
        <v>1579</v>
      </c>
      <c r="D5" s="4938"/>
      <c r="E5" s="4977" t="s">
        <v>1580</v>
      </c>
      <c r="F5" s="4940"/>
      <c r="G5" s="4937" t="s">
        <v>1581</v>
      </c>
      <c r="H5" s="4938"/>
      <c r="I5" s="4937" t="s">
        <v>1582</v>
      </c>
      <c r="J5" s="4938"/>
      <c r="K5" s="3105"/>
      <c r="L5" s="2146"/>
      <c r="M5" s="2147"/>
      <c r="N5" s="2147"/>
      <c r="O5" s="2147"/>
      <c r="P5" s="4929"/>
      <c r="Q5" s="4930"/>
      <c r="R5" s="4935"/>
      <c r="S5" s="4936"/>
      <c r="T5" s="4935"/>
      <c r="U5" s="4936"/>
      <c r="V5" s="4946"/>
      <c r="W5" s="4946"/>
      <c r="X5" s="963"/>
      <c r="Y5" s="4949"/>
      <c r="Z5" s="4950"/>
      <c r="AA5" s="4921"/>
      <c r="AB5" s="4976"/>
      <c r="AC5" s="4921"/>
    </row>
    <row r="6" spans="1:29" ht="15" thickBot="1">
      <c r="A6" s="246"/>
      <c r="B6" s="247"/>
      <c r="C6" s="4953" t="s">
        <v>1583</v>
      </c>
      <c r="D6" s="4954"/>
      <c r="E6" s="4955" t="s">
        <v>1583</v>
      </c>
      <c r="F6" s="4956"/>
      <c r="G6" s="4953" t="s">
        <v>1583</v>
      </c>
      <c r="H6" s="4954"/>
      <c r="I6" s="4953" t="s">
        <v>1583</v>
      </c>
      <c r="J6" s="4954"/>
      <c r="K6" s="3105" t="s">
        <v>1584</v>
      </c>
      <c r="L6" s="2146"/>
      <c r="M6" s="2147"/>
      <c r="N6" s="2147"/>
      <c r="O6" s="2147"/>
      <c r="P6" s="4931"/>
      <c r="Q6" s="4932"/>
      <c r="R6" s="4935"/>
      <c r="S6" s="4936"/>
      <c r="T6" s="4944"/>
      <c r="U6" s="4945"/>
      <c r="V6" s="4946"/>
      <c r="W6" s="4946"/>
      <c r="X6" s="963"/>
      <c r="Y6" s="4951"/>
      <c r="Z6" s="4952"/>
      <c r="AA6" s="4922"/>
      <c r="AB6" s="4976"/>
      <c r="AC6" s="4922"/>
    </row>
    <row r="7" spans="1:29" s="49" customFormat="1" ht="15" thickBot="1">
      <c r="A7" s="248" t="s">
        <v>1585</v>
      </c>
      <c r="B7" s="249"/>
      <c r="C7" s="250">
        <f>'数据-取费表'!B2</f>
        <v>46063</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957" t="s">
        <v>1586</v>
      </c>
      <c r="Q7" s="4958"/>
      <c r="R7" s="3923" t="s">
        <v>13</v>
      </c>
      <c r="S7" s="3405">
        <f t="shared" ref="S7:S15" si="0">F7</f>
        <v>0</v>
      </c>
      <c r="T7" s="3923" t="s">
        <v>13</v>
      </c>
      <c r="U7" s="3405">
        <f t="shared" ref="U7:U15" si="1">H7</f>
        <v>0</v>
      </c>
      <c r="V7" s="3923" t="s">
        <v>13</v>
      </c>
      <c r="W7" s="3405">
        <f t="shared" ref="W7:W15" si="2">J7</f>
        <v>0</v>
      </c>
      <c r="X7" s="504"/>
      <c r="Y7" s="4942" t="s">
        <v>1586</v>
      </c>
      <c r="Z7" s="4943"/>
      <c r="AA7" s="505" t="e">
        <f>D7/F7</f>
        <v>#DIV/0!</v>
      </c>
      <c r="AB7" s="505" t="e">
        <f>D7/H7</f>
        <v>#DIV/0!</v>
      </c>
      <c r="AC7" s="505" t="e">
        <f>D7/J7</f>
        <v>#DIV/0!</v>
      </c>
    </row>
    <row r="8" spans="1:29" s="49" customFormat="1" ht="15" thickBot="1">
      <c r="A8" s="248" t="s">
        <v>1587</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957" t="s">
        <v>1589</v>
      </c>
      <c r="Q8" s="4959"/>
      <c r="R8" s="3923" t="s">
        <v>13</v>
      </c>
      <c r="S8" s="3405">
        <f t="shared" si="0"/>
        <v>100</v>
      </c>
      <c r="T8" s="3923" t="s">
        <v>13</v>
      </c>
      <c r="U8" s="3405">
        <f t="shared" si="1"/>
        <v>100</v>
      </c>
      <c r="V8" s="3923" t="s">
        <v>13</v>
      </c>
      <c r="W8" s="3405">
        <f t="shared" si="2"/>
        <v>100</v>
      </c>
      <c r="X8" s="504"/>
      <c r="Y8" s="4942" t="s">
        <v>1589</v>
      </c>
      <c r="Z8" s="4943"/>
      <c r="AA8" s="505">
        <f t="shared" ref="AA8:AA46" si="3">D8/F8</f>
        <v>1</v>
      </c>
      <c r="AB8" s="505">
        <f t="shared" ref="AB8:AB46" si="4">D8/H8</f>
        <v>1</v>
      </c>
      <c r="AC8" s="505">
        <f t="shared" ref="AC8:AC46" si="5">D8/J8</f>
        <v>1</v>
      </c>
    </row>
    <row r="9" spans="1:29" s="49" customFormat="1" ht="14.4">
      <c r="A9" s="253" t="s">
        <v>1590</v>
      </c>
      <c r="B9" s="3033" t="s">
        <v>1591</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60" t="s">
        <v>1592</v>
      </c>
      <c r="Q9" s="3026" t="str">
        <f t="shared" ref="Q9:Q15" si="6">B9</f>
        <v>用途</v>
      </c>
      <c r="R9" s="3923" t="s">
        <v>13</v>
      </c>
      <c r="S9" s="3405">
        <f t="shared" si="0"/>
        <v>100</v>
      </c>
      <c r="T9" s="3923" t="s">
        <v>13</v>
      </c>
      <c r="U9" s="3405">
        <f t="shared" si="1"/>
        <v>100</v>
      </c>
      <c r="V9" s="3923" t="s">
        <v>13</v>
      </c>
      <c r="W9" s="3405">
        <f t="shared" si="2"/>
        <v>100</v>
      </c>
      <c r="X9" s="504"/>
      <c r="Y9" s="4961" t="s">
        <v>1593</v>
      </c>
      <c r="Z9" s="28" t="str">
        <f t="shared" ref="Z9:Z15" si="7">Q9</f>
        <v>用途</v>
      </c>
      <c r="AA9" s="505">
        <f t="shared" si="3"/>
        <v>1</v>
      </c>
      <c r="AB9" s="505">
        <f t="shared" si="4"/>
        <v>1</v>
      </c>
      <c r="AC9" s="505">
        <f t="shared" si="5"/>
        <v>1</v>
      </c>
    </row>
    <row r="10" spans="1:29" s="259" customFormat="1" ht="28.8">
      <c r="A10" s="257"/>
      <c r="B10" s="3028" t="s">
        <v>1594</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60"/>
      <c r="Q10" s="3026" t="str">
        <f t="shared" si="6"/>
        <v>土地使用年限（年）</v>
      </c>
      <c r="R10" s="3923" t="s">
        <v>13</v>
      </c>
      <c r="S10" s="3405">
        <f t="shared" si="0"/>
        <v>100</v>
      </c>
      <c r="T10" s="3923" t="s">
        <v>13</v>
      </c>
      <c r="U10" s="3405">
        <f t="shared" si="1"/>
        <v>100</v>
      </c>
      <c r="V10" s="3923" t="s">
        <v>13</v>
      </c>
      <c r="W10" s="3405">
        <f t="shared" si="2"/>
        <v>100</v>
      </c>
      <c r="X10" s="504"/>
      <c r="Y10" s="4961"/>
      <c r="Z10" s="28" t="str">
        <f t="shared" si="7"/>
        <v>土地使用年限（年）</v>
      </c>
      <c r="AA10" s="505">
        <f t="shared" si="3"/>
        <v>1</v>
      </c>
      <c r="AB10" s="505">
        <f t="shared" si="4"/>
        <v>1</v>
      </c>
      <c r="AC10" s="505">
        <f t="shared" si="5"/>
        <v>1</v>
      </c>
    </row>
    <row r="11" spans="1:29" ht="15">
      <c r="A11" s="260"/>
      <c r="B11" s="3028" t="s">
        <v>1595</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60"/>
      <c r="Q11" s="3026" t="str">
        <f t="shared" si="6"/>
        <v>容积率</v>
      </c>
      <c r="R11" s="3923" t="s">
        <v>13</v>
      </c>
      <c r="S11" s="3405">
        <f t="shared" si="0"/>
        <v>100</v>
      </c>
      <c r="T11" s="3923" t="s">
        <v>13</v>
      </c>
      <c r="U11" s="3405">
        <f t="shared" si="1"/>
        <v>100</v>
      </c>
      <c r="V11" s="3923" t="s">
        <v>13</v>
      </c>
      <c r="W11" s="3405">
        <f t="shared" si="2"/>
        <v>100</v>
      </c>
      <c r="X11" s="504"/>
      <c r="Y11" s="4961"/>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60"/>
      <c r="Q12" s="3026">
        <f t="shared" si="6"/>
        <v>111</v>
      </c>
      <c r="R12" s="3923" t="s">
        <v>13</v>
      </c>
      <c r="S12" s="3405">
        <f t="shared" si="0"/>
        <v>100</v>
      </c>
      <c r="T12" s="3923" t="s">
        <v>13</v>
      </c>
      <c r="U12" s="3405">
        <f t="shared" si="1"/>
        <v>100</v>
      </c>
      <c r="V12" s="3923" t="s">
        <v>13</v>
      </c>
      <c r="W12" s="3405">
        <f t="shared" si="2"/>
        <v>100</v>
      </c>
      <c r="X12" s="504"/>
      <c r="Y12" s="4961"/>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60"/>
      <c r="Q13" s="3026">
        <f t="shared" si="6"/>
        <v>111</v>
      </c>
      <c r="R13" s="3923" t="s">
        <v>13</v>
      </c>
      <c r="S13" s="3405">
        <f t="shared" si="0"/>
        <v>100</v>
      </c>
      <c r="T13" s="3923" t="s">
        <v>13</v>
      </c>
      <c r="U13" s="3405">
        <f t="shared" si="1"/>
        <v>100</v>
      </c>
      <c r="V13" s="3923" t="s">
        <v>13</v>
      </c>
      <c r="W13" s="3405">
        <f t="shared" si="2"/>
        <v>100</v>
      </c>
      <c r="X13" s="504"/>
      <c r="Y13" s="4961"/>
      <c r="Z13" s="28">
        <f t="shared" si="7"/>
        <v>111</v>
      </c>
      <c r="AA13" s="505">
        <f t="shared" si="3"/>
        <v>1</v>
      </c>
      <c r="AB13" s="505">
        <f t="shared" si="4"/>
        <v>1</v>
      </c>
      <c r="AC13" s="505">
        <f t="shared" si="5"/>
        <v>1</v>
      </c>
    </row>
    <row r="14" spans="1:29" ht="15.6"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60"/>
      <c r="Q14" s="3026">
        <f t="shared" si="6"/>
        <v>111</v>
      </c>
      <c r="R14" s="3923" t="s">
        <v>13</v>
      </c>
      <c r="S14" s="3405">
        <f t="shared" si="0"/>
        <v>100</v>
      </c>
      <c r="T14" s="3923" t="s">
        <v>13</v>
      </c>
      <c r="U14" s="3405">
        <f t="shared" si="1"/>
        <v>100</v>
      </c>
      <c r="V14" s="3923" t="s">
        <v>13</v>
      </c>
      <c r="W14" s="3405">
        <f t="shared" si="2"/>
        <v>100</v>
      </c>
      <c r="X14" s="504"/>
      <c r="Y14" s="4961"/>
      <c r="Z14" s="28">
        <f t="shared" si="7"/>
        <v>111</v>
      </c>
      <c r="AA14" s="505">
        <f t="shared" si="3"/>
        <v>1</v>
      </c>
      <c r="AB14" s="505">
        <f t="shared" si="4"/>
        <v>1</v>
      </c>
      <c r="AC14" s="505">
        <f t="shared" si="5"/>
        <v>1</v>
      </c>
    </row>
    <row r="15" spans="1:29" ht="69">
      <c r="A15" s="268" t="s">
        <v>1596</v>
      </c>
      <c r="B15" s="3036" t="s">
        <v>1683</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62" t="s">
        <v>1597</v>
      </c>
      <c r="Q15" s="1618" t="str">
        <f t="shared" si="6"/>
        <v>商业繁华度</v>
      </c>
      <c r="R15" s="4044" t="s">
        <v>13</v>
      </c>
      <c r="S15" s="3406">
        <f t="shared" si="0"/>
        <v>100</v>
      </c>
      <c r="T15" s="4044" t="s">
        <v>13</v>
      </c>
      <c r="U15" s="3406">
        <f t="shared" si="1"/>
        <v>100</v>
      </c>
      <c r="V15" s="4044" t="s">
        <v>13</v>
      </c>
      <c r="W15" s="3406">
        <f t="shared" si="2"/>
        <v>100</v>
      </c>
      <c r="X15" s="963"/>
      <c r="Y15" s="4964" t="s">
        <v>1597</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63"/>
      <c r="Q16" s="1618"/>
      <c r="R16" s="4044"/>
      <c r="S16" s="3406"/>
      <c r="T16" s="4044"/>
      <c r="U16" s="3406"/>
      <c r="V16" s="4044"/>
      <c r="W16" s="3406"/>
      <c r="X16" s="963"/>
      <c r="Y16" s="4965"/>
      <c r="Z16" s="964"/>
      <c r="AA16" s="961">
        <v>1</v>
      </c>
      <c r="AB16" s="961">
        <v>1</v>
      </c>
      <c r="AC16" s="961">
        <v>1</v>
      </c>
    </row>
    <row r="17" spans="1:29" ht="82.8">
      <c r="A17" s="260"/>
      <c r="B17" s="3038" t="s">
        <v>1236</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63"/>
      <c r="Q17" s="1618" t="str">
        <f>B17</f>
        <v>交通便捷度</v>
      </c>
      <c r="R17" s="4044" t="s">
        <v>13</v>
      </c>
      <c r="S17" s="3406">
        <f>F17</f>
        <v>100</v>
      </c>
      <c r="T17" s="4044" t="s">
        <v>13</v>
      </c>
      <c r="U17" s="3406">
        <f>H17</f>
        <v>100</v>
      </c>
      <c r="V17" s="4044" t="s">
        <v>13</v>
      </c>
      <c r="W17" s="3406">
        <f>J17</f>
        <v>100</v>
      </c>
      <c r="X17" s="963"/>
      <c r="Y17" s="4965"/>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63"/>
      <c r="Q18" s="1618"/>
      <c r="R18" s="4044"/>
      <c r="S18" s="3406"/>
      <c r="T18" s="4044"/>
      <c r="U18" s="3406"/>
      <c r="V18" s="4044"/>
      <c r="W18" s="3406"/>
      <c r="X18" s="963"/>
      <c r="Y18" s="4965"/>
      <c r="Z18" s="964"/>
      <c r="AA18" s="961">
        <v>1</v>
      </c>
      <c r="AB18" s="961">
        <v>1</v>
      </c>
      <c r="AC18" s="961">
        <v>1</v>
      </c>
    </row>
    <row r="19" spans="1:29" ht="41.4">
      <c r="A19" s="260"/>
      <c r="B19" s="3038" t="s">
        <v>1684</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63"/>
      <c r="Q19" s="1618" t="str">
        <f>B19</f>
        <v>公共配套设施</v>
      </c>
      <c r="R19" s="4044" t="s">
        <v>13</v>
      </c>
      <c r="S19" s="3406">
        <f>F19</f>
        <v>100</v>
      </c>
      <c r="T19" s="4044" t="s">
        <v>13</v>
      </c>
      <c r="U19" s="3406">
        <f>H19</f>
        <v>100</v>
      </c>
      <c r="V19" s="4044" t="s">
        <v>13</v>
      </c>
      <c r="W19" s="3406">
        <f>J19</f>
        <v>100</v>
      </c>
      <c r="X19" s="963"/>
      <c r="Y19" s="4965"/>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63"/>
      <c r="Q20" s="1618"/>
      <c r="R20" s="4044"/>
      <c r="S20" s="3406"/>
      <c r="T20" s="4044"/>
      <c r="U20" s="3406"/>
      <c r="V20" s="4044"/>
      <c r="W20" s="3406"/>
      <c r="X20" s="963"/>
      <c r="Y20" s="4965"/>
      <c r="Z20" s="964"/>
      <c r="AA20" s="961">
        <v>1</v>
      </c>
      <c r="AB20" s="961">
        <v>1</v>
      </c>
      <c r="AC20" s="961">
        <v>1</v>
      </c>
    </row>
    <row r="21" spans="1:29" ht="27.6">
      <c r="A21" s="260"/>
      <c r="B21" s="3040" t="s">
        <v>1685</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63"/>
      <c r="Q21" s="1618" t="str">
        <f>B21</f>
        <v>基础设施水平</v>
      </c>
      <c r="R21" s="4044" t="s">
        <v>13</v>
      </c>
      <c r="S21" s="3406">
        <f>F21</f>
        <v>100</v>
      </c>
      <c r="T21" s="4044" t="s">
        <v>13</v>
      </c>
      <c r="U21" s="3406">
        <f>H21</f>
        <v>100</v>
      </c>
      <c r="V21" s="4044" t="s">
        <v>13</v>
      </c>
      <c r="W21" s="3406">
        <f>J21</f>
        <v>100</v>
      </c>
      <c r="X21" s="963"/>
      <c r="Y21" s="496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63"/>
      <c r="Q22" s="1618"/>
      <c r="R22" s="4044"/>
      <c r="S22" s="3406"/>
      <c r="T22" s="4044"/>
      <c r="U22" s="3406"/>
      <c r="V22" s="4044"/>
      <c r="W22" s="3406"/>
      <c r="X22" s="963"/>
      <c r="Y22" s="4965"/>
      <c r="Z22" s="964"/>
      <c r="AA22" s="961">
        <v>1</v>
      </c>
      <c r="AB22" s="961">
        <v>1</v>
      </c>
      <c r="AC22" s="961">
        <v>1</v>
      </c>
    </row>
    <row r="23" spans="1:29" ht="55.2">
      <c r="A23" s="260"/>
      <c r="B23" s="3038" t="s">
        <v>1238</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63"/>
      <c r="Q23" s="1618" t="str">
        <f>B23</f>
        <v>自然及人文环境</v>
      </c>
      <c r="R23" s="4044" t="s">
        <v>13</v>
      </c>
      <c r="S23" s="3406">
        <f>F23</f>
        <v>100</v>
      </c>
      <c r="T23" s="4044" t="s">
        <v>13</v>
      </c>
      <c r="U23" s="3406">
        <f>H23</f>
        <v>100</v>
      </c>
      <c r="V23" s="4044" t="s">
        <v>13</v>
      </c>
      <c r="W23" s="3406">
        <f>J23</f>
        <v>100</v>
      </c>
      <c r="X23" s="963"/>
      <c r="Y23" s="4965"/>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63"/>
      <c r="Q24" s="1618"/>
      <c r="R24" s="4044"/>
      <c r="S24" s="3406"/>
      <c r="T24" s="4044"/>
      <c r="U24" s="3406"/>
      <c r="V24" s="4044"/>
      <c r="W24" s="3406"/>
      <c r="X24" s="963"/>
      <c r="Y24" s="4965"/>
      <c r="Z24" s="964"/>
      <c r="AA24" s="961">
        <v>1</v>
      </c>
      <c r="AB24" s="961">
        <v>1</v>
      </c>
      <c r="AC24" s="961">
        <v>1</v>
      </c>
    </row>
    <row r="25" spans="1:29" ht="15">
      <c r="A25" s="260"/>
      <c r="B25" s="3028" t="s">
        <v>1686</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63"/>
      <c r="Q25" s="1618" t="str">
        <f t="shared" ref="Q25:Q46" si="11">B25</f>
        <v>临街状况</v>
      </c>
      <c r="R25" s="4044" t="s">
        <v>13</v>
      </c>
      <c r="S25" s="3406">
        <f>F25</f>
        <v>100</v>
      </c>
      <c r="T25" s="4044" t="s">
        <v>13</v>
      </c>
      <c r="U25" s="3406">
        <f>H25</f>
        <v>100</v>
      </c>
      <c r="V25" s="4044" t="s">
        <v>13</v>
      </c>
      <c r="W25" s="3406">
        <f>J25</f>
        <v>100</v>
      </c>
      <c r="X25" s="963"/>
      <c r="Y25" s="4965"/>
      <c r="Z25" s="964" t="str">
        <f>Q25</f>
        <v>临街状况</v>
      </c>
      <c r="AA25" s="961">
        <f t="shared" si="3"/>
        <v>1</v>
      </c>
      <c r="AB25" s="961">
        <f t="shared" si="4"/>
        <v>1</v>
      </c>
      <c r="AC25" s="961">
        <f t="shared" si="5"/>
        <v>1</v>
      </c>
    </row>
    <row r="26" spans="1:29" ht="15">
      <c r="A26" s="260"/>
      <c r="B26" s="3041" t="s">
        <v>1687</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63"/>
      <c r="Q26" s="1618" t="str">
        <f t="shared" si="11"/>
        <v>平面位置/可视性</v>
      </c>
      <c r="R26" s="4044" t="s">
        <v>13</v>
      </c>
      <c r="S26" s="3406">
        <f>F26</f>
        <v>100</v>
      </c>
      <c r="T26" s="4044" t="s">
        <v>13</v>
      </c>
      <c r="U26" s="3406">
        <f>H26</f>
        <v>100</v>
      </c>
      <c r="V26" s="4044" t="s">
        <v>13</v>
      </c>
      <c r="W26" s="3406">
        <f>J26</f>
        <v>100</v>
      </c>
      <c r="X26" s="963"/>
      <c r="Y26" s="4965"/>
      <c r="Z26" s="964" t="str">
        <f>Q26</f>
        <v>平面位置/可视性</v>
      </c>
      <c r="AA26" s="961">
        <f t="shared" si="3"/>
        <v>1</v>
      </c>
      <c r="AB26" s="961">
        <f t="shared" si="4"/>
        <v>1</v>
      </c>
      <c r="AC26" s="961">
        <f t="shared" si="5"/>
        <v>1</v>
      </c>
    </row>
    <row r="27" spans="1:29" s="49" customFormat="1" ht="15">
      <c r="A27" s="263"/>
      <c r="B27" s="3038" t="s">
        <v>1688</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63"/>
      <c r="Q27" s="3026" t="str">
        <f t="shared" si="11"/>
        <v>人流量</v>
      </c>
      <c r="R27" s="3923" t="s">
        <v>13</v>
      </c>
      <c r="S27" s="3405">
        <f>F27</f>
        <v>100</v>
      </c>
      <c r="T27" s="3923" t="s">
        <v>13</v>
      </c>
      <c r="U27" s="3405">
        <f>H27</f>
        <v>100</v>
      </c>
      <c r="V27" s="3923" t="s">
        <v>13</v>
      </c>
      <c r="W27" s="3405">
        <f>J27</f>
        <v>100</v>
      </c>
      <c r="X27" s="504"/>
      <c r="Y27" s="4965"/>
      <c r="Z27" s="28" t="str">
        <f>Q27</f>
        <v>人流量</v>
      </c>
      <c r="AA27" s="961">
        <f>D27/F27</f>
        <v>1</v>
      </c>
      <c r="AB27" s="961">
        <f>D27/H27</f>
        <v>1</v>
      </c>
      <c r="AC27" s="961">
        <f>D27/J27</f>
        <v>1</v>
      </c>
    </row>
    <row r="28" spans="1:29" ht="15">
      <c r="A28" s="260"/>
      <c r="B28" s="3028" t="s">
        <v>1689</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63"/>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965"/>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63"/>
      <c r="Q29" s="1618">
        <f t="shared" si="11"/>
        <v>111</v>
      </c>
      <c r="R29" s="4044" t="s">
        <v>13</v>
      </c>
      <c r="S29" s="3406">
        <f t="shared" si="12"/>
        <v>100</v>
      </c>
      <c r="T29" s="4044" t="s">
        <v>13</v>
      </c>
      <c r="U29" s="3406">
        <f t="shared" si="13"/>
        <v>100</v>
      </c>
      <c r="V29" s="4044" t="s">
        <v>13</v>
      </c>
      <c r="W29" s="3406">
        <f t="shared" si="14"/>
        <v>100</v>
      </c>
      <c r="X29" s="963"/>
      <c r="Y29" s="4965"/>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63"/>
      <c r="Q30" s="1618">
        <f t="shared" si="11"/>
        <v>111</v>
      </c>
      <c r="R30" s="4044" t="s">
        <v>13</v>
      </c>
      <c r="S30" s="3406">
        <f t="shared" si="12"/>
        <v>100</v>
      </c>
      <c r="T30" s="4044" t="s">
        <v>13</v>
      </c>
      <c r="U30" s="3406">
        <f t="shared" si="13"/>
        <v>100</v>
      </c>
      <c r="V30" s="4044" t="s">
        <v>13</v>
      </c>
      <c r="W30" s="3406">
        <f t="shared" si="14"/>
        <v>100</v>
      </c>
      <c r="X30" s="963"/>
      <c r="Y30" s="4965"/>
      <c r="Z30" s="964">
        <f t="shared" si="15"/>
        <v>111</v>
      </c>
      <c r="AA30" s="961">
        <f t="shared" si="3"/>
        <v>1</v>
      </c>
      <c r="AB30" s="961">
        <f t="shared" si="4"/>
        <v>1</v>
      </c>
      <c r="AC30" s="961">
        <f t="shared" si="5"/>
        <v>1</v>
      </c>
    </row>
    <row r="31" spans="1:29" ht="15.6"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63"/>
      <c r="Q31" s="1618">
        <f t="shared" si="11"/>
        <v>111</v>
      </c>
      <c r="R31" s="4044" t="s">
        <v>13</v>
      </c>
      <c r="S31" s="3406">
        <f t="shared" si="12"/>
        <v>100</v>
      </c>
      <c r="T31" s="4044" t="s">
        <v>13</v>
      </c>
      <c r="U31" s="3406">
        <f t="shared" si="13"/>
        <v>100</v>
      </c>
      <c r="V31" s="4044" t="s">
        <v>13</v>
      </c>
      <c r="W31" s="3406">
        <f t="shared" si="14"/>
        <v>100</v>
      </c>
      <c r="X31" s="963"/>
      <c r="Y31" s="4965"/>
      <c r="Z31" s="964">
        <f t="shared" si="15"/>
        <v>111</v>
      </c>
      <c r="AA31" s="961">
        <f t="shared" si="3"/>
        <v>1</v>
      </c>
      <c r="AB31" s="961">
        <f t="shared" si="4"/>
        <v>1</v>
      </c>
      <c r="AC31" s="961">
        <f t="shared" si="5"/>
        <v>1</v>
      </c>
    </row>
    <row r="32" spans="1:29" ht="15">
      <c r="A32" s="268" t="s">
        <v>1600</v>
      </c>
      <c r="B32" s="3033" t="s">
        <v>1690</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66" t="s">
        <v>1602</v>
      </c>
      <c r="Q32" s="1618" t="str">
        <f t="shared" si="11"/>
        <v>商业类型</v>
      </c>
      <c r="R32" s="4044" t="s">
        <v>13</v>
      </c>
      <c r="S32" s="3406">
        <f t="shared" si="12"/>
        <v>100</v>
      </c>
      <c r="T32" s="4044" t="s">
        <v>13</v>
      </c>
      <c r="U32" s="3406">
        <f t="shared" si="13"/>
        <v>100</v>
      </c>
      <c r="V32" s="4044" t="s">
        <v>13</v>
      </c>
      <c r="W32" s="3406">
        <f t="shared" si="14"/>
        <v>100</v>
      </c>
      <c r="X32" s="963"/>
      <c r="Y32" s="4969" t="s">
        <v>1602</v>
      </c>
      <c r="Z32" s="964" t="str">
        <f t="shared" si="15"/>
        <v>商业类型</v>
      </c>
      <c r="AA32" s="961">
        <f t="shared" si="3"/>
        <v>1</v>
      </c>
      <c r="AB32" s="961">
        <f t="shared" si="4"/>
        <v>1</v>
      </c>
      <c r="AC32" s="961">
        <f t="shared" si="5"/>
        <v>1</v>
      </c>
    </row>
    <row r="33" spans="1:29" s="285" customFormat="1" ht="15">
      <c r="A33" s="283"/>
      <c r="B33" s="3028" t="s">
        <v>1603</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67"/>
      <c r="Q33" s="3106" t="str">
        <f t="shared" si="11"/>
        <v>项目建筑规模</v>
      </c>
      <c r="R33" s="4045" t="s">
        <v>13</v>
      </c>
      <c r="S33" s="3407" t="e">
        <f t="shared" si="12"/>
        <v>#N/A</v>
      </c>
      <c r="T33" s="4045" t="s">
        <v>13</v>
      </c>
      <c r="U33" s="3407" t="e">
        <f t="shared" si="13"/>
        <v>#N/A</v>
      </c>
      <c r="V33" s="4045" t="s">
        <v>13</v>
      </c>
      <c r="W33" s="3407" t="e">
        <f t="shared" si="14"/>
        <v>#N/A</v>
      </c>
      <c r="X33" s="507"/>
      <c r="Y33" s="4969"/>
      <c r="Z33" s="508" t="str">
        <f t="shared" si="15"/>
        <v>项目建筑规模</v>
      </c>
      <c r="AA33" s="961" t="e">
        <f t="shared" si="3"/>
        <v>#N/A</v>
      </c>
      <c r="AB33" s="961" t="e">
        <f t="shared" si="4"/>
        <v>#N/A</v>
      </c>
      <c r="AC33" s="961" t="e">
        <f t="shared" si="5"/>
        <v>#N/A</v>
      </c>
    </row>
    <row r="34" spans="1:29" ht="15">
      <c r="A34" s="286"/>
      <c r="B34" s="3028" t="s">
        <v>1604</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67"/>
      <c r="Q34" s="1618" t="str">
        <f t="shared" si="11"/>
        <v>建筑结构</v>
      </c>
      <c r="R34" s="4044" t="s">
        <v>13</v>
      </c>
      <c r="S34" s="3406">
        <f t="shared" si="12"/>
        <v>100</v>
      </c>
      <c r="T34" s="4044" t="s">
        <v>13</v>
      </c>
      <c r="U34" s="3406">
        <f t="shared" si="13"/>
        <v>100</v>
      </c>
      <c r="V34" s="4044" t="s">
        <v>13</v>
      </c>
      <c r="W34" s="3406">
        <f t="shared" si="14"/>
        <v>100</v>
      </c>
      <c r="X34" s="963"/>
      <c r="Y34" s="4969"/>
      <c r="Z34" s="964" t="str">
        <f t="shared" si="15"/>
        <v>建筑结构</v>
      </c>
      <c r="AA34" s="961">
        <f t="shared" si="3"/>
        <v>1</v>
      </c>
      <c r="AB34" s="961">
        <f t="shared" si="4"/>
        <v>1</v>
      </c>
      <c r="AC34" s="961">
        <f t="shared" si="5"/>
        <v>1</v>
      </c>
    </row>
    <row r="35" spans="1:29" ht="15">
      <c r="A35" s="286"/>
      <c r="B35" s="3028" t="s">
        <v>1691</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67"/>
      <c r="Q35" s="1618" t="str">
        <f t="shared" si="11"/>
        <v>公共部分装修</v>
      </c>
      <c r="R35" s="4044" t="s">
        <v>13</v>
      </c>
      <c r="S35" s="3406">
        <f t="shared" si="12"/>
        <v>100</v>
      </c>
      <c r="T35" s="4044" t="s">
        <v>13</v>
      </c>
      <c r="U35" s="3406">
        <f t="shared" si="13"/>
        <v>100</v>
      </c>
      <c r="V35" s="4044" t="s">
        <v>13</v>
      </c>
      <c r="W35" s="3406">
        <f t="shared" si="14"/>
        <v>100</v>
      </c>
      <c r="X35" s="963"/>
      <c r="Y35" s="4969"/>
      <c r="Z35" s="964" t="str">
        <f t="shared" si="15"/>
        <v>公共部分装修</v>
      </c>
      <c r="AA35" s="961">
        <f t="shared" si="3"/>
        <v>1</v>
      </c>
      <c r="AB35" s="961">
        <f t="shared" si="4"/>
        <v>1</v>
      </c>
      <c r="AC35" s="961">
        <f t="shared" si="5"/>
        <v>1</v>
      </c>
    </row>
    <row r="36" spans="1:29" ht="15">
      <c r="A36" s="286"/>
      <c r="B36" s="3028" t="s">
        <v>1692</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67"/>
      <c r="Q36" s="1618" t="str">
        <f t="shared" si="11"/>
        <v>成新度</v>
      </c>
      <c r="R36" s="4044" t="s">
        <v>13</v>
      </c>
      <c r="S36" s="3406" t="e">
        <f t="shared" si="12"/>
        <v>#N/A</v>
      </c>
      <c r="T36" s="4044" t="s">
        <v>13</v>
      </c>
      <c r="U36" s="3406" t="e">
        <f t="shared" si="13"/>
        <v>#N/A</v>
      </c>
      <c r="V36" s="4044" t="s">
        <v>13</v>
      </c>
      <c r="W36" s="3406" t="e">
        <f t="shared" si="14"/>
        <v>#N/A</v>
      </c>
      <c r="X36" s="963"/>
      <c r="Y36" s="4969"/>
      <c r="Z36" s="964" t="str">
        <f t="shared" si="15"/>
        <v>成新度</v>
      </c>
      <c r="AA36" s="961" t="e">
        <f t="shared" si="3"/>
        <v>#N/A</v>
      </c>
      <c r="AB36" s="961" t="e">
        <f t="shared" si="4"/>
        <v>#N/A</v>
      </c>
      <c r="AC36" s="961" t="e">
        <f t="shared" si="5"/>
        <v>#N/A</v>
      </c>
    </row>
    <row r="37" spans="1:29" s="49" customFormat="1" ht="15">
      <c r="A37" s="287"/>
      <c r="B37" s="3028" t="s">
        <v>1693</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67"/>
      <c r="Q37" s="3026" t="str">
        <f t="shared" si="11"/>
        <v>市政基础设施</v>
      </c>
      <c r="R37" s="3923" t="s">
        <v>13</v>
      </c>
      <c r="S37" s="3405">
        <f t="shared" si="12"/>
        <v>100</v>
      </c>
      <c r="T37" s="3923" t="s">
        <v>13</v>
      </c>
      <c r="U37" s="3405">
        <f t="shared" si="13"/>
        <v>100</v>
      </c>
      <c r="V37" s="3923" t="s">
        <v>13</v>
      </c>
      <c r="W37" s="3405">
        <f t="shared" si="14"/>
        <v>100</v>
      </c>
      <c r="X37" s="504"/>
      <c r="Y37" s="4969"/>
      <c r="Z37" s="28" t="str">
        <f t="shared" si="15"/>
        <v>市政基础设施</v>
      </c>
      <c r="AA37" s="505">
        <f t="shared" si="3"/>
        <v>1</v>
      </c>
      <c r="AB37" s="505">
        <f t="shared" si="4"/>
        <v>1</v>
      </c>
      <c r="AC37" s="505">
        <f t="shared" si="5"/>
        <v>1</v>
      </c>
    </row>
    <row r="38" spans="1:29" ht="15">
      <c r="A38" s="286"/>
      <c r="B38" s="3028" t="s">
        <v>1694</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67" t="s">
        <v>1602</v>
      </c>
      <c r="Q38" s="1618" t="str">
        <f t="shared" si="11"/>
        <v>业态</v>
      </c>
      <c r="R38" s="4044" t="s">
        <v>13</v>
      </c>
      <c r="S38" s="3406">
        <f t="shared" si="12"/>
        <v>100</v>
      </c>
      <c r="T38" s="4044" t="s">
        <v>13</v>
      </c>
      <c r="U38" s="3406">
        <f t="shared" si="13"/>
        <v>100</v>
      </c>
      <c r="V38" s="4044" t="s">
        <v>13</v>
      </c>
      <c r="W38" s="3406">
        <f t="shared" si="14"/>
        <v>100</v>
      </c>
      <c r="X38" s="963"/>
      <c r="Y38" s="4969" t="s">
        <v>1602</v>
      </c>
      <c r="Z38" s="964" t="str">
        <f t="shared" si="15"/>
        <v>业态</v>
      </c>
      <c r="AA38" s="961">
        <f t="shared" si="3"/>
        <v>1</v>
      </c>
      <c r="AB38" s="961">
        <f t="shared" si="4"/>
        <v>1</v>
      </c>
      <c r="AC38" s="961">
        <f t="shared" si="5"/>
        <v>1</v>
      </c>
    </row>
    <row r="39" spans="1:29" ht="15">
      <c r="A39" s="286"/>
      <c r="B39" s="3028" t="s">
        <v>1695</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67"/>
      <c r="Q39" s="1618" t="str">
        <f t="shared" si="11"/>
        <v>层高</v>
      </c>
      <c r="R39" s="4044" t="s">
        <v>13</v>
      </c>
      <c r="S39" s="3406">
        <f t="shared" si="12"/>
        <v>100</v>
      </c>
      <c r="T39" s="4044" t="s">
        <v>13</v>
      </c>
      <c r="U39" s="3406">
        <f t="shared" si="13"/>
        <v>100</v>
      </c>
      <c r="V39" s="4044" t="s">
        <v>13</v>
      </c>
      <c r="W39" s="3406">
        <f t="shared" si="14"/>
        <v>100</v>
      </c>
      <c r="X39" s="963"/>
      <c r="Y39" s="4969"/>
      <c r="Z39" s="964" t="str">
        <f t="shared" si="15"/>
        <v>层高</v>
      </c>
      <c r="AA39" s="961">
        <f t="shared" si="3"/>
        <v>1</v>
      </c>
      <c r="AB39" s="961">
        <f t="shared" si="4"/>
        <v>1</v>
      </c>
      <c r="AC39" s="961">
        <f t="shared" si="5"/>
        <v>1</v>
      </c>
    </row>
    <row r="40" spans="1:29" ht="15">
      <c r="A40" s="286"/>
      <c r="B40" s="3028" t="s">
        <v>1696</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67"/>
      <c r="Q40" s="1618" t="str">
        <f t="shared" si="11"/>
        <v>单套建筑面积</v>
      </c>
      <c r="R40" s="4044" t="s">
        <v>13</v>
      </c>
      <c r="S40" s="3406">
        <f t="shared" si="12"/>
        <v>100</v>
      </c>
      <c r="T40" s="4044" t="s">
        <v>13</v>
      </c>
      <c r="U40" s="3406">
        <f t="shared" si="13"/>
        <v>100</v>
      </c>
      <c r="V40" s="4044" t="s">
        <v>13</v>
      </c>
      <c r="W40" s="3406">
        <f t="shared" si="14"/>
        <v>100</v>
      </c>
      <c r="X40" s="963"/>
      <c r="Y40" s="4969"/>
      <c r="Z40" s="964" t="str">
        <f t="shared" si="15"/>
        <v>单套建筑面积</v>
      </c>
      <c r="AA40" s="961">
        <f t="shared" si="3"/>
        <v>1</v>
      </c>
      <c r="AB40" s="961">
        <f t="shared" si="4"/>
        <v>1</v>
      </c>
      <c r="AC40" s="961">
        <f t="shared" si="5"/>
        <v>1</v>
      </c>
    </row>
    <row r="41" spans="1:29" s="285" customFormat="1" ht="15">
      <c r="A41" s="283"/>
      <c r="B41" s="3081" t="s">
        <v>1697</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67"/>
      <c r="Q41" s="3106" t="str">
        <f t="shared" si="11"/>
        <v>进深比</v>
      </c>
      <c r="R41" s="4045" t="s">
        <v>13</v>
      </c>
      <c r="S41" s="3407">
        <f t="shared" si="12"/>
        <v>100</v>
      </c>
      <c r="T41" s="4045" t="s">
        <v>13</v>
      </c>
      <c r="U41" s="3407">
        <f t="shared" si="13"/>
        <v>100</v>
      </c>
      <c r="V41" s="4045" t="s">
        <v>13</v>
      </c>
      <c r="W41" s="3407">
        <f t="shared" si="14"/>
        <v>100</v>
      </c>
      <c r="X41" s="507"/>
      <c r="Y41" s="4969"/>
      <c r="Z41" s="508" t="str">
        <f t="shared" si="15"/>
        <v>进深比</v>
      </c>
      <c r="AA41" s="961">
        <f t="shared" si="3"/>
        <v>1</v>
      </c>
      <c r="AB41" s="961">
        <f t="shared" si="4"/>
        <v>1</v>
      </c>
      <c r="AC41" s="961">
        <f t="shared" si="5"/>
        <v>1</v>
      </c>
    </row>
    <row r="42" spans="1:29" ht="15">
      <c r="A42" s="286"/>
      <c r="B42" s="3028" t="s">
        <v>1698</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67"/>
      <c r="Q42" s="1618" t="str">
        <f t="shared" si="11"/>
        <v>内部装修</v>
      </c>
      <c r="R42" s="4044" t="s">
        <v>13</v>
      </c>
      <c r="S42" s="3406">
        <f t="shared" si="12"/>
        <v>100</v>
      </c>
      <c r="T42" s="4044" t="s">
        <v>13</v>
      </c>
      <c r="U42" s="3406">
        <f t="shared" si="13"/>
        <v>100</v>
      </c>
      <c r="V42" s="4044" t="s">
        <v>13</v>
      </c>
      <c r="W42" s="3406">
        <f t="shared" si="14"/>
        <v>100</v>
      </c>
      <c r="X42" s="963"/>
      <c r="Y42" s="4969"/>
      <c r="Z42" s="964" t="str">
        <f t="shared" si="15"/>
        <v>内部装修</v>
      </c>
      <c r="AA42" s="961">
        <f t="shared" si="3"/>
        <v>1</v>
      </c>
      <c r="AB42" s="961">
        <f t="shared" si="4"/>
        <v>1</v>
      </c>
      <c r="AC42" s="961">
        <f t="shared" si="5"/>
        <v>1</v>
      </c>
    </row>
    <row r="43" spans="1:29" ht="28.8">
      <c r="A43" s="286"/>
      <c r="B43" s="3028" t="s">
        <v>1613</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67"/>
      <c r="Q43" s="1618" t="str">
        <f t="shared" si="11"/>
        <v>内部装修维护情况</v>
      </c>
      <c r="R43" s="4044" t="s">
        <v>13</v>
      </c>
      <c r="S43" s="3406">
        <f t="shared" si="12"/>
        <v>100</v>
      </c>
      <c r="T43" s="4044" t="s">
        <v>13</v>
      </c>
      <c r="U43" s="3406">
        <f t="shared" si="13"/>
        <v>100</v>
      </c>
      <c r="V43" s="4044" t="s">
        <v>13</v>
      </c>
      <c r="W43" s="3406">
        <f t="shared" si="14"/>
        <v>100</v>
      </c>
      <c r="X43" s="963"/>
      <c r="Y43" s="4969"/>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67"/>
      <c r="Q44" s="3026">
        <f t="shared" si="11"/>
        <v>111</v>
      </c>
      <c r="R44" s="3923" t="s">
        <v>13</v>
      </c>
      <c r="S44" s="3405">
        <f t="shared" si="12"/>
        <v>100</v>
      </c>
      <c r="T44" s="3923" t="s">
        <v>13</v>
      </c>
      <c r="U44" s="3405">
        <f t="shared" si="13"/>
        <v>100</v>
      </c>
      <c r="V44" s="3923" t="s">
        <v>13</v>
      </c>
      <c r="W44" s="3405">
        <f t="shared" si="14"/>
        <v>100</v>
      </c>
      <c r="X44" s="504"/>
      <c r="Y44" s="4969"/>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67"/>
      <c r="Q45" s="1618">
        <f t="shared" si="11"/>
        <v>111</v>
      </c>
      <c r="R45" s="4044" t="s">
        <v>13</v>
      </c>
      <c r="S45" s="3406">
        <f t="shared" si="12"/>
        <v>100</v>
      </c>
      <c r="T45" s="4044" t="s">
        <v>13</v>
      </c>
      <c r="U45" s="3406">
        <f t="shared" si="13"/>
        <v>100</v>
      </c>
      <c r="V45" s="4044" t="s">
        <v>13</v>
      </c>
      <c r="W45" s="3406">
        <f t="shared" si="14"/>
        <v>100</v>
      </c>
      <c r="X45" s="963"/>
      <c r="Y45" s="4969"/>
      <c r="Z45" s="964">
        <f t="shared" si="15"/>
        <v>111</v>
      </c>
      <c r="AA45" s="961">
        <f t="shared" si="3"/>
        <v>1</v>
      </c>
      <c r="AB45" s="961">
        <f t="shared" si="4"/>
        <v>1</v>
      </c>
      <c r="AC45" s="961">
        <f t="shared" si="5"/>
        <v>1</v>
      </c>
    </row>
    <row r="46" spans="1:29" ht="15.6"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68"/>
      <c r="Q46" s="1618">
        <f t="shared" si="11"/>
        <v>111</v>
      </c>
      <c r="R46" s="4044" t="s">
        <v>13</v>
      </c>
      <c r="S46" s="3406">
        <f t="shared" si="12"/>
        <v>100</v>
      </c>
      <c r="T46" s="4044" t="s">
        <v>13</v>
      </c>
      <c r="U46" s="3406">
        <f t="shared" si="13"/>
        <v>100</v>
      </c>
      <c r="V46" s="4044" t="s">
        <v>13</v>
      </c>
      <c r="W46" s="3406">
        <f t="shared" si="14"/>
        <v>100</v>
      </c>
      <c r="X46" s="963"/>
      <c r="Y46" s="4970"/>
      <c r="Z46" s="964">
        <f t="shared" si="15"/>
        <v>111</v>
      </c>
      <c r="AA46" s="961">
        <f t="shared" si="3"/>
        <v>1</v>
      </c>
      <c r="AB46" s="961">
        <f t="shared" si="4"/>
        <v>1</v>
      </c>
      <c r="AC46" s="961">
        <f t="shared" si="5"/>
        <v>1</v>
      </c>
    </row>
    <row r="47" spans="1:29" ht="14.4">
      <c r="A47" s="292" t="s">
        <v>1614</v>
      </c>
      <c r="B47" s="293"/>
      <c r="C47" s="808" t="s">
        <v>0</v>
      </c>
      <c r="D47" s="809"/>
      <c r="E47" s="3458"/>
      <c r="F47" s="3460"/>
      <c r="G47" s="3459"/>
      <c r="H47" s="3461"/>
      <c r="I47" s="3458"/>
      <c r="J47" s="3461"/>
      <c r="K47" s="3104"/>
      <c r="L47" s="2155"/>
      <c r="M47" s="2156"/>
      <c r="N47" s="2147"/>
      <c r="O47" s="2156"/>
      <c r="P47" s="4971" t="str">
        <f>A47</f>
        <v>成交单价（元/平方米）</v>
      </c>
      <c r="Q47" s="4971"/>
      <c r="R47" s="4972">
        <f>E47</f>
        <v>0</v>
      </c>
      <c r="S47" s="4972"/>
      <c r="T47" s="4972">
        <f>G47</f>
        <v>0</v>
      </c>
      <c r="U47" s="4972"/>
      <c r="V47" s="4972">
        <f>I47</f>
        <v>0</v>
      </c>
      <c r="W47" s="4972"/>
      <c r="X47" s="493"/>
      <c r="Y47" s="509"/>
      <c r="Z47" s="493"/>
      <c r="AA47" s="493"/>
      <c r="AB47" s="493"/>
      <c r="AC47" s="493"/>
    </row>
    <row r="48" spans="1:29" ht="15" thickBot="1">
      <c r="A48" s="295" t="s">
        <v>1699</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971" t="str">
        <f>A48</f>
        <v>比较价值（元/平方米）</v>
      </c>
      <c r="Q48" s="4971"/>
      <c r="R48" s="4972" t="e">
        <f>IF(F1="售价",ROUND(PRODUCT(R47,AA7:AA46),0),ROUND(PRODUCT(R47,AA7:AA46),1))</f>
        <v>#DIV/0!</v>
      </c>
      <c r="S48" s="4972"/>
      <c r="T48" s="4972" t="e">
        <f>IF(F1="售价",ROUND(PRODUCT(T47,AB7:AB46),0),ROUND(PRODUCT(T47,AB7:AB46),1))</f>
        <v>#DIV/0!</v>
      </c>
      <c r="U48" s="4972"/>
      <c r="V48" s="4972" t="e">
        <f>IF(F1="售价",ROUND(PRODUCT(V47,AC7:AC46),0),ROUND(PRODUCT(V47,AC7:AC46),1))</f>
        <v>#DIV/0!</v>
      </c>
      <c r="W48" s="4972"/>
      <c r="X48" s="493"/>
      <c r="Y48" s="493"/>
      <c r="Z48" s="493"/>
      <c r="AA48" s="493"/>
      <c r="AB48" s="493"/>
      <c r="AC48" s="493"/>
    </row>
    <row r="49" spans="1:29" ht="15" thickBot="1">
      <c r="A49" s="297" t="s">
        <v>1700</v>
      </c>
      <c r="B49" s="298"/>
      <c r="C49" s="4054" t="e">
        <f>R49</f>
        <v>#DIV/0!</v>
      </c>
      <c r="D49" s="812"/>
      <c r="E49" s="812"/>
      <c r="F49" s="812"/>
      <c r="G49" s="812"/>
      <c r="H49" s="812"/>
      <c r="I49" s="812"/>
      <c r="J49" s="812"/>
      <c r="K49" s="511"/>
      <c r="L49" s="2155"/>
      <c r="M49" s="2156"/>
      <c r="N49" s="2147"/>
      <c r="O49" s="2156"/>
      <c r="P49" s="4973" t="str">
        <f>A49</f>
        <v>估价对象XX用房的比较价值（楼面单价，元/平方米）</v>
      </c>
      <c r="Q49" s="4974"/>
      <c r="R49" s="4975" t="e">
        <f>IF(F1="售价",ROUND(IF(D48="简单平均",AVERAGE(R48:V48),R48*F48+T48*H48+V48*J48),0),ROUND(IF(D48="简单平均",AVERAGE(R48:V48),R48*F48+T48*H48+V48*J48),1))</f>
        <v>#DIV/0!</v>
      </c>
      <c r="S49" s="4975"/>
      <c r="T49" s="4975"/>
      <c r="U49" s="4975"/>
      <c r="V49" s="4975"/>
      <c r="W49" s="4975"/>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1704</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1585</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1622</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1587</v>
      </c>
      <c r="B61" s="313"/>
      <c r="C61" s="325" t="s">
        <v>1682</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1625</v>
      </c>
      <c r="B63" s="330" t="s">
        <v>1591</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1594</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1595</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1596</v>
      </c>
      <c r="B76" s="330" t="s">
        <v>1626</v>
      </c>
      <c r="C76" s="373" t="s">
        <v>1627</v>
      </c>
      <c r="D76" s="373" t="s">
        <v>1628</v>
      </c>
      <c r="E76" s="373" t="s">
        <v>1629</v>
      </c>
      <c r="F76" s="373" t="s">
        <v>1630</v>
      </c>
      <c r="G76" s="373" t="s">
        <v>1631</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1632</v>
      </c>
      <c r="C78" s="377" t="s">
        <v>1627</v>
      </c>
      <c r="D78" s="377" t="s">
        <v>1628</v>
      </c>
      <c r="E78" s="377" t="s">
        <v>1629</v>
      </c>
      <c r="F78" s="377" t="s">
        <v>1630</v>
      </c>
      <c r="G78" s="377" t="s">
        <v>1631</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1633</v>
      </c>
      <c r="C80" s="377" t="s">
        <v>1627</v>
      </c>
      <c r="D80" s="377" t="s">
        <v>1628</v>
      </c>
      <c r="E80" s="377" t="s">
        <v>1629</v>
      </c>
      <c r="F80" s="377" t="s">
        <v>1630</v>
      </c>
      <c r="G80" s="377" t="s">
        <v>1631</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1685</v>
      </c>
      <c r="C82" s="444" t="s">
        <v>1705</v>
      </c>
      <c r="D82" s="444" t="s">
        <v>1706</v>
      </c>
      <c r="E82" s="444" t="s">
        <v>1707</v>
      </c>
      <c r="F82" s="444" t="s">
        <v>1708</v>
      </c>
      <c r="G82" s="444" t="s">
        <v>1709</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1639</v>
      </c>
      <c r="C84" s="377" t="s">
        <v>1627</v>
      </c>
      <c r="D84" s="377" t="s">
        <v>1628</v>
      </c>
      <c r="E84" s="377" t="s">
        <v>1629</v>
      </c>
      <c r="F84" s="377" t="s">
        <v>1630</v>
      </c>
      <c r="G84" s="377" t="s">
        <v>1631</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1710</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1600</v>
      </c>
      <c r="B100" s="330" t="s">
        <v>1711</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1643</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1644</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1646</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1172</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1648</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1712</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1713</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1714</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1715</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1650</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1651</v>
      </c>
      <c r="C124" s="377" t="s">
        <v>1627</v>
      </c>
      <c r="D124" s="377" t="s">
        <v>1628</v>
      </c>
      <c r="E124" s="377" t="s">
        <v>1629</v>
      </c>
      <c r="F124" s="377" t="s">
        <v>1630</v>
      </c>
      <c r="G124" s="377" t="s">
        <v>1631</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1716</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1431</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f>IF(E2="——",C50,ROUND(B2*10000/D3,0))</f>
        <v>0</v>
      </c>
      <c r="C3" s="240" t="s">
        <v>1674</v>
      </c>
      <c r="D3" s="3122">
        <f>IF(D1="",'数据-汇总表'!E3,SUMIF('数据-汇总表'!$C19:$C33,D1,'数据-汇总表'!$E19:$E33))</f>
        <v>262.77</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1675</v>
      </c>
      <c r="B4" s="242"/>
      <c r="C4" s="4992" t="s">
        <v>1676</v>
      </c>
      <c r="D4" s="4993"/>
      <c r="E4" s="4994" t="s">
        <v>1677</v>
      </c>
      <c r="F4" s="4995"/>
      <c r="G4" s="4992" t="s">
        <v>1678</v>
      </c>
      <c r="H4" s="4993"/>
      <c r="I4" s="4992" t="s">
        <v>1679</v>
      </c>
      <c r="J4" s="4993"/>
      <c r="K4" s="406" t="s">
        <v>1680</v>
      </c>
      <c r="L4" s="2146"/>
      <c r="M4" s="2147"/>
      <c r="N4" s="2147"/>
      <c r="O4" s="2147"/>
      <c r="P4" s="4996" t="s">
        <v>1681</v>
      </c>
      <c r="Q4" s="4997"/>
      <c r="R4" s="4979" t="s">
        <v>1677</v>
      </c>
      <c r="S4" s="4980"/>
      <c r="T4" s="4979" t="s">
        <v>1678</v>
      </c>
      <c r="U4" s="4980"/>
      <c r="V4" s="5000" t="s">
        <v>1679</v>
      </c>
      <c r="W4" s="5000"/>
      <c r="X4" s="1517"/>
      <c r="Y4" s="5002" t="s">
        <v>1681</v>
      </c>
      <c r="Z4" s="5003"/>
      <c r="AA4" s="4978" t="s">
        <v>1677</v>
      </c>
      <c r="AB4" s="4978" t="s">
        <v>1678</v>
      </c>
      <c r="AC4" s="4989" t="s">
        <v>1679</v>
      </c>
    </row>
    <row r="5" spans="1:29">
      <c r="A5" s="244"/>
      <c r="B5" s="245"/>
      <c r="C5" s="4983" t="s">
        <v>1579</v>
      </c>
      <c r="D5" s="4984"/>
      <c r="E5" s="4981" t="s">
        <v>1580</v>
      </c>
      <c r="F5" s="4982"/>
      <c r="G5" s="4983" t="s">
        <v>1581</v>
      </c>
      <c r="H5" s="4984"/>
      <c r="I5" s="4983" t="s">
        <v>1582</v>
      </c>
      <c r="J5" s="4984"/>
      <c r="K5" s="406"/>
      <c r="L5" s="2146"/>
      <c r="M5" s="2147"/>
      <c r="N5" s="2147"/>
      <c r="O5" s="2147"/>
      <c r="P5" s="4998"/>
      <c r="Q5" s="4930"/>
      <c r="R5" s="4935"/>
      <c r="S5" s="4936"/>
      <c r="T5" s="4935"/>
      <c r="U5" s="4936"/>
      <c r="V5" s="4946"/>
      <c r="W5" s="4946"/>
      <c r="X5" s="963"/>
      <c r="Y5" s="4949"/>
      <c r="Z5" s="4950"/>
      <c r="AA5" s="4921"/>
      <c r="AB5" s="4921"/>
      <c r="AC5" s="4990"/>
    </row>
    <row r="6" spans="1:29" ht="15" thickBot="1">
      <c r="A6" s="246"/>
      <c r="B6" s="247"/>
      <c r="C6" s="4985" t="s">
        <v>1583</v>
      </c>
      <c r="D6" s="4986"/>
      <c r="E6" s="4987" t="s">
        <v>1583</v>
      </c>
      <c r="F6" s="4988"/>
      <c r="G6" s="4985" t="s">
        <v>1583</v>
      </c>
      <c r="H6" s="4986"/>
      <c r="I6" s="4985" t="s">
        <v>1583</v>
      </c>
      <c r="J6" s="4986"/>
      <c r="K6" s="406" t="s">
        <v>1584</v>
      </c>
      <c r="L6" s="2146"/>
      <c r="M6" s="2147"/>
      <c r="N6" s="2147"/>
      <c r="O6" s="2147"/>
      <c r="P6" s="4999"/>
      <c r="Q6" s="4932"/>
      <c r="R6" s="4935"/>
      <c r="S6" s="4936"/>
      <c r="T6" s="4944"/>
      <c r="U6" s="4945"/>
      <c r="V6" s="4946"/>
      <c r="W6" s="4946"/>
      <c r="X6" s="963"/>
      <c r="Y6" s="4951"/>
      <c r="Z6" s="4952"/>
      <c r="AA6" s="4922"/>
      <c r="AB6" s="4922"/>
      <c r="AC6" s="4991"/>
    </row>
    <row r="7" spans="1:29" s="49" customFormat="1" ht="15" thickBot="1">
      <c r="A7" s="248" t="s">
        <v>1585</v>
      </c>
      <c r="B7" s="249"/>
      <c r="C7" s="250">
        <f>'数据-取费表'!B2</f>
        <v>46063</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5001" t="s">
        <v>1586</v>
      </c>
      <c r="Q7" s="4958"/>
      <c r="R7" s="3923" t="s">
        <v>13</v>
      </c>
      <c r="S7" s="3405">
        <f t="shared" ref="S7:S15" si="0">F7</f>
        <v>0</v>
      </c>
      <c r="T7" s="3923" t="s">
        <v>13</v>
      </c>
      <c r="U7" s="3405">
        <f t="shared" ref="U7:U15" si="1">H7</f>
        <v>0</v>
      </c>
      <c r="V7" s="3923" t="s">
        <v>13</v>
      </c>
      <c r="W7" s="3405">
        <f t="shared" ref="W7:W15" si="2">J7</f>
        <v>0</v>
      </c>
      <c r="X7" s="504"/>
      <c r="Y7" s="4942" t="s">
        <v>1586</v>
      </c>
      <c r="Z7" s="4943"/>
      <c r="AA7" s="505" t="e">
        <f>D7/F7</f>
        <v>#DIV/0!</v>
      </c>
      <c r="AB7" s="505" t="e">
        <f>D7/H7</f>
        <v>#DIV/0!</v>
      </c>
      <c r="AC7" s="1518" t="e">
        <f>D7/J7</f>
        <v>#DIV/0!</v>
      </c>
    </row>
    <row r="8" spans="1:29" s="49" customFormat="1" ht="15" thickBot="1">
      <c r="A8" s="248" t="s">
        <v>1587</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5001" t="s">
        <v>1589</v>
      </c>
      <c r="Q8" s="4959"/>
      <c r="R8" s="3923" t="s">
        <v>13</v>
      </c>
      <c r="S8" s="3405">
        <f t="shared" si="0"/>
        <v>100</v>
      </c>
      <c r="T8" s="3923" t="s">
        <v>13</v>
      </c>
      <c r="U8" s="3405">
        <f t="shared" si="1"/>
        <v>100</v>
      </c>
      <c r="V8" s="3923" t="s">
        <v>13</v>
      </c>
      <c r="W8" s="3405">
        <f t="shared" si="2"/>
        <v>100</v>
      </c>
      <c r="X8" s="504"/>
      <c r="Y8" s="4942" t="s">
        <v>1589</v>
      </c>
      <c r="Z8" s="4943"/>
      <c r="AA8" s="505">
        <f t="shared" ref="AA8:AA47" si="3">D8/F8</f>
        <v>1</v>
      </c>
      <c r="AB8" s="505">
        <f t="shared" ref="AB8:AB47" si="4">D8/H8</f>
        <v>1</v>
      </c>
      <c r="AC8" s="1518">
        <f t="shared" ref="AC8:AC47" si="5">D8/J8</f>
        <v>1</v>
      </c>
    </row>
    <row r="9" spans="1:29" s="49" customFormat="1" ht="14.4">
      <c r="A9" s="253" t="s">
        <v>1590</v>
      </c>
      <c r="B9" s="34" t="s">
        <v>1591</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60" t="s">
        <v>1592</v>
      </c>
      <c r="Q9" s="3274" t="str">
        <f t="shared" ref="Q9:Q15" si="6">B9</f>
        <v>用途</v>
      </c>
      <c r="R9" s="3923" t="s">
        <v>13</v>
      </c>
      <c r="S9" s="3405">
        <f t="shared" si="0"/>
        <v>100</v>
      </c>
      <c r="T9" s="3923" t="s">
        <v>13</v>
      </c>
      <c r="U9" s="3405">
        <f t="shared" si="1"/>
        <v>100</v>
      </c>
      <c r="V9" s="3923" t="s">
        <v>13</v>
      </c>
      <c r="W9" s="3405">
        <f t="shared" si="2"/>
        <v>100</v>
      </c>
      <c r="X9" s="504"/>
      <c r="Y9" s="4961" t="s">
        <v>1593</v>
      </c>
      <c r="Z9" s="28" t="str">
        <f t="shared" ref="Z9:Z15" si="7">Q9</f>
        <v>用途</v>
      </c>
      <c r="AA9" s="505">
        <f t="shared" si="3"/>
        <v>1</v>
      </c>
      <c r="AB9" s="505">
        <f t="shared" si="4"/>
        <v>1</v>
      </c>
      <c r="AC9" s="1518">
        <f t="shared" si="5"/>
        <v>1</v>
      </c>
    </row>
    <row r="10" spans="1:29" s="259" customFormat="1" ht="28.8">
      <c r="A10" s="257"/>
      <c r="B10" s="258" t="s">
        <v>1594</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60"/>
      <c r="Q10" s="3274" t="str">
        <f t="shared" si="6"/>
        <v>土地使用年限（年）</v>
      </c>
      <c r="R10" s="3923" t="s">
        <v>13</v>
      </c>
      <c r="S10" s="3405">
        <f t="shared" si="0"/>
        <v>100</v>
      </c>
      <c r="T10" s="3923" t="s">
        <v>13</v>
      </c>
      <c r="U10" s="3405">
        <f t="shared" si="1"/>
        <v>100</v>
      </c>
      <c r="V10" s="3923" t="s">
        <v>13</v>
      </c>
      <c r="W10" s="3405">
        <f t="shared" si="2"/>
        <v>100</v>
      </c>
      <c r="X10" s="504"/>
      <c r="Y10" s="4961"/>
      <c r="Z10" s="28" t="str">
        <f t="shared" si="7"/>
        <v>土地使用年限（年）</v>
      </c>
      <c r="AA10" s="505">
        <f t="shared" si="3"/>
        <v>1</v>
      </c>
      <c r="AB10" s="505">
        <f t="shared" si="4"/>
        <v>1</v>
      </c>
      <c r="AC10" s="1518">
        <f t="shared" si="5"/>
        <v>1</v>
      </c>
    </row>
    <row r="11" spans="1:29" ht="15">
      <c r="A11" s="260"/>
      <c r="B11" s="258" t="s">
        <v>1595</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60"/>
      <c r="Q11" s="3274" t="str">
        <f t="shared" si="6"/>
        <v>容积率</v>
      </c>
      <c r="R11" s="3923" t="s">
        <v>13</v>
      </c>
      <c r="S11" s="3405">
        <f t="shared" si="0"/>
        <v>100</v>
      </c>
      <c r="T11" s="3923" t="s">
        <v>13</v>
      </c>
      <c r="U11" s="3405">
        <f t="shared" si="1"/>
        <v>100</v>
      </c>
      <c r="V11" s="3923" t="s">
        <v>13</v>
      </c>
      <c r="W11" s="3405">
        <f t="shared" si="2"/>
        <v>100</v>
      </c>
      <c r="X11" s="504"/>
      <c r="Y11" s="4961"/>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60"/>
      <c r="Q12" s="3274">
        <f t="shared" si="6"/>
        <v>111</v>
      </c>
      <c r="R12" s="3923" t="s">
        <v>13</v>
      </c>
      <c r="S12" s="3405">
        <f t="shared" si="0"/>
        <v>100</v>
      </c>
      <c r="T12" s="3923" t="s">
        <v>13</v>
      </c>
      <c r="U12" s="3405">
        <f t="shared" si="1"/>
        <v>100</v>
      </c>
      <c r="V12" s="3923" t="s">
        <v>13</v>
      </c>
      <c r="W12" s="3405">
        <f t="shared" si="2"/>
        <v>100</v>
      </c>
      <c r="X12" s="504"/>
      <c r="Y12" s="4961"/>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60"/>
      <c r="Q13" s="3274">
        <f t="shared" si="6"/>
        <v>111</v>
      </c>
      <c r="R13" s="3923" t="s">
        <v>13</v>
      </c>
      <c r="S13" s="3405">
        <f t="shared" si="0"/>
        <v>100</v>
      </c>
      <c r="T13" s="3923" t="s">
        <v>13</v>
      </c>
      <c r="U13" s="3405">
        <f t="shared" si="1"/>
        <v>100</v>
      </c>
      <c r="V13" s="3923" t="s">
        <v>13</v>
      </c>
      <c r="W13" s="3405">
        <f t="shared" si="2"/>
        <v>100</v>
      </c>
      <c r="X13" s="504"/>
      <c r="Y13" s="4961"/>
      <c r="Z13" s="28">
        <f t="shared" si="7"/>
        <v>111</v>
      </c>
      <c r="AA13" s="505">
        <f t="shared" si="3"/>
        <v>1</v>
      </c>
      <c r="AB13" s="505">
        <f t="shared" si="4"/>
        <v>1</v>
      </c>
      <c r="AC13" s="1518">
        <f t="shared" si="5"/>
        <v>1</v>
      </c>
    </row>
    <row r="14" spans="1:29" ht="15.6"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60"/>
      <c r="Q14" s="3274">
        <f t="shared" si="6"/>
        <v>111</v>
      </c>
      <c r="R14" s="3923" t="s">
        <v>13</v>
      </c>
      <c r="S14" s="3405">
        <f t="shared" si="0"/>
        <v>100</v>
      </c>
      <c r="T14" s="3923" t="s">
        <v>13</v>
      </c>
      <c r="U14" s="3405">
        <f t="shared" si="1"/>
        <v>100</v>
      </c>
      <c r="V14" s="3923" t="s">
        <v>13</v>
      </c>
      <c r="W14" s="3405">
        <f t="shared" si="2"/>
        <v>100</v>
      </c>
      <c r="X14" s="504"/>
      <c r="Y14" s="4961"/>
      <c r="Z14" s="28">
        <f t="shared" si="7"/>
        <v>111</v>
      </c>
      <c r="AA14" s="505">
        <f t="shared" si="3"/>
        <v>1</v>
      </c>
      <c r="AB14" s="505">
        <f t="shared" si="4"/>
        <v>1</v>
      </c>
      <c r="AC14" s="1518">
        <f t="shared" si="5"/>
        <v>1</v>
      </c>
    </row>
    <row r="15" spans="1:29" ht="69">
      <c r="A15" s="268" t="s">
        <v>1596</v>
      </c>
      <c r="B15" s="417" t="s">
        <v>1717</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62" t="s">
        <v>1597</v>
      </c>
      <c r="Q15" s="3277" t="str">
        <f t="shared" si="6"/>
        <v>办公集聚程度</v>
      </c>
      <c r="R15" s="4044" t="s">
        <v>13</v>
      </c>
      <c r="S15" s="3406">
        <f t="shared" si="0"/>
        <v>100</v>
      </c>
      <c r="T15" s="4044" t="s">
        <v>13</v>
      </c>
      <c r="U15" s="3406">
        <f t="shared" si="1"/>
        <v>100</v>
      </c>
      <c r="V15" s="4044" t="s">
        <v>13</v>
      </c>
      <c r="W15" s="3406">
        <f t="shared" si="2"/>
        <v>100</v>
      </c>
      <c r="X15" s="963"/>
      <c r="Y15" s="4964" t="s">
        <v>1597</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3"/>
      <c r="Q16" s="3277"/>
      <c r="R16" s="4044"/>
      <c r="S16" s="3406"/>
      <c r="T16" s="4044"/>
      <c r="U16" s="3406"/>
      <c r="V16" s="4044"/>
      <c r="W16" s="3406"/>
      <c r="X16" s="963"/>
      <c r="Y16" s="4965"/>
      <c r="Z16" s="964"/>
      <c r="AA16" s="961">
        <v>1</v>
      </c>
      <c r="AB16" s="961">
        <v>1</v>
      </c>
      <c r="AC16" s="1521">
        <v>1</v>
      </c>
    </row>
    <row r="17" spans="1:29" ht="82.8">
      <c r="A17" s="260"/>
      <c r="B17" s="419" t="s">
        <v>1236</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63"/>
      <c r="Q17" s="3277" t="str">
        <f>B17</f>
        <v>交通便捷度</v>
      </c>
      <c r="R17" s="4044" t="s">
        <v>13</v>
      </c>
      <c r="S17" s="3406">
        <f>F17</f>
        <v>100</v>
      </c>
      <c r="T17" s="4044" t="s">
        <v>13</v>
      </c>
      <c r="U17" s="3406">
        <f>H17</f>
        <v>100</v>
      </c>
      <c r="V17" s="4044" t="s">
        <v>13</v>
      </c>
      <c r="W17" s="3406">
        <f>J17</f>
        <v>100</v>
      </c>
      <c r="X17" s="963"/>
      <c r="Y17" s="4965"/>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3"/>
      <c r="Q18" s="3277"/>
      <c r="R18" s="4044"/>
      <c r="S18" s="3406"/>
      <c r="T18" s="4044"/>
      <c r="U18" s="3406"/>
      <c r="V18" s="4044"/>
      <c r="W18" s="3406"/>
      <c r="X18" s="963"/>
      <c r="Y18" s="4965"/>
      <c r="Z18" s="964"/>
      <c r="AA18" s="961">
        <v>1</v>
      </c>
      <c r="AB18" s="961">
        <v>1</v>
      </c>
      <c r="AC18" s="1521">
        <v>1</v>
      </c>
    </row>
    <row r="19" spans="1:29" ht="41.4">
      <c r="A19" s="260"/>
      <c r="B19" s="419" t="s">
        <v>1718</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63"/>
      <c r="Q19" s="3277" t="str">
        <f>B19</f>
        <v>公共配套设施</v>
      </c>
      <c r="R19" s="4044" t="s">
        <v>13</v>
      </c>
      <c r="S19" s="3406">
        <f>F19</f>
        <v>100</v>
      </c>
      <c r="T19" s="4044" t="s">
        <v>13</v>
      </c>
      <c r="U19" s="3406">
        <f>H19</f>
        <v>100</v>
      </c>
      <c r="V19" s="4044" t="s">
        <v>13</v>
      </c>
      <c r="W19" s="3406">
        <f>J19</f>
        <v>100</v>
      </c>
      <c r="X19" s="963"/>
      <c r="Y19" s="4965"/>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3"/>
      <c r="Q20" s="3277"/>
      <c r="R20" s="4044"/>
      <c r="S20" s="3406"/>
      <c r="T20" s="4044"/>
      <c r="U20" s="3406"/>
      <c r="V20" s="4044"/>
      <c r="W20" s="3406"/>
      <c r="X20" s="963"/>
      <c r="Y20" s="4965"/>
      <c r="Z20" s="964"/>
      <c r="AA20" s="961">
        <v>1</v>
      </c>
      <c r="AB20" s="961">
        <v>1</v>
      </c>
      <c r="AC20" s="1521">
        <v>1</v>
      </c>
    </row>
    <row r="21" spans="1:29" ht="27.6">
      <c r="A21" s="260"/>
      <c r="B21" s="421" t="s">
        <v>1719</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63"/>
      <c r="Q21" s="3277" t="str">
        <f>B21</f>
        <v>基础设施水平</v>
      </c>
      <c r="R21" s="4044" t="s">
        <v>13</v>
      </c>
      <c r="S21" s="3406">
        <f>F21</f>
        <v>100</v>
      </c>
      <c r="T21" s="4044" t="s">
        <v>13</v>
      </c>
      <c r="U21" s="3406">
        <f>H21</f>
        <v>100</v>
      </c>
      <c r="V21" s="4044" t="s">
        <v>13</v>
      </c>
      <c r="W21" s="3406">
        <f>J21</f>
        <v>100</v>
      </c>
      <c r="X21" s="963"/>
      <c r="Y21" s="4965"/>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3"/>
      <c r="Q22" s="3277"/>
      <c r="R22" s="4044"/>
      <c r="S22" s="3406"/>
      <c r="T22" s="4044"/>
      <c r="U22" s="3406"/>
      <c r="V22" s="4044"/>
      <c r="W22" s="3406"/>
      <c r="X22" s="963"/>
      <c r="Y22" s="4965"/>
      <c r="Z22" s="964"/>
      <c r="AA22" s="961">
        <v>1</v>
      </c>
      <c r="AB22" s="961">
        <v>1</v>
      </c>
      <c r="AC22" s="1521">
        <v>1</v>
      </c>
    </row>
    <row r="23" spans="1:29" ht="55.2">
      <c r="A23" s="260"/>
      <c r="B23" s="419" t="s">
        <v>1720</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3"/>
      <c r="Q23" s="3277" t="str">
        <f>B23</f>
        <v>环境质量</v>
      </c>
      <c r="R23" s="4044" t="s">
        <v>13</v>
      </c>
      <c r="S23" s="3406">
        <f>F23</f>
        <v>100</v>
      </c>
      <c r="T23" s="4044" t="s">
        <v>13</v>
      </c>
      <c r="U23" s="3406">
        <f>H23</f>
        <v>100</v>
      </c>
      <c r="V23" s="4044" t="s">
        <v>13</v>
      </c>
      <c r="W23" s="3406">
        <f>J23</f>
        <v>100</v>
      </c>
      <c r="X23" s="963"/>
      <c r="Y23" s="4965"/>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3"/>
      <c r="Q24" s="3277"/>
      <c r="R24" s="4044"/>
      <c r="S24" s="3406"/>
      <c r="T24" s="4044"/>
      <c r="U24" s="3406"/>
      <c r="V24" s="4044"/>
      <c r="W24" s="3406"/>
      <c r="X24" s="963"/>
      <c r="Y24" s="4965"/>
      <c r="Z24" s="964"/>
      <c r="AA24" s="961">
        <v>1</v>
      </c>
      <c r="AB24" s="961">
        <v>1</v>
      </c>
      <c r="AC24" s="1521">
        <v>1</v>
      </c>
    </row>
    <row r="25" spans="1:29" ht="28.8">
      <c r="A25" s="244"/>
      <c r="B25" s="419" t="s">
        <v>1721</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63"/>
      <c r="Q25" s="3277" t="str">
        <f>B25</f>
        <v>毗邻道路的类型与等级</v>
      </c>
      <c r="R25" s="4044" t="s">
        <v>13</v>
      </c>
      <c r="S25" s="3406">
        <f>F25</f>
        <v>100</v>
      </c>
      <c r="T25" s="4044" t="s">
        <v>13</v>
      </c>
      <c r="U25" s="3406">
        <f>H25</f>
        <v>100</v>
      </c>
      <c r="V25" s="4044" t="s">
        <v>13</v>
      </c>
      <c r="W25" s="3406">
        <f>J25</f>
        <v>100</v>
      </c>
      <c r="X25" s="963"/>
      <c r="Y25" s="4965"/>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63"/>
      <c r="Q26" s="3277"/>
      <c r="R26" s="4044"/>
      <c r="S26" s="3406"/>
      <c r="T26" s="4044"/>
      <c r="U26" s="3406"/>
      <c r="V26" s="4044"/>
      <c r="W26" s="3406"/>
      <c r="X26" s="963"/>
      <c r="Y26" s="4965"/>
      <c r="Z26" s="964"/>
      <c r="AA26" s="961">
        <v>1</v>
      </c>
      <c r="AB26" s="961">
        <v>1</v>
      </c>
      <c r="AC26" s="1521">
        <v>1</v>
      </c>
    </row>
    <row r="27" spans="1:29" ht="15">
      <c r="A27" s="260"/>
      <c r="B27" s="420" t="s">
        <v>1689</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63"/>
      <c r="Q27" s="3277" t="str">
        <f t="shared" ref="Q27:Q47" si="11">B27</f>
        <v>楼层</v>
      </c>
      <c r="R27" s="4044" t="s">
        <v>13</v>
      </c>
      <c r="S27" s="3406">
        <f>F27</f>
        <v>100</v>
      </c>
      <c r="T27" s="4044" t="s">
        <v>13</v>
      </c>
      <c r="U27" s="3406">
        <f>H27</f>
        <v>100</v>
      </c>
      <c r="V27" s="4044" t="s">
        <v>13</v>
      </c>
      <c r="W27" s="3406">
        <f>J27</f>
        <v>100</v>
      </c>
      <c r="X27" s="963"/>
      <c r="Y27" s="4965"/>
      <c r="Z27" s="964" t="str">
        <f>Q27</f>
        <v>楼层</v>
      </c>
      <c r="AA27" s="961">
        <f t="shared" si="3"/>
        <v>1</v>
      </c>
      <c r="AB27" s="961">
        <f t="shared" si="4"/>
        <v>1</v>
      </c>
      <c r="AC27" s="1521">
        <f t="shared" si="5"/>
        <v>1</v>
      </c>
    </row>
    <row r="28" spans="1:29" s="49" customFormat="1" ht="15">
      <c r="A28" s="263"/>
      <c r="B28" s="419" t="s">
        <v>1722</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63"/>
      <c r="Q28" s="3274" t="str">
        <f t="shared" si="11"/>
        <v>朝向</v>
      </c>
      <c r="R28" s="3923" t="s">
        <v>13</v>
      </c>
      <c r="S28" s="3405">
        <f>F28</f>
        <v>100</v>
      </c>
      <c r="T28" s="3923" t="s">
        <v>13</v>
      </c>
      <c r="U28" s="3405">
        <f>H28</f>
        <v>100</v>
      </c>
      <c r="V28" s="3923" t="s">
        <v>13</v>
      </c>
      <c r="W28" s="3405">
        <f>J28</f>
        <v>100</v>
      </c>
      <c r="X28" s="504"/>
      <c r="Y28" s="4965"/>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63"/>
      <c r="Q29" s="3277">
        <f t="shared" si="11"/>
        <v>111</v>
      </c>
      <c r="R29" s="4044" t="s">
        <v>13</v>
      </c>
      <c r="S29" s="3406">
        <f t="shared" ref="S29:S47" si="12">F29</f>
        <v>100</v>
      </c>
      <c r="T29" s="4044" t="s">
        <v>13</v>
      </c>
      <c r="U29" s="3406">
        <f t="shared" ref="U29:U47" si="13">H29</f>
        <v>100</v>
      </c>
      <c r="V29" s="4044" t="s">
        <v>13</v>
      </c>
      <c r="W29" s="3406">
        <f t="shared" ref="W29:W47" si="14">J29</f>
        <v>100</v>
      </c>
      <c r="X29" s="963"/>
      <c r="Y29" s="4965"/>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63"/>
      <c r="Q30" s="3277">
        <f t="shared" si="11"/>
        <v>111</v>
      </c>
      <c r="R30" s="4044" t="s">
        <v>13</v>
      </c>
      <c r="S30" s="3406">
        <f t="shared" si="12"/>
        <v>100</v>
      </c>
      <c r="T30" s="4044" t="s">
        <v>13</v>
      </c>
      <c r="U30" s="3406">
        <f t="shared" si="13"/>
        <v>100</v>
      </c>
      <c r="V30" s="4044" t="s">
        <v>13</v>
      </c>
      <c r="W30" s="3406">
        <f t="shared" si="14"/>
        <v>100</v>
      </c>
      <c r="X30" s="963"/>
      <c r="Y30" s="4965"/>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63"/>
      <c r="Q31" s="3277">
        <f t="shared" si="11"/>
        <v>111</v>
      </c>
      <c r="R31" s="4044" t="s">
        <v>13</v>
      </c>
      <c r="S31" s="3406">
        <f t="shared" si="12"/>
        <v>100</v>
      </c>
      <c r="T31" s="4044" t="s">
        <v>13</v>
      </c>
      <c r="U31" s="3406">
        <f t="shared" si="13"/>
        <v>100</v>
      </c>
      <c r="V31" s="4044" t="s">
        <v>13</v>
      </c>
      <c r="W31" s="3406">
        <f t="shared" si="14"/>
        <v>100</v>
      </c>
      <c r="X31" s="963"/>
      <c r="Y31" s="4965"/>
      <c r="Z31" s="964">
        <f t="shared" si="15"/>
        <v>111</v>
      </c>
      <c r="AA31" s="961">
        <f t="shared" si="3"/>
        <v>1</v>
      </c>
      <c r="AB31" s="961">
        <f t="shared" si="4"/>
        <v>1</v>
      </c>
      <c r="AC31" s="1521">
        <f t="shared" si="5"/>
        <v>1</v>
      </c>
    </row>
    <row r="32" spans="1:29" ht="15.6"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63"/>
      <c r="Q32" s="3277">
        <f t="shared" si="11"/>
        <v>111</v>
      </c>
      <c r="R32" s="4044" t="s">
        <v>13</v>
      </c>
      <c r="S32" s="3406">
        <f t="shared" si="12"/>
        <v>100</v>
      </c>
      <c r="T32" s="4044" t="s">
        <v>13</v>
      </c>
      <c r="U32" s="3406">
        <f t="shared" si="13"/>
        <v>100</v>
      </c>
      <c r="V32" s="4044" t="s">
        <v>13</v>
      </c>
      <c r="W32" s="3406">
        <f t="shared" si="14"/>
        <v>100</v>
      </c>
      <c r="X32" s="963"/>
      <c r="Y32" s="4965"/>
      <c r="Z32" s="964">
        <f t="shared" si="15"/>
        <v>111</v>
      </c>
      <c r="AA32" s="961">
        <f t="shared" si="3"/>
        <v>1</v>
      </c>
      <c r="AB32" s="961">
        <f t="shared" si="4"/>
        <v>1</v>
      </c>
      <c r="AC32" s="1521">
        <f t="shared" si="5"/>
        <v>1</v>
      </c>
    </row>
    <row r="33" spans="1:29" ht="15">
      <c r="A33" s="268" t="s">
        <v>1600</v>
      </c>
      <c r="B33" s="34" t="s">
        <v>1723</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66" t="s">
        <v>1602</v>
      </c>
      <c r="Q33" s="3277" t="str">
        <f t="shared" si="11"/>
        <v>建筑类型</v>
      </c>
      <c r="R33" s="4044" t="s">
        <v>13</v>
      </c>
      <c r="S33" s="3406">
        <f t="shared" si="12"/>
        <v>100</v>
      </c>
      <c r="T33" s="4044" t="s">
        <v>13</v>
      </c>
      <c r="U33" s="3406">
        <f t="shared" si="13"/>
        <v>100</v>
      </c>
      <c r="V33" s="4044" t="s">
        <v>13</v>
      </c>
      <c r="W33" s="3406">
        <f t="shared" si="14"/>
        <v>100</v>
      </c>
      <c r="X33" s="963"/>
      <c r="Y33" s="4969" t="s">
        <v>1602</v>
      </c>
      <c r="Z33" s="964" t="str">
        <f t="shared" si="15"/>
        <v>建筑类型</v>
      </c>
      <c r="AA33" s="961">
        <f t="shared" si="3"/>
        <v>1</v>
      </c>
      <c r="AB33" s="961">
        <f t="shared" si="4"/>
        <v>1</v>
      </c>
      <c r="AC33" s="1521">
        <f t="shared" si="5"/>
        <v>1</v>
      </c>
    </row>
    <row r="34" spans="1:29" s="285" customFormat="1" ht="15">
      <c r="A34" s="283"/>
      <c r="B34" s="258" t="s">
        <v>1603</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67"/>
      <c r="Q34" s="3106" t="str">
        <f t="shared" si="11"/>
        <v>项目建筑规模</v>
      </c>
      <c r="R34" s="4045" t="s">
        <v>13</v>
      </c>
      <c r="S34" s="3407" t="e">
        <f t="shared" si="12"/>
        <v>#N/A</v>
      </c>
      <c r="T34" s="4045" t="s">
        <v>13</v>
      </c>
      <c r="U34" s="3407" t="e">
        <f t="shared" si="13"/>
        <v>#N/A</v>
      </c>
      <c r="V34" s="4045" t="s">
        <v>13</v>
      </c>
      <c r="W34" s="3407" t="e">
        <f t="shared" si="14"/>
        <v>#N/A</v>
      </c>
      <c r="X34" s="507"/>
      <c r="Y34" s="4969"/>
      <c r="Z34" s="508" t="str">
        <f t="shared" si="15"/>
        <v>项目建筑规模</v>
      </c>
      <c r="AA34" s="961" t="e">
        <f t="shared" si="3"/>
        <v>#N/A</v>
      </c>
      <c r="AB34" s="961" t="e">
        <f t="shared" si="4"/>
        <v>#N/A</v>
      </c>
      <c r="AC34" s="1521" t="e">
        <f t="shared" si="5"/>
        <v>#N/A</v>
      </c>
    </row>
    <row r="35" spans="1:29" ht="15">
      <c r="A35" s="286"/>
      <c r="B35" s="258" t="s">
        <v>1604</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67"/>
      <c r="Q35" s="3277" t="str">
        <f t="shared" si="11"/>
        <v>建筑结构</v>
      </c>
      <c r="R35" s="4044" t="s">
        <v>13</v>
      </c>
      <c r="S35" s="3406">
        <f t="shared" si="12"/>
        <v>100</v>
      </c>
      <c r="T35" s="4044" t="s">
        <v>13</v>
      </c>
      <c r="U35" s="3406">
        <f t="shared" si="13"/>
        <v>100</v>
      </c>
      <c r="V35" s="4044" t="s">
        <v>13</v>
      </c>
      <c r="W35" s="3406">
        <f t="shared" si="14"/>
        <v>100</v>
      </c>
      <c r="X35" s="963"/>
      <c r="Y35" s="4969"/>
      <c r="Z35" s="964" t="str">
        <f t="shared" si="15"/>
        <v>建筑结构</v>
      </c>
      <c r="AA35" s="961">
        <f t="shared" si="3"/>
        <v>1</v>
      </c>
      <c r="AB35" s="961">
        <f t="shared" si="4"/>
        <v>1</v>
      </c>
      <c r="AC35" s="1521">
        <f t="shared" si="5"/>
        <v>1</v>
      </c>
    </row>
    <row r="36" spans="1:29" ht="15">
      <c r="A36" s="286"/>
      <c r="B36" s="258" t="s">
        <v>1691</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67"/>
      <c r="Q36" s="3277" t="str">
        <f t="shared" si="11"/>
        <v>公共部分装修</v>
      </c>
      <c r="R36" s="4044" t="s">
        <v>13</v>
      </c>
      <c r="S36" s="3406">
        <f t="shared" si="12"/>
        <v>100</v>
      </c>
      <c r="T36" s="4044" t="s">
        <v>13</v>
      </c>
      <c r="U36" s="3406">
        <f t="shared" si="13"/>
        <v>100</v>
      </c>
      <c r="V36" s="4044" t="s">
        <v>13</v>
      </c>
      <c r="W36" s="3406">
        <f t="shared" si="14"/>
        <v>100</v>
      </c>
      <c r="X36" s="963"/>
      <c r="Y36" s="4969"/>
      <c r="Z36" s="964" t="str">
        <f t="shared" si="15"/>
        <v>公共部分装修</v>
      </c>
      <c r="AA36" s="961">
        <f t="shared" si="3"/>
        <v>1</v>
      </c>
      <c r="AB36" s="961">
        <f t="shared" si="4"/>
        <v>1</v>
      </c>
      <c r="AC36" s="1521">
        <f t="shared" si="5"/>
        <v>1</v>
      </c>
    </row>
    <row r="37" spans="1:29" ht="15">
      <c r="A37" s="286"/>
      <c r="B37" s="258" t="s">
        <v>1692</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67"/>
      <c r="Q37" s="3277" t="str">
        <f t="shared" si="11"/>
        <v>成新度</v>
      </c>
      <c r="R37" s="4044" t="s">
        <v>13</v>
      </c>
      <c r="S37" s="3406" t="e">
        <f t="shared" si="12"/>
        <v>#N/A</v>
      </c>
      <c r="T37" s="4044" t="s">
        <v>13</v>
      </c>
      <c r="U37" s="3406" t="e">
        <f t="shared" si="13"/>
        <v>#N/A</v>
      </c>
      <c r="V37" s="4044" t="s">
        <v>13</v>
      </c>
      <c r="W37" s="3406" t="e">
        <f t="shared" si="14"/>
        <v>#N/A</v>
      </c>
      <c r="X37" s="963"/>
      <c r="Y37" s="4969"/>
      <c r="Z37" s="964" t="str">
        <f t="shared" si="15"/>
        <v>成新度</v>
      </c>
      <c r="AA37" s="961" t="e">
        <f t="shared" si="3"/>
        <v>#N/A</v>
      </c>
      <c r="AB37" s="961" t="e">
        <f t="shared" si="4"/>
        <v>#N/A</v>
      </c>
      <c r="AC37" s="1521" t="e">
        <f t="shared" si="5"/>
        <v>#N/A</v>
      </c>
    </row>
    <row r="38" spans="1:29" s="49" customFormat="1" ht="15">
      <c r="A38" s="287"/>
      <c r="B38" s="258" t="s">
        <v>1724</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67"/>
      <c r="Q38" s="3274" t="str">
        <f t="shared" si="11"/>
        <v>写字楼等级</v>
      </c>
      <c r="R38" s="3923" t="s">
        <v>13</v>
      </c>
      <c r="S38" s="3405">
        <f t="shared" si="12"/>
        <v>100</v>
      </c>
      <c r="T38" s="3923" t="s">
        <v>13</v>
      </c>
      <c r="U38" s="3405">
        <f t="shared" si="13"/>
        <v>100</v>
      </c>
      <c r="V38" s="3923" t="s">
        <v>13</v>
      </c>
      <c r="W38" s="3405">
        <f t="shared" si="14"/>
        <v>100</v>
      </c>
      <c r="X38" s="504"/>
      <c r="Y38" s="4969"/>
      <c r="Z38" s="28" t="str">
        <f t="shared" si="15"/>
        <v>写字楼等级</v>
      </c>
      <c r="AA38" s="505">
        <f t="shared" si="3"/>
        <v>1</v>
      </c>
      <c r="AB38" s="505">
        <f t="shared" si="4"/>
        <v>1</v>
      </c>
      <c r="AC38" s="1518">
        <f t="shared" si="5"/>
        <v>1</v>
      </c>
    </row>
    <row r="39" spans="1:29" ht="15">
      <c r="A39" s="286"/>
      <c r="B39" s="258" t="s">
        <v>1725</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67" t="s">
        <v>1602</v>
      </c>
      <c r="Q39" s="3277" t="str">
        <f t="shared" si="11"/>
        <v>物业管理</v>
      </c>
      <c r="R39" s="4044" t="s">
        <v>13</v>
      </c>
      <c r="S39" s="3406">
        <f t="shared" si="12"/>
        <v>100</v>
      </c>
      <c r="T39" s="4044" t="s">
        <v>13</v>
      </c>
      <c r="U39" s="3406">
        <f t="shared" si="13"/>
        <v>100</v>
      </c>
      <c r="V39" s="4044" t="s">
        <v>13</v>
      </c>
      <c r="W39" s="3406">
        <f t="shared" si="14"/>
        <v>100</v>
      </c>
      <c r="X39" s="963"/>
      <c r="Y39" s="4969" t="s">
        <v>1602</v>
      </c>
      <c r="Z39" s="964" t="str">
        <f t="shared" si="15"/>
        <v>物业管理</v>
      </c>
      <c r="AA39" s="961">
        <f t="shared" si="3"/>
        <v>1</v>
      </c>
      <c r="AB39" s="961">
        <f t="shared" si="4"/>
        <v>1</v>
      </c>
      <c r="AC39" s="1521">
        <f t="shared" si="5"/>
        <v>1</v>
      </c>
    </row>
    <row r="40" spans="1:29" ht="15">
      <c r="A40" s="286"/>
      <c r="B40" s="258" t="s">
        <v>1693</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67"/>
      <c r="Q40" s="3277" t="str">
        <f t="shared" si="11"/>
        <v>市政基础设施</v>
      </c>
      <c r="R40" s="4044" t="s">
        <v>13</v>
      </c>
      <c r="S40" s="3406">
        <f t="shared" si="12"/>
        <v>100</v>
      </c>
      <c r="T40" s="4044" t="s">
        <v>13</v>
      </c>
      <c r="U40" s="3406">
        <f t="shared" si="13"/>
        <v>100</v>
      </c>
      <c r="V40" s="4044" t="s">
        <v>13</v>
      </c>
      <c r="W40" s="3406">
        <f t="shared" si="14"/>
        <v>100</v>
      </c>
      <c r="X40" s="963"/>
      <c r="Y40" s="4969"/>
      <c r="Z40" s="964" t="str">
        <f t="shared" si="15"/>
        <v>市政基础设施</v>
      </c>
      <c r="AA40" s="961">
        <f t="shared" si="3"/>
        <v>1</v>
      </c>
      <c r="AB40" s="961">
        <f t="shared" si="4"/>
        <v>1</v>
      </c>
      <c r="AC40" s="1521">
        <f t="shared" si="5"/>
        <v>1</v>
      </c>
    </row>
    <row r="41" spans="1:29" ht="15">
      <c r="A41" s="286"/>
      <c r="B41" s="258" t="s">
        <v>1695</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67"/>
      <c r="Q41" s="3277" t="str">
        <f t="shared" si="11"/>
        <v>层高</v>
      </c>
      <c r="R41" s="4044" t="s">
        <v>13</v>
      </c>
      <c r="S41" s="3406">
        <f t="shared" si="12"/>
        <v>100</v>
      </c>
      <c r="T41" s="4044" t="s">
        <v>13</v>
      </c>
      <c r="U41" s="3406">
        <f t="shared" si="13"/>
        <v>100</v>
      </c>
      <c r="V41" s="4044" t="s">
        <v>13</v>
      </c>
      <c r="W41" s="3406">
        <f t="shared" si="14"/>
        <v>100</v>
      </c>
      <c r="X41" s="963"/>
      <c r="Y41" s="4969"/>
      <c r="Z41" s="964" t="str">
        <f t="shared" si="15"/>
        <v>层高</v>
      </c>
      <c r="AA41" s="961">
        <f t="shared" si="3"/>
        <v>1</v>
      </c>
      <c r="AB41" s="961">
        <f t="shared" si="4"/>
        <v>1</v>
      </c>
      <c r="AC41" s="1521">
        <f t="shared" si="5"/>
        <v>1</v>
      </c>
    </row>
    <row r="42" spans="1:29" s="285" customFormat="1" ht="15">
      <c r="A42" s="283"/>
      <c r="B42" s="962" t="s">
        <v>1726</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67"/>
      <c r="Q42" s="3106" t="str">
        <f t="shared" si="11"/>
        <v>单套建筑面积</v>
      </c>
      <c r="R42" s="4045" t="s">
        <v>13</v>
      </c>
      <c r="S42" s="3407">
        <f t="shared" si="12"/>
        <v>100</v>
      </c>
      <c r="T42" s="4045" t="s">
        <v>13</v>
      </c>
      <c r="U42" s="3407">
        <f t="shared" si="13"/>
        <v>100</v>
      </c>
      <c r="V42" s="4045" t="s">
        <v>13</v>
      </c>
      <c r="W42" s="3407">
        <f t="shared" si="14"/>
        <v>100</v>
      </c>
      <c r="X42" s="507"/>
      <c r="Y42" s="4969"/>
      <c r="Z42" s="508" t="str">
        <f t="shared" si="15"/>
        <v>单套建筑面积</v>
      </c>
      <c r="AA42" s="961">
        <f t="shared" si="3"/>
        <v>1</v>
      </c>
      <c r="AB42" s="961">
        <f t="shared" si="4"/>
        <v>1</v>
      </c>
      <c r="AC42" s="1521">
        <f t="shared" si="5"/>
        <v>1</v>
      </c>
    </row>
    <row r="43" spans="1:29" ht="15">
      <c r="A43" s="286"/>
      <c r="B43" s="258" t="s">
        <v>1698</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67"/>
      <c r="Q43" s="3277" t="str">
        <f t="shared" si="11"/>
        <v>内部装修</v>
      </c>
      <c r="R43" s="4044" t="s">
        <v>13</v>
      </c>
      <c r="S43" s="3406">
        <f t="shared" si="12"/>
        <v>100</v>
      </c>
      <c r="T43" s="4044" t="s">
        <v>13</v>
      </c>
      <c r="U43" s="3406">
        <f t="shared" si="13"/>
        <v>100</v>
      </c>
      <c r="V43" s="4044" t="s">
        <v>13</v>
      </c>
      <c r="W43" s="3406">
        <f t="shared" si="14"/>
        <v>100</v>
      </c>
      <c r="X43" s="963"/>
      <c r="Y43" s="4969"/>
      <c r="Z43" s="964" t="str">
        <f t="shared" si="15"/>
        <v>内部装修</v>
      </c>
      <c r="AA43" s="961">
        <f t="shared" si="3"/>
        <v>1</v>
      </c>
      <c r="AB43" s="961">
        <f t="shared" si="4"/>
        <v>1</v>
      </c>
      <c r="AC43" s="1521">
        <f t="shared" si="5"/>
        <v>1</v>
      </c>
    </row>
    <row r="44" spans="1:29" ht="28.8">
      <c r="A44" s="286"/>
      <c r="B44" s="258" t="s">
        <v>1613</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67"/>
      <c r="Q44" s="3277" t="str">
        <f t="shared" si="11"/>
        <v>内部装修维护情况</v>
      </c>
      <c r="R44" s="4044" t="s">
        <v>13</v>
      </c>
      <c r="S44" s="3406">
        <f t="shared" si="12"/>
        <v>100</v>
      </c>
      <c r="T44" s="4044" t="s">
        <v>13</v>
      </c>
      <c r="U44" s="3406">
        <f t="shared" si="13"/>
        <v>100</v>
      </c>
      <c r="V44" s="4044" t="s">
        <v>13</v>
      </c>
      <c r="W44" s="3406">
        <f t="shared" si="14"/>
        <v>100</v>
      </c>
      <c r="X44" s="963"/>
      <c r="Y44" s="4969"/>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67"/>
      <c r="Q45" s="3274">
        <f t="shared" si="11"/>
        <v>111</v>
      </c>
      <c r="R45" s="3923" t="s">
        <v>13</v>
      </c>
      <c r="S45" s="3405">
        <f t="shared" si="12"/>
        <v>100</v>
      </c>
      <c r="T45" s="3923" t="s">
        <v>13</v>
      </c>
      <c r="U45" s="3405">
        <f t="shared" si="13"/>
        <v>100</v>
      </c>
      <c r="V45" s="3923" t="s">
        <v>13</v>
      </c>
      <c r="W45" s="3405">
        <f t="shared" si="14"/>
        <v>100</v>
      </c>
      <c r="X45" s="504"/>
      <c r="Y45" s="4969"/>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67"/>
      <c r="Q46" s="3277">
        <f t="shared" si="11"/>
        <v>111</v>
      </c>
      <c r="R46" s="4044" t="s">
        <v>13</v>
      </c>
      <c r="S46" s="3406">
        <f t="shared" si="12"/>
        <v>100</v>
      </c>
      <c r="T46" s="4044" t="s">
        <v>13</v>
      </c>
      <c r="U46" s="3406">
        <f t="shared" si="13"/>
        <v>100</v>
      </c>
      <c r="V46" s="4044" t="s">
        <v>13</v>
      </c>
      <c r="W46" s="3406">
        <f t="shared" si="14"/>
        <v>100</v>
      </c>
      <c r="X46" s="963"/>
      <c r="Y46" s="4969"/>
      <c r="Z46" s="964">
        <f t="shared" si="15"/>
        <v>111</v>
      </c>
      <c r="AA46" s="961">
        <f t="shared" si="3"/>
        <v>1</v>
      </c>
      <c r="AB46" s="961">
        <f t="shared" si="4"/>
        <v>1</v>
      </c>
      <c r="AC46" s="1521">
        <f t="shared" si="5"/>
        <v>1</v>
      </c>
    </row>
    <row r="47" spans="1:29" ht="15.6"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68"/>
      <c r="Q47" s="3277">
        <f t="shared" si="11"/>
        <v>111</v>
      </c>
      <c r="R47" s="4044" t="s">
        <v>13</v>
      </c>
      <c r="S47" s="3406">
        <f t="shared" si="12"/>
        <v>100</v>
      </c>
      <c r="T47" s="4044" t="s">
        <v>13</v>
      </c>
      <c r="U47" s="3406">
        <f t="shared" si="13"/>
        <v>100</v>
      </c>
      <c r="V47" s="4044" t="s">
        <v>13</v>
      </c>
      <c r="W47" s="3406">
        <f t="shared" si="14"/>
        <v>100</v>
      </c>
      <c r="X47" s="963"/>
      <c r="Y47" s="4970"/>
      <c r="Z47" s="964">
        <f t="shared" si="15"/>
        <v>111</v>
      </c>
      <c r="AA47" s="961">
        <f t="shared" si="3"/>
        <v>1</v>
      </c>
      <c r="AB47" s="961">
        <f t="shared" si="4"/>
        <v>1</v>
      </c>
      <c r="AC47" s="1521">
        <f t="shared" si="5"/>
        <v>1</v>
      </c>
    </row>
    <row r="48" spans="1:29" ht="14.4">
      <c r="A48" s="292" t="s">
        <v>1614</v>
      </c>
      <c r="B48" s="293"/>
      <c r="C48" s="808" t="s">
        <v>0</v>
      </c>
      <c r="D48" s="809"/>
      <c r="E48" s="3458"/>
      <c r="F48" s="3460"/>
      <c r="G48" s="3459"/>
      <c r="H48" s="3461"/>
      <c r="I48" s="3458"/>
      <c r="J48" s="3403"/>
      <c r="K48" s="3104"/>
      <c r="L48" s="2155"/>
      <c r="M48" s="2147"/>
      <c r="N48" s="2147"/>
      <c r="O48" s="2147"/>
      <c r="P48" s="4960" t="str">
        <f>A48</f>
        <v>成交单价（元/平方米）</v>
      </c>
      <c r="Q48" s="4971"/>
      <c r="R48" s="4972">
        <f>E48</f>
        <v>0</v>
      </c>
      <c r="S48" s="4972"/>
      <c r="T48" s="4972">
        <f>G48</f>
        <v>0</v>
      </c>
      <c r="U48" s="4972"/>
      <c r="V48" s="4972">
        <f>I48</f>
        <v>0</v>
      </c>
      <c r="W48" s="4972"/>
      <c r="X48" s="271"/>
      <c r="Y48" s="509"/>
      <c r="Z48" s="271"/>
      <c r="AA48" s="271"/>
      <c r="AB48" s="271"/>
      <c r="AC48" s="418"/>
    </row>
    <row r="49" spans="1:29" ht="15" thickBot="1">
      <c r="A49" s="295" t="s">
        <v>1699</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60" t="str">
        <f>A49</f>
        <v>比较价值（元/平方米）</v>
      </c>
      <c r="Q49" s="4971"/>
      <c r="R49" s="4972" t="e">
        <f>IF(F1="售价",ROUND(PRODUCT(R48,AA7:AA47),0),ROUND(PRODUCT(R48,AA7:AA47),1))</f>
        <v>#DIV/0!</v>
      </c>
      <c r="S49" s="4972"/>
      <c r="T49" s="4972" t="e">
        <f>IF(F1="售价",ROUND(PRODUCT(T48,AB7:AB47),0),ROUND(PRODUCT(T48,AB7:AB47),1))</f>
        <v>#DIV/0!</v>
      </c>
      <c r="U49" s="4972"/>
      <c r="V49" s="4972" t="e">
        <f>IF(F1="售价",ROUND(PRODUCT(V48,AC7:AC47),0),ROUND(PRODUCT(V48,AC7:AC47),1))</f>
        <v>#DIV/0!</v>
      </c>
      <c r="W49" s="4972"/>
      <c r="X49" s="271"/>
      <c r="Y49" s="271"/>
      <c r="Z49" s="271"/>
      <c r="AA49" s="271"/>
      <c r="AB49" s="271"/>
      <c r="AC49" s="418"/>
    </row>
    <row r="50" spans="1:29" ht="15" thickBot="1">
      <c r="A50" s="297" t="s">
        <v>1700</v>
      </c>
      <c r="B50" s="298"/>
      <c r="C50" s="4054" t="e">
        <f>R50</f>
        <v>#DIV/0!</v>
      </c>
      <c r="D50" s="812"/>
      <c r="E50" s="812"/>
      <c r="F50" s="812"/>
      <c r="G50" s="812"/>
      <c r="H50" s="812"/>
      <c r="I50" s="812"/>
      <c r="J50" s="299"/>
      <c r="K50" s="511"/>
      <c r="L50" s="2155"/>
      <c r="M50" s="2147"/>
      <c r="N50" s="2147"/>
      <c r="O50" s="2147"/>
      <c r="P50" s="5004" t="str">
        <f>A50</f>
        <v>估价对象XX用房的比较价值（楼面单价，元/平方米）</v>
      </c>
      <c r="Q50" s="5005"/>
      <c r="R50" s="5006" t="e">
        <f>IF(F1="售价",ROUND(IF(D49="简单平均",AVERAGE(R49:V49),R49*F49+T49*H49+V49*J49),0),ROUND(IF(D49="简单平均",AVERAGE(R49:V49),R49*F49+T49*H49+V49*J49),1))</f>
        <v>#DIV/0!</v>
      </c>
      <c r="S50" s="5006"/>
      <c r="T50" s="5006"/>
      <c r="U50" s="5006"/>
      <c r="V50" s="5006"/>
      <c r="W50" s="5006"/>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1704</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1585</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1622</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1587</v>
      </c>
      <c r="B62" s="313"/>
      <c r="C62" s="325" t="s">
        <v>1682</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1625</v>
      </c>
      <c r="B64" s="330" t="s">
        <v>1591</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1594</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1595</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1596</v>
      </c>
      <c r="B77" s="330" t="s">
        <v>1727</v>
      </c>
      <c r="C77" s="373" t="s">
        <v>1627</v>
      </c>
      <c r="D77" s="373" t="s">
        <v>1628</v>
      </c>
      <c r="E77" s="373" t="s">
        <v>1629</v>
      </c>
      <c r="F77" s="373" t="s">
        <v>1630</v>
      </c>
      <c r="G77" s="373" t="s">
        <v>1631</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1632</v>
      </c>
      <c r="C79" s="377" t="s">
        <v>1627</v>
      </c>
      <c r="D79" s="377" t="s">
        <v>1628</v>
      </c>
      <c r="E79" s="377" t="s">
        <v>1629</v>
      </c>
      <c r="F79" s="377" t="s">
        <v>1630</v>
      </c>
      <c r="G79" s="377" t="s">
        <v>1631</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1633</v>
      </c>
      <c r="C81" s="377" t="s">
        <v>1627</v>
      </c>
      <c r="D81" s="377" t="s">
        <v>1628</v>
      </c>
      <c r="E81" s="377" t="s">
        <v>1629</v>
      </c>
      <c r="F81" s="377" t="s">
        <v>1630</v>
      </c>
      <c r="G81" s="377" t="s">
        <v>1631</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1719</v>
      </c>
      <c r="C83" s="444" t="s">
        <v>1705</v>
      </c>
      <c r="D83" s="444" t="s">
        <v>1706</v>
      </c>
      <c r="E83" s="444" t="s">
        <v>1707</v>
      </c>
      <c r="F83" s="444" t="s">
        <v>1708</v>
      </c>
      <c r="G83" s="444" t="s">
        <v>1709</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1728</v>
      </c>
      <c r="C85" s="377" t="s">
        <v>1627</v>
      </c>
      <c r="D85" s="377" t="s">
        <v>1628</v>
      </c>
      <c r="E85" s="377" t="s">
        <v>1629</v>
      </c>
      <c r="F85" s="377" t="s">
        <v>1630</v>
      </c>
      <c r="G85" s="377" t="s">
        <v>1631</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1729</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1600</v>
      </c>
      <c r="B101" s="330" t="s">
        <v>1642</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1643</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1644</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1646</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1172</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1730</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1647</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1648</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1731</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1714</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1650</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1651</v>
      </c>
      <c r="C125" s="377" t="s">
        <v>1627</v>
      </c>
      <c r="D125" s="377" t="s">
        <v>1628</v>
      </c>
      <c r="E125" s="377" t="s">
        <v>1629</v>
      </c>
      <c r="F125" s="377" t="s">
        <v>1630</v>
      </c>
      <c r="G125" s="377" t="s">
        <v>1631</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6" customWidth="1"/>
    <col min="17" max="17" width="19.44140625" style="3436" customWidth="1"/>
    <col min="18" max="18" width="6.109375" style="3436" customWidth="1"/>
    <col min="19" max="19" width="4.33203125" style="3436" customWidth="1"/>
    <col min="20" max="20" width="6.109375" style="3436" customWidth="1"/>
    <col min="21" max="21" width="4.33203125" style="3436" customWidth="1"/>
    <col min="22" max="22" width="6.109375" style="3436" customWidth="1"/>
    <col min="23" max="23" width="4.33203125" style="3436"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1566</v>
      </c>
      <c r="B1" s="1516" t="s">
        <v>1732</v>
      </c>
      <c r="C1" s="862" t="s">
        <v>1568</v>
      </c>
      <c r="D1" s="863"/>
      <c r="E1" s="2704"/>
      <c r="F1" s="1453"/>
      <c r="G1" s="873" t="s">
        <v>1673</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1430</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1432</v>
      </c>
      <c r="B3" s="3122">
        <f>IF(E2="——",C43,ROUND(B2*10000/D3,0))</f>
        <v>0</v>
      </c>
      <c r="C3" s="240" t="s">
        <v>1674</v>
      </c>
      <c r="D3" s="3122">
        <f>IF(D1="",'数据-汇总表'!E3,SUMIF('数据-汇总表'!$C19:$C33,D1,'数据-汇总表'!$E19:$E33))</f>
        <v>262.77</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4.4">
      <c r="A4" s="241" t="s">
        <v>1675</v>
      </c>
      <c r="B4" s="242"/>
      <c r="C4" s="4992" t="s">
        <v>1676</v>
      </c>
      <c r="D4" s="4993"/>
      <c r="E4" s="4994" t="s">
        <v>1677</v>
      </c>
      <c r="F4" s="4995"/>
      <c r="G4" s="4992" t="s">
        <v>1678</v>
      </c>
      <c r="H4" s="4993"/>
      <c r="I4" s="4992" t="s">
        <v>1679</v>
      </c>
      <c r="J4" s="4993"/>
      <c r="K4" s="406" t="s">
        <v>1680</v>
      </c>
      <c r="L4" s="625"/>
      <c r="M4" s="626"/>
      <c r="N4" s="626"/>
      <c r="O4" s="626"/>
      <c r="P4" s="4927" t="s">
        <v>1681</v>
      </c>
      <c r="Q4" s="4928"/>
      <c r="R4" s="4933" t="s">
        <v>1677</v>
      </c>
      <c r="S4" s="4934"/>
      <c r="T4" s="4933" t="s">
        <v>1678</v>
      </c>
      <c r="U4" s="4934"/>
      <c r="V4" s="4946" t="s">
        <v>1679</v>
      </c>
      <c r="W4" s="4946"/>
      <c r="X4" s="963"/>
      <c r="Y4" s="4947" t="s">
        <v>1681</v>
      </c>
      <c r="Z4" s="4948"/>
      <c r="AA4" s="4920" t="s">
        <v>1677</v>
      </c>
      <c r="AB4" s="4921" t="s">
        <v>1678</v>
      </c>
      <c r="AC4" s="4920" t="s">
        <v>1679</v>
      </c>
    </row>
    <row r="5" spans="1:29">
      <c r="A5" s="244"/>
      <c r="B5" s="245"/>
      <c r="C5" s="4983" t="s">
        <v>1579</v>
      </c>
      <c r="D5" s="4984"/>
      <c r="E5" s="4981" t="s">
        <v>1580</v>
      </c>
      <c r="F5" s="4982"/>
      <c r="G5" s="4983" t="s">
        <v>1581</v>
      </c>
      <c r="H5" s="4984"/>
      <c r="I5" s="4983" t="s">
        <v>1582</v>
      </c>
      <c r="J5" s="4984"/>
      <c r="K5" s="406"/>
      <c r="L5" s="625"/>
      <c r="M5" s="626"/>
      <c r="N5" s="626"/>
      <c r="O5" s="626"/>
      <c r="P5" s="4929"/>
      <c r="Q5" s="4930"/>
      <c r="R5" s="4935"/>
      <c r="S5" s="4936"/>
      <c r="T5" s="4935"/>
      <c r="U5" s="4936"/>
      <c r="V5" s="4946"/>
      <c r="W5" s="4946"/>
      <c r="X5" s="963"/>
      <c r="Y5" s="4949"/>
      <c r="Z5" s="4950"/>
      <c r="AA5" s="4921"/>
      <c r="AB5" s="4921"/>
      <c r="AC5" s="4921"/>
    </row>
    <row r="6" spans="1:29" ht="15" thickBot="1">
      <c r="A6" s="246"/>
      <c r="B6" s="247"/>
      <c r="C6" s="4985" t="s">
        <v>1583</v>
      </c>
      <c r="D6" s="4986"/>
      <c r="E6" s="4987" t="s">
        <v>1583</v>
      </c>
      <c r="F6" s="4988"/>
      <c r="G6" s="4985" t="s">
        <v>1583</v>
      </c>
      <c r="H6" s="4986"/>
      <c r="I6" s="4985" t="s">
        <v>1583</v>
      </c>
      <c r="J6" s="4986"/>
      <c r="K6" s="406" t="s">
        <v>1584</v>
      </c>
      <c r="L6" s="625"/>
      <c r="M6" s="626"/>
      <c r="N6" s="626"/>
      <c r="O6" s="626"/>
      <c r="P6" s="4931"/>
      <c r="Q6" s="4932"/>
      <c r="R6" s="4935"/>
      <c r="S6" s="4936"/>
      <c r="T6" s="4944"/>
      <c r="U6" s="4945"/>
      <c r="V6" s="4946"/>
      <c r="W6" s="4946"/>
      <c r="X6" s="963"/>
      <c r="Y6" s="4951"/>
      <c r="Z6" s="4952"/>
      <c r="AA6" s="4922"/>
      <c r="AB6" s="4922"/>
      <c r="AC6" s="4922"/>
    </row>
    <row r="7" spans="1:29" s="49" customFormat="1" ht="15" thickBot="1">
      <c r="A7" s="248" t="s">
        <v>1585</v>
      </c>
      <c r="B7" s="249"/>
      <c r="C7" s="250">
        <f>'数据-取费表'!B2</f>
        <v>46063</v>
      </c>
      <c r="D7" s="3140">
        <v>100</v>
      </c>
      <c r="E7" s="251"/>
      <c r="F7" s="4057">
        <f>SUMIF(52:52,YEAR(E7)&amp;"-"&amp;MONTH(E7),53:53)</f>
        <v>0</v>
      </c>
      <c r="G7" s="251"/>
      <c r="H7" s="4068">
        <f>SUMIF(52:52,YEAR(G7)&amp;"-"&amp;MONTH(G7),53:53)</f>
        <v>0</v>
      </c>
      <c r="I7" s="251"/>
      <c r="J7" s="4068">
        <f>SUMIF(52:52,YEAR(I7)&amp;"-"&amp;MONTH(I7),53:53)</f>
        <v>0</v>
      </c>
      <c r="K7" s="407"/>
      <c r="L7" s="627"/>
      <c r="M7" s="628"/>
      <c r="N7" s="628"/>
      <c r="O7" s="628"/>
      <c r="P7" s="4957" t="s">
        <v>1586</v>
      </c>
      <c r="Q7" s="4958"/>
      <c r="R7" s="4076" t="s">
        <v>13</v>
      </c>
      <c r="S7" s="4079">
        <f t="shared" ref="S7:S15" si="0">F7</f>
        <v>0</v>
      </c>
      <c r="T7" s="4076" t="s">
        <v>13</v>
      </c>
      <c r="U7" s="4079">
        <f t="shared" ref="U7:U15" si="1">H7</f>
        <v>0</v>
      </c>
      <c r="V7" s="4076" t="s">
        <v>13</v>
      </c>
      <c r="W7" s="4079">
        <f t="shared" ref="W7:W15" si="2">J7</f>
        <v>0</v>
      </c>
      <c r="X7" s="504"/>
      <c r="Y7" s="4942" t="s">
        <v>1586</v>
      </c>
      <c r="Z7" s="4943"/>
      <c r="AA7" s="505" t="e">
        <f>D7/F7</f>
        <v>#DIV/0!</v>
      </c>
      <c r="AB7" s="505" t="e">
        <f>D7/H7</f>
        <v>#DIV/0!</v>
      </c>
      <c r="AC7" s="505" t="e">
        <f>D7/J7</f>
        <v>#DIV/0!</v>
      </c>
    </row>
    <row r="8" spans="1:29" s="49" customFormat="1" ht="15" thickBot="1">
      <c r="A8" s="248" t="s">
        <v>1587</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957" t="s">
        <v>1589</v>
      </c>
      <c r="Q8" s="4959"/>
      <c r="R8" s="4076" t="s">
        <v>13</v>
      </c>
      <c r="S8" s="4079">
        <f t="shared" si="0"/>
        <v>100</v>
      </c>
      <c r="T8" s="4076" t="s">
        <v>13</v>
      </c>
      <c r="U8" s="4079">
        <f t="shared" si="1"/>
        <v>100</v>
      </c>
      <c r="V8" s="4076" t="s">
        <v>13</v>
      </c>
      <c r="W8" s="4079">
        <f t="shared" si="2"/>
        <v>100</v>
      </c>
      <c r="X8" s="504"/>
      <c r="Y8" s="4942" t="s">
        <v>1589</v>
      </c>
      <c r="Z8" s="4943"/>
      <c r="AA8" s="505">
        <f t="shared" ref="AA8:AA40" si="3">D8/F8</f>
        <v>1</v>
      </c>
      <c r="AB8" s="505">
        <f t="shared" ref="AB8:AB40" si="4">D8/H8</f>
        <v>1</v>
      </c>
      <c r="AC8" s="505">
        <f t="shared" ref="AC8:AC40" si="5">D8/J8</f>
        <v>1</v>
      </c>
    </row>
    <row r="9" spans="1:29" s="49" customFormat="1" ht="14.4">
      <c r="A9" s="253" t="s">
        <v>1590</v>
      </c>
      <c r="B9" s="34" t="s">
        <v>1591</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971" t="s">
        <v>1592</v>
      </c>
      <c r="Q9" s="3274" t="str">
        <f t="shared" ref="Q9:Q15" si="6">B9</f>
        <v>用途</v>
      </c>
      <c r="R9" s="4076" t="s">
        <v>13</v>
      </c>
      <c r="S9" s="4079">
        <f t="shared" si="0"/>
        <v>100</v>
      </c>
      <c r="T9" s="4076" t="s">
        <v>13</v>
      </c>
      <c r="U9" s="4079">
        <f t="shared" si="1"/>
        <v>100</v>
      </c>
      <c r="V9" s="4076" t="s">
        <v>13</v>
      </c>
      <c r="W9" s="4079">
        <f t="shared" si="2"/>
        <v>100</v>
      </c>
      <c r="X9" s="504"/>
      <c r="Y9" s="4961" t="s">
        <v>1593</v>
      </c>
      <c r="Z9" s="28" t="str">
        <f t="shared" ref="Z9:Z15" si="7">Q9</f>
        <v>用途</v>
      </c>
      <c r="AA9" s="505">
        <f t="shared" si="3"/>
        <v>1</v>
      </c>
      <c r="AB9" s="505">
        <f t="shared" si="4"/>
        <v>1</v>
      </c>
      <c r="AC9" s="505">
        <f t="shared" si="5"/>
        <v>1</v>
      </c>
    </row>
    <row r="10" spans="1:29" s="259" customFormat="1" ht="28.8">
      <c r="A10" s="257"/>
      <c r="B10" s="258" t="s">
        <v>1594</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971"/>
      <c r="Q10" s="3274" t="str">
        <f t="shared" si="6"/>
        <v>土地使用年限（年）</v>
      </c>
      <c r="R10" s="4076" t="s">
        <v>13</v>
      </c>
      <c r="S10" s="4079">
        <f t="shared" si="0"/>
        <v>100</v>
      </c>
      <c r="T10" s="4076" t="s">
        <v>13</v>
      </c>
      <c r="U10" s="4079">
        <f t="shared" si="1"/>
        <v>100</v>
      </c>
      <c r="V10" s="4076" t="s">
        <v>13</v>
      </c>
      <c r="W10" s="4079">
        <f t="shared" si="2"/>
        <v>100</v>
      </c>
      <c r="X10" s="504"/>
      <c r="Y10" s="4961"/>
      <c r="Z10" s="28" t="str">
        <f t="shared" si="7"/>
        <v>土地使用年限（年）</v>
      </c>
      <c r="AA10" s="505">
        <f t="shared" si="3"/>
        <v>1</v>
      </c>
      <c r="AB10" s="505">
        <f t="shared" si="4"/>
        <v>1</v>
      </c>
      <c r="AC10" s="505">
        <f t="shared" si="5"/>
        <v>1</v>
      </c>
    </row>
    <row r="11" spans="1:29" ht="15">
      <c r="A11" s="260"/>
      <c r="B11" s="258" t="s">
        <v>1595</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971"/>
      <c r="Q11" s="3274" t="str">
        <f t="shared" si="6"/>
        <v>容积率</v>
      </c>
      <c r="R11" s="4076" t="s">
        <v>13</v>
      </c>
      <c r="S11" s="4079">
        <f t="shared" si="0"/>
        <v>100</v>
      </c>
      <c r="T11" s="4076" t="s">
        <v>13</v>
      </c>
      <c r="U11" s="4079">
        <f t="shared" si="1"/>
        <v>100</v>
      </c>
      <c r="V11" s="4076" t="s">
        <v>13</v>
      </c>
      <c r="W11" s="4079">
        <f t="shared" si="2"/>
        <v>100</v>
      </c>
      <c r="X11" s="504"/>
      <c r="Y11" s="4961"/>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971"/>
      <c r="Q12" s="3274">
        <f t="shared" si="6"/>
        <v>111</v>
      </c>
      <c r="R12" s="4076" t="s">
        <v>13</v>
      </c>
      <c r="S12" s="4079">
        <f t="shared" si="0"/>
        <v>100</v>
      </c>
      <c r="T12" s="4076" t="s">
        <v>13</v>
      </c>
      <c r="U12" s="4079">
        <f t="shared" si="1"/>
        <v>100</v>
      </c>
      <c r="V12" s="4076" t="s">
        <v>13</v>
      </c>
      <c r="W12" s="4079">
        <f t="shared" si="2"/>
        <v>100</v>
      </c>
      <c r="X12" s="504"/>
      <c r="Y12" s="4961"/>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971"/>
      <c r="Q13" s="3274">
        <f t="shared" si="6"/>
        <v>111</v>
      </c>
      <c r="R13" s="4076" t="s">
        <v>13</v>
      </c>
      <c r="S13" s="4079">
        <f t="shared" si="0"/>
        <v>100</v>
      </c>
      <c r="T13" s="4076" t="s">
        <v>13</v>
      </c>
      <c r="U13" s="4079">
        <f t="shared" si="1"/>
        <v>100</v>
      </c>
      <c r="V13" s="4076" t="s">
        <v>13</v>
      </c>
      <c r="W13" s="4079">
        <f t="shared" si="2"/>
        <v>100</v>
      </c>
      <c r="X13" s="504"/>
      <c r="Y13" s="4961"/>
      <c r="Z13" s="28">
        <f t="shared" si="7"/>
        <v>111</v>
      </c>
      <c r="AA13" s="505">
        <f t="shared" si="3"/>
        <v>1</v>
      </c>
      <c r="AB13" s="505">
        <f t="shared" si="4"/>
        <v>1</v>
      </c>
      <c r="AC13" s="505">
        <f t="shared" si="5"/>
        <v>1</v>
      </c>
    </row>
    <row r="14" spans="1:29" ht="15.6"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971"/>
      <c r="Q14" s="3274">
        <f t="shared" si="6"/>
        <v>111</v>
      </c>
      <c r="R14" s="4076" t="s">
        <v>13</v>
      </c>
      <c r="S14" s="4079">
        <f t="shared" si="0"/>
        <v>100</v>
      </c>
      <c r="T14" s="4076" t="s">
        <v>13</v>
      </c>
      <c r="U14" s="4079">
        <f t="shared" si="1"/>
        <v>100</v>
      </c>
      <c r="V14" s="4076" t="s">
        <v>13</v>
      </c>
      <c r="W14" s="4079">
        <f t="shared" si="2"/>
        <v>100</v>
      </c>
      <c r="X14" s="504"/>
      <c r="Y14" s="4961"/>
      <c r="Z14" s="28">
        <f t="shared" si="7"/>
        <v>111</v>
      </c>
      <c r="AA14" s="505">
        <f t="shared" si="3"/>
        <v>1</v>
      </c>
      <c r="AB14" s="505">
        <f t="shared" si="4"/>
        <v>1</v>
      </c>
      <c r="AC14" s="505">
        <f t="shared" si="5"/>
        <v>1</v>
      </c>
    </row>
    <row r="15" spans="1:29" ht="69">
      <c r="A15" s="268" t="s">
        <v>1596</v>
      </c>
      <c r="B15" s="32" t="s">
        <v>1733</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5007" t="s">
        <v>1597</v>
      </c>
      <c r="Q15" s="3277" t="str">
        <f t="shared" si="6"/>
        <v>产业集聚程度</v>
      </c>
      <c r="R15" s="4077" t="s">
        <v>13</v>
      </c>
      <c r="S15" s="4080">
        <f t="shared" si="0"/>
        <v>100</v>
      </c>
      <c r="T15" s="4077" t="s">
        <v>13</v>
      </c>
      <c r="U15" s="4080">
        <f t="shared" si="1"/>
        <v>100</v>
      </c>
      <c r="V15" s="4077" t="s">
        <v>13</v>
      </c>
      <c r="W15" s="4080">
        <f t="shared" si="2"/>
        <v>100</v>
      </c>
      <c r="X15" s="963"/>
      <c r="Y15" s="4964" t="s">
        <v>1597</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5008"/>
      <c r="Q16" s="3277"/>
      <c r="R16" s="4077"/>
      <c r="S16" s="4080"/>
      <c r="T16" s="4077"/>
      <c r="U16" s="4080"/>
      <c r="V16" s="4077"/>
      <c r="W16" s="4080"/>
      <c r="X16" s="963"/>
      <c r="Y16" s="4965"/>
      <c r="Z16" s="964"/>
      <c r="AA16" s="961">
        <v>1</v>
      </c>
      <c r="AB16" s="961">
        <v>1</v>
      </c>
      <c r="AC16" s="961">
        <v>1</v>
      </c>
    </row>
    <row r="17" spans="1:29" ht="96.6">
      <c r="A17" s="260"/>
      <c r="B17" s="275" t="s">
        <v>1236</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5008"/>
      <c r="Q17" s="3277" t="str">
        <f>B17</f>
        <v>交通便捷度</v>
      </c>
      <c r="R17" s="4077" t="s">
        <v>13</v>
      </c>
      <c r="S17" s="4080">
        <f>F17</f>
        <v>100</v>
      </c>
      <c r="T17" s="4077" t="s">
        <v>13</v>
      </c>
      <c r="U17" s="4080">
        <f>H17</f>
        <v>100</v>
      </c>
      <c r="V17" s="4077" t="s">
        <v>13</v>
      </c>
      <c r="W17" s="4080">
        <f>J17</f>
        <v>100</v>
      </c>
      <c r="X17" s="963"/>
      <c r="Y17" s="4965"/>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5008"/>
      <c r="Q18" s="3277"/>
      <c r="R18" s="4077"/>
      <c r="S18" s="4080"/>
      <c r="T18" s="4077"/>
      <c r="U18" s="4080"/>
      <c r="V18" s="4077"/>
      <c r="W18" s="4080"/>
      <c r="X18" s="963"/>
      <c r="Y18" s="4965"/>
      <c r="Z18" s="964"/>
      <c r="AA18" s="961">
        <v>1</v>
      </c>
      <c r="AB18" s="961">
        <v>1</v>
      </c>
      <c r="AC18" s="961">
        <v>1</v>
      </c>
    </row>
    <row r="19" spans="1:29" ht="41.4">
      <c r="A19" s="260"/>
      <c r="B19" s="275" t="s">
        <v>1718</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5008"/>
      <c r="Q19" s="3277" t="str">
        <f>B19</f>
        <v>公共配套设施</v>
      </c>
      <c r="R19" s="4077" t="s">
        <v>13</v>
      </c>
      <c r="S19" s="4080">
        <f>F19</f>
        <v>100</v>
      </c>
      <c r="T19" s="4077" t="s">
        <v>13</v>
      </c>
      <c r="U19" s="4080">
        <f>H19</f>
        <v>100</v>
      </c>
      <c r="V19" s="4077" t="s">
        <v>13</v>
      </c>
      <c r="W19" s="4080">
        <f>J19</f>
        <v>100</v>
      </c>
      <c r="X19" s="963"/>
      <c r="Y19" s="4965"/>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5008"/>
      <c r="Q20" s="3277"/>
      <c r="R20" s="4077"/>
      <c r="S20" s="4080"/>
      <c r="T20" s="4077"/>
      <c r="U20" s="4080"/>
      <c r="V20" s="4077"/>
      <c r="W20" s="4080"/>
      <c r="X20" s="963"/>
      <c r="Y20" s="4965"/>
      <c r="Z20" s="964"/>
      <c r="AA20" s="961">
        <v>1</v>
      </c>
      <c r="AB20" s="961">
        <v>1</v>
      </c>
      <c r="AC20" s="961">
        <v>1</v>
      </c>
    </row>
    <row r="21" spans="1:29" ht="41.4">
      <c r="A21" s="260"/>
      <c r="B21" s="800" t="s">
        <v>1719</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5008"/>
      <c r="Q21" s="3277" t="str">
        <f>B21</f>
        <v>基础设施水平</v>
      </c>
      <c r="R21" s="4077" t="s">
        <v>13</v>
      </c>
      <c r="S21" s="4080">
        <f>F21</f>
        <v>100</v>
      </c>
      <c r="T21" s="4077" t="s">
        <v>13</v>
      </c>
      <c r="U21" s="4080">
        <f>H21</f>
        <v>100</v>
      </c>
      <c r="V21" s="4077" t="s">
        <v>13</v>
      </c>
      <c r="W21" s="4080">
        <f>J21</f>
        <v>100</v>
      </c>
      <c r="X21" s="963"/>
      <c r="Y21" s="4965"/>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5008"/>
      <c r="Q22" s="3277"/>
      <c r="R22" s="4077"/>
      <c r="S22" s="4080"/>
      <c r="T22" s="4077"/>
      <c r="U22" s="4080"/>
      <c r="V22" s="4077"/>
      <c r="W22" s="4080"/>
      <c r="X22" s="963"/>
      <c r="Y22" s="4965"/>
      <c r="Z22" s="964"/>
      <c r="AA22" s="961">
        <v>1</v>
      </c>
      <c r="AB22" s="961">
        <v>1</v>
      </c>
      <c r="AC22" s="961">
        <v>1</v>
      </c>
    </row>
    <row r="23" spans="1:29" ht="82.8">
      <c r="A23" s="260"/>
      <c r="B23" s="275" t="s">
        <v>1720</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5008"/>
      <c r="Q23" s="3277" t="str">
        <f>B23</f>
        <v>环境质量</v>
      </c>
      <c r="R23" s="4077" t="s">
        <v>13</v>
      </c>
      <c r="S23" s="4080">
        <f>F23</f>
        <v>100</v>
      </c>
      <c r="T23" s="4077" t="s">
        <v>13</v>
      </c>
      <c r="U23" s="4080">
        <f>H23</f>
        <v>100</v>
      </c>
      <c r="V23" s="4077" t="s">
        <v>13</v>
      </c>
      <c r="W23" s="4080">
        <f>J23</f>
        <v>100</v>
      </c>
      <c r="X23" s="963"/>
      <c r="Y23" s="4965"/>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5008"/>
      <c r="Q24" s="3277"/>
      <c r="R24" s="4077"/>
      <c r="S24" s="4080"/>
      <c r="T24" s="4077"/>
      <c r="U24" s="4080"/>
      <c r="V24" s="4077"/>
      <c r="W24" s="4080"/>
      <c r="X24" s="963"/>
      <c r="Y24" s="4965"/>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5008"/>
      <c r="Q25" s="3277">
        <f>B25</f>
        <v>111</v>
      </c>
      <c r="R25" s="4077" t="s">
        <v>13</v>
      </c>
      <c r="S25" s="4080">
        <f>F25</f>
        <v>100</v>
      </c>
      <c r="T25" s="4077" t="s">
        <v>13</v>
      </c>
      <c r="U25" s="4080">
        <f>H25</f>
        <v>100</v>
      </c>
      <c r="V25" s="4077" t="s">
        <v>13</v>
      </c>
      <c r="W25" s="4080">
        <f>J25</f>
        <v>100</v>
      </c>
      <c r="X25" s="963"/>
      <c r="Y25" s="4965"/>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5008"/>
      <c r="Q26" s="3277">
        <f t="shared" ref="Q26:Q40" si="11">B26</f>
        <v>111</v>
      </c>
      <c r="R26" s="4077" t="s">
        <v>13</v>
      </c>
      <c r="S26" s="4080">
        <f>F26</f>
        <v>100</v>
      </c>
      <c r="T26" s="4077" t="s">
        <v>13</v>
      </c>
      <c r="U26" s="4080">
        <f>H26</f>
        <v>100</v>
      </c>
      <c r="V26" s="4077" t="s">
        <v>13</v>
      </c>
      <c r="W26" s="4080">
        <f>J26</f>
        <v>100</v>
      </c>
      <c r="X26" s="963"/>
      <c r="Y26" s="4965"/>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5008"/>
      <c r="Q27" s="3274">
        <f t="shared" si="11"/>
        <v>111</v>
      </c>
      <c r="R27" s="4076" t="s">
        <v>13</v>
      </c>
      <c r="S27" s="4079">
        <f>F27</f>
        <v>100</v>
      </c>
      <c r="T27" s="4076" t="s">
        <v>13</v>
      </c>
      <c r="U27" s="4079">
        <f>H27</f>
        <v>100</v>
      </c>
      <c r="V27" s="4076" t="s">
        <v>13</v>
      </c>
      <c r="W27" s="4079">
        <f>J27</f>
        <v>100</v>
      </c>
      <c r="X27" s="504"/>
      <c r="Y27" s="4965"/>
      <c r="Z27" s="28">
        <f>Q27</f>
        <v>111</v>
      </c>
      <c r="AA27" s="961">
        <f>D27/F27</f>
        <v>1</v>
      </c>
      <c r="AB27" s="961">
        <f>D27/H27</f>
        <v>1</v>
      </c>
      <c r="AC27" s="961">
        <f>D27/J27</f>
        <v>1</v>
      </c>
    </row>
    <row r="28" spans="1:29" ht="15.6"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5008"/>
      <c r="Q28" s="3277">
        <f t="shared" si="11"/>
        <v>111</v>
      </c>
      <c r="R28" s="4077" t="s">
        <v>13</v>
      </c>
      <c r="S28" s="4080">
        <f t="shared" ref="S28:S40" si="12">F28</f>
        <v>100</v>
      </c>
      <c r="T28" s="4077" t="s">
        <v>13</v>
      </c>
      <c r="U28" s="4080">
        <f t="shared" ref="U28:U40" si="13">H28</f>
        <v>100</v>
      </c>
      <c r="V28" s="4077" t="s">
        <v>13</v>
      </c>
      <c r="W28" s="4080">
        <f t="shared" ref="W28:W40" si="14">J28</f>
        <v>100</v>
      </c>
      <c r="X28" s="963"/>
      <c r="Y28" s="4965"/>
      <c r="Z28" s="964">
        <f t="shared" ref="Z28:Z40" si="15">Q28</f>
        <v>111</v>
      </c>
      <c r="AA28" s="961">
        <f t="shared" si="3"/>
        <v>1</v>
      </c>
      <c r="AB28" s="961">
        <f t="shared" si="4"/>
        <v>1</v>
      </c>
      <c r="AC28" s="961">
        <f t="shared" si="5"/>
        <v>1</v>
      </c>
    </row>
    <row r="29" spans="1:29" ht="30">
      <c r="A29" s="282" t="s">
        <v>1600</v>
      </c>
      <c r="B29" s="34" t="s">
        <v>1723</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5009" t="s">
        <v>1602</v>
      </c>
      <c r="Q29" s="3277" t="str">
        <f t="shared" si="11"/>
        <v>建筑类型</v>
      </c>
      <c r="R29" s="4077" t="s">
        <v>13</v>
      </c>
      <c r="S29" s="4080">
        <f t="shared" si="12"/>
        <v>100</v>
      </c>
      <c r="T29" s="4077" t="s">
        <v>13</v>
      </c>
      <c r="U29" s="4080">
        <f t="shared" si="13"/>
        <v>100</v>
      </c>
      <c r="V29" s="4077" t="s">
        <v>13</v>
      </c>
      <c r="W29" s="4080">
        <f t="shared" si="14"/>
        <v>100</v>
      </c>
      <c r="X29" s="963"/>
      <c r="Y29" s="4969" t="s">
        <v>1602</v>
      </c>
      <c r="Z29" s="964" t="str">
        <f t="shared" si="15"/>
        <v>建筑类型</v>
      </c>
      <c r="AA29" s="961">
        <f t="shared" si="3"/>
        <v>1</v>
      </c>
      <c r="AB29" s="961">
        <f t="shared" si="4"/>
        <v>1</v>
      </c>
      <c r="AC29" s="961">
        <f t="shared" si="5"/>
        <v>1</v>
      </c>
    </row>
    <row r="30" spans="1:29" s="285" customFormat="1" ht="15">
      <c r="A30" s="283"/>
      <c r="B30" s="258" t="s">
        <v>1603</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5010"/>
      <c r="Q30" s="3106" t="str">
        <f t="shared" si="11"/>
        <v>项目建筑规模</v>
      </c>
      <c r="R30" s="4078" t="s">
        <v>13</v>
      </c>
      <c r="S30" s="4081" t="e">
        <f t="shared" si="12"/>
        <v>#N/A</v>
      </c>
      <c r="T30" s="4078" t="s">
        <v>13</v>
      </c>
      <c r="U30" s="4081" t="e">
        <f t="shared" si="13"/>
        <v>#N/A</v>
      </c>
      <c r="V30" s="4078" t="s">
        <v>13</v>
      </c>
      <c r="W30" s="4081" t="e">
        <f t="shared" si="14"/>
        <v>#N/A</v>
      </c>
      <c r="X30" s="507"/>
      <c r="Y30" s="4969"/>
      <c r="Z30" s="508" t="str">
        <f t="shared" si="15"/>
        <v>项目建筑规模</v>
      </c>
      <c r="AA30" s="961" t="e">
        <f t="shared" si="3"/>
        <v>#N/A</v>
      </c>
      <c r="AB30" s="961" t="e">
        <f t="shared" si="4"/>
        <v>#N/A</v>
      </c>
      <c r="AC30" s="961" t="e">
        <f t="shared" si="5"/>
        <v>#N/A</v>
      </c>
    </row>
    <row r="31" spans="1:29" ht="15">
      <c r="A31" s="286"/>
      <c r="B31" s="258" t="s">
        <v>1604</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5010"/>
      <c r="Q31" s="3277" t="str">
        <f t="shared" si="11"/>
        <v>建筑结构</v>
      </c>
      <c r="R31" s="4077" t="s">
        <v>13</v>
      </c>
      <c r="S31" s="4080">
        <f t="shared" si="12"/>
        <v>100</v>
      </c>
      <c r="T31" s="4077" t="s">
        <v>13</v>
      </c>
      <c r="U31" s="4080">
        <f t="shared" si="13"/>
        <v>100</v>
      </c>
      <c r="V31" s="4077" t="s">
        <v>13</v>
      </c>
      <c r="W31" s="4080">
        <f t="shared" si="14"/>
        <v>100</v>
      </c>
      <c r="X31" s="963"/>
      <c r="Y31" s="4969"/>
      <c r="Z31" s="964" t="str">
        <f t="shared" si="15"/>
        <v>建筑结构</v>
      </c>
      <c r="AA31" s="961">
        <f t="shared" si="3"/>
        <v>1</v>
      </c>
      <c r="AB31" s="961">
        <f t="shared" si="4"/>
        <v>1</v>
      </c>
      <c r="AC31" s="961">
        <f t="shared" si="5"/>
        <v>1</v>
      </c>
    </row>
    <row r="32" spans="1:29" ht="15">
      <c r="A32" s="286"/>
      <c r="B32" s="258" t="s">
        <v>1691</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5010"/>
      <c r="Q32" s="3277" t="str">
        <f t="shared" si="11"/>
        <v>公共部分装修</v>
      </c>
      <c r="R32" s="4077" t="s">
        <v>13</v>
      </c>
      <c r="S32" s="4080">
        <f t="shared" si="12"/>
        <v>100</v>
      </c>
      <c r="T32" s="4077" t="s">
        <v>13</v>
      </c>
      <c r="U32" s="4080">
        <f t="shared" si="13"/>
        <v>100</v>
      </c>
      <c r="V32" s="4077" t="s">
        <v>13</v>
      </c>
      <c r="W32" s="4080">
        <f t="shared" si="14"/>
        <v>100</v>
      </c>
      <c r="X32" s="963"/>
      <c r="Y32" s="4969"/>
      <c r="Z32" s="964" t="str">
        <f t="shared" si="15"/>
        <v>公共部分装修</v>
      </c>
      <c r="AA32" s="961">
        <f t="shared" si="3"/>
        <v>1</v>
      </c>
      <c r="AB32" s="961">
        <f t="shared" si="4"/>
        <v>1</v>
      </c>
      <c r="AC32" s="961">
        <f t="shared" si="5"/>
        <v>1</v>
      </c>
    </row>
    <row r="33" spans="1:29" ht="15">
      <c r="A33" s="286"/>
      <c r="B33" s="258" t="s">
        <v>1692</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5010"/>
      <c r="Q33" s="3277" t="str">
        <f t="shared" si="11"/>
        <v>成新度</v>
      </c>
      <c r="R33" s="4077" t="s">
        <v>13</v>
      </c>
      <c r="S33" s="4080" t="e">
        <f t="shared" si="12"/>
        <v>#N/A</v>
      </c>
      <c r="T33" s="4077" t="s">
        <v>13</v>
      </c>
      <c r="U33" s="4080" t="e">
        <f t="shared" si="13"/>
        <v>#N/A</v>
      </c>
      <c r="V33" s="4077" t="s">
        <v>13</v>
      </c>
      <c r="W33" s="4080" t="e">
        <f t="shared" si="14"/>
        <v>#N/A</v>
      </c>
      <c r="X33" s="963"/>
      <c r="Y33" s="4969"/>
      <c r="Z33" s="964" t="str">
        <f t="shared" si="15"/>
        <v>成新度</v>
      </c>
      <c r="AA33" s="961" t="e">
        <f t="shared" si="3"/>
        <v>#N/A</v>
      </c>
      <c r="AB33" s="961" t="e">
        <f t="shared" si="4"/>
        <v>#N/A</v>
      </c>
      <c r="AC33" s="961" t="e">
        <f t="shared" si="5"/>
        <v>#N/A</v>
      </c>
    </row>
    <row r="34" spans="1:29" s="49" customFormat="1" ht="15">
      <c r="A34" s="287"/>
      <c r="B34" s="258" t="s">
        <v>1725</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5010"/>
      <c r="Q34" s="3274" t="str">
        <f t="shared" si="11"/>
        <v>物业管理</v>
      </c>
      <c r="R34" s="4076" t="s">
        <v>13</v>
      </c>
      <c r="S34" s="4079">
        <f t="shared" si="12"/>
        <v>100</v>
      </c>
      <c r="T34" s="4076" t="s">
        <v>13</v>
      </c>
      <c r="U34" s="4079">
        <f t="shared" si="13"/>
        <v>100</v>
      </c>
      <c r="V34" s="4076" t="s">
        <v>13</v>
      </c>
      <c r="W34" s="4079">
        <f t="shared" si="14"/>
        <v>100</v>
      </c>
      <c r="X34" s="504"/>
      <c r="Y34" s="4969"/>
      <c r="Z34" s="28" t="str">
        <f t="shared" si="15"/>
        <v>物业管理</v>
      </c>
      <c r="AA34" s="505">
        <f t="shared" si="3"/>
        <v>1</v>
      </c>
      <c r="AB34" s="505">
        <f t="shared" si="4"/>
        <v>1</v>
      </c>
      <c r="AC34" s="505">
        <f t="shared" si="5"/>
        <v>1</v>
      </c>
    </row>
    <row r="35" spans="1:29" ht="15">
      <c r="A35" s="286"/>
      <c r="B35" s="258" t="s">
        <v>1693</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5010" t="s">
        <v>1602</v>
      </c>
      <c r="Q35" s="3277" t="str">
        <f t="shared" si="11"/>
        <v>市政基础设施</v>
      </c>
      <c r="R35" s="4077" t="s">
        <v>13</v>
      </c>
      <c r="S35" s="4080">
        <f t="shared" si="12"/>
        <v>100</v>
      </c>
      <c r="T35" s="4077" t="s">
        <v>13</v>
      </c>
      <c r="U35" s="4080">
        <f t="shared" si="13"/>
        <v>100</v>
      </c>
      <c r="V35" s="4077" t="s">
        <v>13</v>
      </c>
      <c r="W35" s="4080">
        <f t="shared" si="14"/>
        <v>100</v>
      </c>
      <c r="X35" s="963"/>
      <c r="Y35" s="4969" t="s">
        <v>1602</v>
      </c>
      <c r="Z35" s="964" t="str">
        <f t="shared" si="15"/>
        <v>市政基础设施</v>
      </c>
      <c r="AA35" s="961">
        <f t="shared" si="3"/>
        <v>1</v>
      </c>
      <c r="AB35" s="961">
        <f t="shared" si="4"/>
        <v>1</v>
      </c>
      <c r="AC35" s="961">
        <f t="shared" si="5"/>
        <v>1</v>
      </c>
    </row>
    <row r="36" spans="1:29" ht="15">
      <c r="A36" s="286"/>
      <c r="B36" s="258" t="s">
        <v>1698</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5010"/>
      <c r="Q36" s="3277" t="str">
        <f t="shared" si="11"/>
        <v>内部装修</v>
      </c>
      <c r="R36" s="4077" t="s">
        <v>13</v>
      </c>
      <c r="S36" s="4080">
        <f t="shared" si="12"/>
        <v>100</v>
      </c>
      <c r="T36" s="4077" t="s">
        <v>13</v>
      </c>
      <c r="U36" s="4080">
        <f t="shared" si="13"/>
        <v>100</v>
      </c>
      <c r="V36" s="4077" t="s">
        <v>13</v>
      </c>
      <c r="W36" s="4080">
        <f t="shared" si="14"/>
        <v>100</v>
      </c>
      <c r="X36" s="963"/>
      <c r="Y36" s="4969"/>
      <c r="Z36" s="964" t="str">
        <f t="shared" si="15"/>
        <v>内部装修</v>
      </c>
      <c r="AA36" s="961">
        <f t="shared" si="3"/>
        <v>1</v>
      </c>
      <c r="AB36" s="961">
        <f t="shared" si="4"/>
        <v>1</v>
      </c>
      <c r="AC36" s="961">
        <f t="shared" si="5"/>
        <v>1</v>
      </c>
    </row>
    <row r="37" spans="1:29" ht="15">
      <c r="A37" s="286"/>
      <c r="B37" s="258" t="s">
        <v>1734</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5010"/>
      <c r="Q37" s="3277" t="str">
        <f t="shared" si="11"/>
        <v>内部装修状况</v>
      </c>
      <c r="R37" s="4077" t="s">
        <v>13</v>
      </c>
      <c r="S37" s="4080">
        <f t="shared" si="12"/>
        <v>100</v>
      </c>
      <c r="T37" s="4077" t="s">
        <v>13</v>
      </c>
      <c r="U37" s="4080">
        <f t="shared" si="13"/>
        <v>100</v>
      </c>
      <c r="V37" s="4077" t="s">
        <v>13</v>
      </c>
      <c r="W37" s="4080">
        <f t="shared" si="14"/>
        <v>100</v>
      </c>
      <c r="X37" s="963"/>
      <c r="Y37" s="4969"/>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5010"/>
      <c r="Q38" s="3106">
        <f t="shared" si="11"/>
        <v>111</v>
      </c>
      <c r="R38" s="4078" t="s">
        <v>13</v>
      </c>
      <c r="S38" s="4081">
        <f t="shared" si="12"/>
        <v>100</v>
      </c>
      <c r="T38" s="4078" t="s">
        <v>13</v>
      </c>
      <c r="U38" s="4081">
        <f t="shared" si="13"/>
        <v>100</v>
      </c>
      <c r="V38" s="4078" t="s">
        <v>13</v>
      </c>
      <c r="W38" s="4081">
        <f t="shared" si="14"/>
        <v>100</v>
      </c>
      <c r="X38" s="507"/>
      <c r="Y38" s="4969"/>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5010"/>
      <c r="Q39" s="3277">
        <f t="shared" si="11"/>
        <v>111</v>
      </c>
      <c r="R39" s="4077" t="s">
        <v>13</v>
      </c>
      <c r="S39" s="4080">
        <f t="shared" si="12"/>
        <v>100</v>
      </c>
      <c r="T39" s="4077" t="s">
        <v>13</v>
      </c>
      <c r="U39" s="4080">
        <f t="shared" si="13"/>
        <v>100</v>
      </c>
      <c r="V39" s="4077" t="s">
        <v>13</v>
      </c>
      <c r="W39" s="4080">
        <f t="shared" si="14"/>
        <v>100</v>
      </c>
      <c r="X39" s="963"/>
      <c r="Y39" s="4969"/>
      <c r="Z39" s="964">
        <f t="shared" si="15"/>
        <v>111</v>
      </c>
      <c r="AA39" s="961">
        <f t="shared" si="3"/>
        <v>1</v>
      </c>
      <c r="AB39" s="961">
        <f t="shared" si="4"/>
        <v>1</v>
      </c>
      <c r="AC39" s="961">
        <f t="shared" si="5"/>
        <v>1</v>
      </c>
    </row>
    <row r="40" spans="1:29" ht="15.6"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5011"/>
      <c r="Q40" s="3277">
        <f t="shared" si="11"/>
        <v>111</v>
      </c>
      <c r="R40" s="4077" t="s">
        <v>13</v>
      </c>
      <c r="S40" s="4080">
        <f t="shared" si="12"/>
        <v>100</v>
      </c>
      <c r="T40" s="4077" t="s">
        <v>13</v>
      </c>
      <c r="U40" s="4080">
        <f t="shared" si="13"/>
        <v>100</v>
      </c>
      <c r="V40" s="4077" t="s">
        <v>13</v>
      </c>
      <c r="W40" s="4080">
        <f t="shared" si="14"/>
        <v>100</v>
      </c>
      <c r="X40" s="963"/>
      <c r="Y40" s="4970"/>
      <c r="Z40" s="964">
        <f t="shared" si="15"/>
        <v>111</v>
      </c>
      <c r="AA40" s="961">
        <f t="shared" si="3"/>
        <v>1</v>
      </c>
      <c r="AB40" s="961">
        <f t="shared" si="4"/>
        <v>1</v>
      </c>
      <c r="AC40" s="961">
        <f t="shared" si="5"/>
        <v>1</v>
      </c>
    </row>
    <row r="41" spans="1:29" ht="14.4">
      <c r="A41" s="292" t="s">
        <v>1614</v>
      </c>
      <c r="B41" s="293"/>
      <c r="C41" s="808" t="s">
        <v>0</v>
      </c>
      <c r="D41" s="809"/>
      <c r="E41" s="3458"/>
      <c r="F41" s="3460"/>
      <c r="G41" s="3459"/>
      <c r="H41" s="3461"/>
      <c r="I41" s="3458"/>
      <c r="J41" s="3461"/>
      <c r="K41" s="3104"/>
      <c r="L41" s="638"/>
      <c r="M41" s="639"/>
      <c r="N41" s="626"/>
      <c r="O41" s="639"/>
      <c r="P41" s="4971" t="str">
        <f>A41</f>
        <v>成交单价（元/平方米）</v>
      </c>
      <c r="Q41" s="4971"/>
      <c r="R41" s="4972">
        <f>E41</f>
        <v>0</v>
      </c>
      <c r="S41" s="4972"/>
      <c r="T41" s="4972">
        <f>G41</f>
        <v>0</v>
      </c>
      <c r="U41" s="4972"/>
      <c r="V41" s="4972">
        <f>I41</f>
        <v>0</v>
      </c>
      <c r="W41" s="4972"/>
      <c r="X41" s="493"/>
      <c r="Y41" s="509"/>
      <c r="Z41" s="493"/>
      <c r="AA41" s="493"/>
      <c r="AB41" s="493"/>
      <c r="AC41" s="493"/>
    </row>
    <row r="42" spans="1:29" ht="15" thickBot="1">
      <c r="A42" s="295" t="s">
        <v>1699</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971" t="str">
        <f>A42</f>
        <v>比较价值（元/平方米）</v>
      </c>
      <c r="Q42" s="4971"/>
      <c r="R42" s="4972" t="e">
        <f>IF(F1="售价",ROUND(PRODUCT(R41,AA7:AA40),0),ROUND(PRODUCT(R41,AA7:AA40),1))</f>
        <v>#DIV/0!</v>
      </c>
      <c r="S42" s="4972"/>
      <c r="T42" s="4972" t="e">
        <f>IF(F1="售价",ROUND(PRODUCT(T41,AB7:AB40),0),ROUND(PRODUCT(T41,AB7:AB40),1))</f>
        <v>#DIV/0!</v>
      </c>
      <c r="U42" s="4972"/>
      <c r="V42" s="4972" t="e">
        <f>IF(F1="售价",ROUND(PRODUCT(V41,AC7:AC40),0),ROUND(PRODUCT(V41,AC7:AC40),1))</f>
        <v>#DIV/0!</v>
      </c>
      <c r="W42" s="4972"/>
      <c r="X42" s="493"/>
      <c r="Y42" s="493"/>
      <c r="Z42" s="493"/>
      <c r="AA42" s="493"/>
      <c r="AB42" s="493"/>
      <c r="AC42" s="493"/>
    </row>
    <row r="43" spans="1:29" ht="15" thickBot="1">
      <c r="A43" s="297" t="s">
        <v>1700</v>
      </c>
      <c r="B43" s="298"/>
      <c r="C43" s="4054" t="e">
        <f>R43</f>
        <v>#DIV/0!</v>
      </c>
      <c r="D43" s="812"/>
      <c r="E43" s="812"/>
      <c r="F43" s="812"/>
      <c r="G43" s="812"/>
      <c r="H43" s="812"/>
      <c r="I43" s="812"/>
      <c r="J43" s="812"/>
      <c r="K43" s="511"/>
      <c r="L43" s="638"/>
      <c r="M43" s="639"/>
      <c r="N43" s="639"/>
      <c r="O43" s="639"/>
      <c r="P43" s="4973" t="str">
        <f>A43</f>
        <v>估价对象XX用房的比较价值（楼面单价，元/平方米）</v>
      </c>
      <c r="Q43" s="4974"/>
      <c r="R43" s="4975" t="e">
        <f>IF(F1="售价",ROUND(IF(D42="简单平均",AVERAGE(R42:V42),R42*F42+T42*H42+V42*J42),0),ROUND(IF(D42="简单平均",AVERAGE(R42:V42),R42*F42+T42*H42+V42*J42),1))</f>
        <v>#DIV/0!</v>
      </c>
      <c r="S43" s="4975"/>
      <c r="T43" s="4975"/>
      <c r="U43" s="4975"/>
      <c r="V43" s="4975"/>
      <c r="W43" s="4975"/>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1701</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1702</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1703</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2.2" thickBot="1">
      <c r="A51" s="497" t="s">
        <v>1704</v>
      </c>
      <c r="B51" s="493"/>
      <c r="C51" s="498"/>
      <c r="D51" s="498"/>
      <c r="E51" s="498"/>
      <c r="F51" s="499"/>
      <c r="G51" s="499"/>
      <c r="H51" s="498"/>
      <c r="I51" s="498"/>
      <c r="J51" s="498"/>
      <c r="K51" s="653"/>
      <c r="L51" s="654"/>
      <c r="M51" s="652"/>
      <c r="N51" s="652"/>
      <c r="O51" s="652"/>
      <c r="P51" s="3438"/>
      <c r="Q51" s="3439"/>
    </row>
    <row r="52" spans="1:23" s="311" customFormat="1" ht="14.4">
      <c r="A52" s="309" t="s">
        <v>1585</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40"/>
      <c r="Q52" s="3441"/>
      <c r="R52" s="3441"/>
      <c r="S52" s="3441"/>
      <c r="T52" s="3441"/>
      <c r="U52" s="3441"/>
      <c r="V52" s="3441"/>
      <c r="W52" s="3441"/>
    </row>
    <row r="53" spans="1:23" s="49" customFormat="1">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 thickBot="1">
      <c r="A54" s="318" t="s">
        <v>1622</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4.4">
      <c r="A55" s="324" t="s">
        <v>1587</v>
      </c>
      <c r="B55" s="313"/>
      <c r="C55" s="325" t="s">
        <v>1682</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4.4"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ht="14.4">
      <c r="A57" s="329" t="s">
        <v>1625</v>
      </c>
      <c r="B57" s="330" t="s">
        <v>1591</v>
      </c>
      <c r="C57" s="331">
        <f>C9</f>
        <v>0</v>
      </c>
      <c r="D57" s="332"/>
      <c r="E57" s="332"/>
      <c r="F57" s="332"/>
      <c r="G57" s="332"/>
      <c r="H57" s="332"/>
      <c r="I57" s="332"/>
      <c r="J57" s="332"/>
      <c r="K57" s="333"/>
      <c r="L57" s="334"/>
      <c r="M57" s="335"/>
      <c r="N57" s="645"/>
      <c r="O57" s="645"/>
      <c r="P57" s="3444"/>
      <c r="Q57" s="3439"/>
    </row>
    <row r="58" spans="1:23" ht="14.4" thickBot="1">
      <c r="A58" s="336"/>
      <c r="B58" s="337"/>
      <c r="C58" s="338">
        <v>100</v>
      </c>
      <c r="D58" s="338"/>
      <c r="E58" s="338"/>
      <c r="F58" s="338"/>
      <c r="G58" s="338"/>
      <c r="H58" s="338"/>
      <c r="I58" s="338"/>
      <c r="J58" s="338"/>
      <c r="K58" s="338"/>
      <c r="L58" s="338"/>
      <c r="M58" s="339"/>
      <c r="N58" s="646"/>
      <c r="O58" s="646"/>
      <c r="P58" s="3444"/>
      <c r="Q58" s="3439"/>
    </row>
    <row r="59" spans="1:23" ht="29.4" thickTop="1">
      <c r="A59" s="336"/>
      <c r="B59" s="340" t="s">
        <v>1594</v>
      </c>
      <c r="C59" s="382"/>
      <c r="D59" s="382"/>
      <c r="E59" s="382"/>
      <c r="F59" s="382"/>
      <c r="G59" s="382"/>
      <c r="H59" s="382"/>
      <c r="I59" s="382"/>
      <c r="J59" s="382"/>
      <c r="K59" s="383"/>
      <c r="L59" s="384"/>
      <c r="M59" s="385"/>
      <c r="N59" s="645"/>
      <c r="O59" s="645"/>
      <c r="P59" s="3444"/>
      <c r="Q59" s="3439"/>
    </row>
    <row r="60" spans="1:23" ht="15" thickBot="1">
      <c r="A60" s="336"/>
      <c r="B60" s="345" t="s">
        <v>3876</v>
      </c>
      <c r="C60" s="338"/>
      <c r="D60" s="338"/>
      <c r="E60" s="338"/>
      <c r="F60" s="338"/>
      <c r="G60" s="338"/>
      <c r="H60" s="338"/>
      <c r="I60" s="338"/>
      <c r="J60" s="338"/>
      <c r="K60" s="338"/>
      <c r="L60" s="338"/>
      <c r="M60" s="339"/>
      <c r="N60" s="646"/>
      <c r="O60" s="646"/>
      <c r="P60" s="3444"/>
      <c r="Q60" s="3439"/>
    </row>
    <row r="61" spans="1:23" ht="15" thickTop="1">
      <c r="A61" s="336"/>
      <c r="B61" s="348" t="s">
        <v>1595</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c r="A62" s="336"/>
      <c r="B62" s="350"/>
      <c r="C62" s="351">
        <v>0</v>
      </c>
      <c r="D62" s="351">
        <v>0.5</v>
      </c>
      <c r="E62" s="351">
        <v>1</v>
      </c>
      <c r="F62" s="351">
        <v>1.5</v>
      </c>
      <c r="G62" s="351">
        <v>2</v>
      </c>
      <c r="H62" s="351"/>
      <c r="I62" s="351"/>
      <c r="J62" s="351"/>
      <c r="K62" s="352"/>
      <c r="L62" s="353"/>
      <c r="M62" s="354"/>
      <c r="N62" s="645"/>
      <c r="O62" s="645"/>
      <c r="P62" s="3444"/>
      <c r="Q62" s="3439"/>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4.4"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4.4"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4.4"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4.4"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4.4"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4.4"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ht="14.4">
      <c r="A70" s="329" t="s">
        <v>1596</v>
      </c>
      <c r="B70" s="330" t="s">
        <v>1735</v>
      </c>
      <c r="C70" s="373" t="s">
        <v>1627</v>
      </c>
      <c r="D70" s="373" t="s">
        <v>1628</v>
      </c>
      <c r="E70" s="373" t="s">
        <v>1629</v>
      </c>
      <c r="F70" s="373" t="s">
        <v>1630</v>
      </c>
      <c r="G70" s="373" t="s">
        <v>1631</v>
      </c>
      <c r="H70" s="331"/>
      <c r="I70" s="331"/>
      <c r="J70" s="331"/>
      <c r="K70" s="374"/>
      <c r="L70" s="375"/>
      <c r="M70" s="376"/>
      <c r="N70" s="645"/>
      <c r="O70" s="645"/>
      <c r="P70" s="3444"/>
      <c r="Q70" s="3439"/>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 thickTop="1">
      <c r="A72" s="336"/>
      <c r="B72" s="340" t="s">
        <v>1632</v>
      </c>
      <c r="C72" s="377" t="s">
        <v>1627</v>
      </c>
      <c r="D72" s="377" t="s">
        <v>1628</v>
      </c>
      <c r="E72" s="377" t="s">
        <v>1629</v>
      </c>
      <c r="F72" s="377" t="s">
        <v>1630</v>
      </c>
      <c r="G72" s="377" t="s">
        <v>1631</v>
      </c>
      <c r="H72" s="341"/>
      <c r="I72" s="341"/>
      <c r="J72" s="341"/>
      <c r="K72" s="342"/>
      <c r="L72" s="343"/>
      <c r="M72" s="344"/>
      <c r="N72" s="645"/>
      <c r="O72" s="645"/>
      <c r="P72" s="3444"/>
      <c r="Q72" s="3439"/>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 thickTop="1">
      <c r="A74" s="336"/>
      <c r="B74" s="340" t="s">
        <v>1633</v>
      </c>
      <c r="C74" s="377" t="s">
        <v>1627</v>
      </c>
      <c r="D74" s="377" t="s">
        <v>1628</v>
      </c>
      <c r="E74" s="377" t="s">
        <v>1629</v>
      </c>
      <c r="F74" s="377" t="s">
        <v>1630</v>
      </c>
      <c r="G74" s="377" t="s">
        <v>1631</v>
      </c>
      <c r="H74" s="341"/>
      <c r="I74" s="341"/>
      <c r="J74" s="341"/>
      <c r="K74" s="342"/>
      <c r="L74" s="343"/>
      <c r="M74" s="344"/>
      <c r="N74" s="645"/>
      <c r="O74" s="645"/>
      <c r="P74" s="3444"/>
      <c r="Q74" s="3439"/>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 thickTop="1">
      <c r="A76" s="336"/>
      <c r="B76" s="348" t="s">
        <v>1719</v>
      </c>
      <c r="C76" s="444" t="s">
        <v>1705</v>
      </c>
      <c r="D76" s="444" t="s">
        <v>1706</v>
      </c>
      <c r="E76" s="444" t="s">
        <v>1707</v>
      </c>
      <c r="F76" s="444" t="s">
        <v>1708</v>
      </c>
      <c r="G76" s="444" t="s">
        <v>1709</v>
      </c>
      <c r="H76" s="341"/>
      <c r="I76" s="341"/>
      <c r="J76" s="341"/>
      <c r="K76" s="341"/>
      <c r="L76" s="341"/>
      <c r="M76" s="798"/>
      <c r="N76" s="646"/>
      <c r="O76" s="646"/>
      <c r="P76" s="3444"/>
      <c r="Q76" s="3439"/>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 thickTop="1">
      <c r="A78" s="336"/>
      <c r="B78" s="340" t="s">
        <v>1728</v>
      </c>
      <c r="C78" s="377" t="s">
        <v>1627</v>
      </c>
      <c r="D78" s="377" t="s">
        <v>1628</v>
      </c>
      <c r="E78" s="377" t="s">
        <v>1629</v>
      </c>
      <c r="F78" s="377" t="s">
        <v>1630</v>
      </c>
      <c r="G78" s="377" t="s">
        <v>1631</v>
      </c>
      <c r="H78" s="341"/>
      <c r="I78" s="341"/>
      <c r="J78" s="341"/>
      <c r="K78" s="342"/>
      <c r="L78" s="343"/>
      <c r="M78" s="344"/>
      <c r="N78" s="645"/>
      <c r="O78" s="645"/>
      <c r="P78" s="3444"/>
      <c r="Q78" s="3439"/>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4.4"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4.4"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4.4"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4.4"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4.4"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4.4"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4.4" thickTop="1">
      <c r="A86" s="336"/>
      <c r="B86" s="348">
        <f>B28</f>
        <v>111</v>
      </c>
      <c r="C86" s="326"/>
      <c r="D86" s="326"/>
      <c r="E86" s="326"/>
      <c r="F86" s="326"/>
      <c r="G86" s="386"/>
      <c r="H86" s="386"/>
      <c r="I86" s="386"/>
      <c r="J86" s="386"/>
      <c r="K86" s="387"/>
      <c r="L86" s="388"/>
      <c r="M86" s="389"/>
      <c r="N86" s="645"/>
      <c r="O86" s="645"/>
      <c r="P86" s="3444"/>
      <c r="Q86" s="3439"/>
    </row>
    <row r="87" spans="1:23" ht="14.4" thickBot="1">
      <c r="A87" s="1487"/>
      <c r="B87" s="369"/>
      <c r="C87" s="370"/>
      <c r="D87" s="370"/>
      <c r="E87" s="370"/>
      <c r="F87" s="370"/>
      <c r="G87" s="390"/>
      <c r="H87" s="390"/>
      <c r="I87" s="390"/>
      <c r="J87" s="390"/>
      <c r="K87" s="390"/>
      <c r="L87" s="390"/>
      <c r="M87" s="391"/>
      <c r="N87" s="646"/>
      <c r="O87" s="646"/>
      <c r="P87" s="3444"/>
      <c r="Q87" s="3439"/>
    </row>
    <row r="88" spans="1:23" ht="14.4">
      <c r="A88" s="329" t="s">
        <v>1600</v>
      </c>
      <c r="B88" s="330" t="s">
        <v>1642</v>
      </c>
      <c r="C88" s="332"/>
      <c r="D88" s="332"/>
      <c r="E88" s="332"/>
      <c r="F88" s="332"/>
      <c r="G88" s="332"/>
      <c r="H88" s="332"/>
      <c r="I88" s="332"/>
      <c r="J88" s="332"/>
      <c r="K88" s="333"/>
      <c r="L88" s="334"/>
      <c r="M88" s="335"/>
      <c r="N88" s="645"/>
      <c r="O88" s="645"/>
      <c r="P88" s="3444"/>
      <c r="Q88" s="3439"/>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 thickTop="1">
      <c r="A90" s="336"/>
      <c r="B90" s="340" t="s">
        <v>1643</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4.4"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1644</v>
      </c>
      <c r="C93" s="356"/>
      <c r="D93" s="356"/>
      <c r="E93" s="382"/>
      <c r="F93" s="382"/>
      <c r="G93" s="382"/>
      <c r="H93" s="382"/>
      <c r="I93" s="382"/>
      <c r="J93" s="382"/>
      <c r="K93" s="383"/>
      <c r="L93" s="384"/>
      <c r="M93" s="385"/>
      <c r="N93" s="645"/>
      <c r="O93" s="645"/>
      <c r="P93" s="3444"/>
      <c r="Q93" s="3439"/>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1646</v>
      </c>
      <c r="C95" s="356"/>
      <c r="D95" s="356"/>
      <c r="E95" s="356"/>
      <c r="F95" s="382"/>
      <c r="G95" s="382"/>
      <c r="H95" s="382"/>
      <c r="I95" s="382"/>
      <c r="J95" s="382"/>
      <c r="K95" s="383"/>
      <c r="L95" s="384"/>
      <c r="M95" s="385"/>
      <c r="N95" s="645"/>
      <c r="O95" s="645"/>
      <c r="P95" s="3444"/>
      <c r="Q95" s="3439"/>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28.2" thickTop="1">
      <c r="A97" s="398"/>
      <c r="B97" s="340" t="s">
        <v>1172</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1647</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1648</v>
      </c>
      <c r="C102" s="356"/>
      <c r="D102" s="356"/>
      <c r="E102" s="356"/>
      <c r="F102" s="356"/>
      <c r="G102" s="356"/>
      <c r="H102" s="382"/>
      <c r="I102" s="382"/>
      <c r="J102" s="382"/>
      <c r="K102" s="383"/>
      <c r="L102" s="384"/>
      <c r="M102" s="385"/>
      <c r="N102" s="645"/>
      <c r="O102" s="645"/>
      <c r="P102" s="3444"/>
      <c r="Q102" s="3439"/>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1650</v>
      </c>
      <c r="C104" s="356"/>
      <c r="D104" s="356"/>
      <c r="E104" s="356"/>
      <c r="F104" s="356"/>
      <c r="G104" s="356"/>
      <c r="H104" s="382"/>
      <c r="I104" s="382"/>
      <c r="J104" s="382"/>
      <c r="K104" s="383"/>
      <c r="L104" s="384"/>
      <c r="M104" s="385"/>
      <c r="N104" s="645"/>
      <c r="O104" s="645"/>
      <c r="P104" s="3444"/>
      <c r="Q104" s="3439"/>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29.4" thickTop="1">
      <c r="A106" s="398"/>
      <c r="B106" s="424" t="s">
        <v>1736</v>
      </c>
      <c r="C106" s="377" t="s">
        <v>1627</v>
      </c>
      <c r="D106" s="377" t="s">
        <v>1628</v>
      </c>
      <c r="E106" s="377" t="s">
        <v>1629</v>
      </c>
      <c r="F106" s="377" t="s">
        <v>1630</v>
      </c>
      <c r="G106" s="377" t="s">
        <v>1631</v>
      </c>
      <c r="H106" s="341"/>
      <c r="I106" s="341"/>
      <c r="J106" s="341"/>
      <c r="K106" s="342"/>
      <c r="L106" s="343"/>
      <c r="M106" s="344"/>
      <c r="N106" s="646"/>
      <c r="O106" s="646"/>
      <c r="P106" s="3450"/>
      <c r="Q106" s="3451"/>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4.4"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4.4"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4.4" thickTop="1">
      <c r="A110" s="398"/>
      <c r="B110" s="340">
        <f>B39</f>
        <v>111</v>
      </c>
      <c r="C110" s="356"/>
      <c r="D110" s="356"/>
      <c r="E110" s="356"/>
      <c r="F110" s="356"/>
      <c r="G110" s="356"/>
      <c r="H110" s="357"/>
      <c r="I110" s="357"/>
      <c r="J110" s="357"/>
      <c r="K110" s="357"/>
      <c r="L110" s="358"/>
      <c r="M110" s="359"/>
      <c r="N110" s="645"/>
      <c r="O110" s="645"/>
      <c r="P110" s="3444"/>
      <c r="Q110" s="3439"/>
    </row>
    <row r="111" spans="1:23" ht="14.4" thickBot="1">
      <c r="A111" s="336"/>
      <c r="B111" s="345"/>
      <c r="C111" s="361"/>
      <c r="D111" s="338"/>
      <c r="E111" s="338"/>
      <c r="F111" s="338"/>
      <c r="G111" s="361"/>
      <c r="H111" s="363"/>
      <c r="I111" s="363"/>
      <c r="J111" s="363"/>
      <c r="K111" s="363"/>
      <c r="L111" s="363"/>
      <c r="M111" s="364"/>
      <c r="N111" s="646"/>
      <c r="O111" s="646"/>
      <c r="P111" s="3444"/>
      <c r="Q111" s="3439"/>
    </row>
    <row r="112" spans="1:23" ht="14.4" thickTop="1">
      <c r="A112" s="398"/>
      <c r="B112" s="348">
        <f>B40</f>
        <v>111</v>
      </c>
      <c r="C112" s="326"/>
      <c r="D112" s="326"/>
      <c r="E112" s="326"/>
      <c r="F112" s="326"/>
      <c r="G112" s="386"/>
      <c r="H112" s="386"/>
      <c r="I112" s="386"/>
      <c r="J112" s="386"/>
      <c r="K112" s="326"/>
      <c r="L112" s="327"/>
      <c r="M112" s="389"/>
      <c r="N112" s="645"/>
      <c r="O112" s="645"/>
      <c r="P112" s="3444"/>
      <c r="Q112" s="3439"/>
    </row>
    <row r="113" spans="1:17" ht="14.4"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3219</v>
      </c>
      <c r="C1" s="862" t="s">
        <v>1568</v>
      </c>
      <c r="D1" s="863"/>
      <c r="E1" s="2704"/>
      <c r="F1" s="1453"/>
      <c r="G1" s="865" t="s">
        <v>1673</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1432</v>
      </c>
      <c r="B3" s="3122" t="e">
        <f>IF(AND(E2="——",B37="元/平方米"),C39,ROUND(B2*10000/D3,0))</f>
        <v>#DIV/0!</v>
      </c>
      <c r="C3" s="240" t="s">
        <v>1674</v>
      </c>
      <c r="D3" s="3122">
        <f>SUMIF('数据-汇总表'!$C19:$C33,D1,'数据-汇总表'!$E19:$E33)</f>
        <v>0</v>
      </c>
      <c r="E3" s="240" t="s">
        <v>1738</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4.4">
      <c r="A4" s="241" t="s">
        <v>1675</v>
      </c>
      <c r="B4" s="242"/>
      <c r="C4" s="4992" t="s">
        <v>1676</v>
      </c>
      <c r="D4" s="4993"/>
      <c r="E4" s="4994" t="s">
        <v>1677</v>
      </c>
      <c r="F4" s="4995"/>
      <c r="G4" s="4992" t="s">
        <v>1678</v>
      </c>
      <c r="H4" s="4993"/>
      <c r="I4" s="4992" t="s">
        <v>1679</v>
      </c>
      <c r="J4" s="4993"/>
      <c r="K4" s="406" t="s">
        <v>1680</v>
      </c>
      <c r="L4" s="2146"/>
      <c r="M4" s="2147"/>
      <c r="N4" s="2147"/>
      <c r="O4" s="2147"/>
      <c r="P4" s="5013" t="s">
        <v>1681</v>
      </c>
      <c r="Q4" s="5014"/>
      <c r="R4" s="4947" t="s">
        <v>1677</v>
      </c>
      <c r="S4" s="4948"/>
      <c r="T4" s="4947" t="s">
        <v>1678</v>
      </c>
      <c r="U4" s="4948"/>
      <c r="V4" s="4976" t="s">
        <v>1679</v>
      </c>
      <c r="W4" s="4976"/>
      <c r="X4" s="963"/>
      <c r="Y4" s="4947" t="s">
        <v>1681</v>
      </c>
      <c r="Z4" s="4948"/>
      <c r="AA4" s="4920" t="s">
        <v>1677</v>
      </c>
      <c r="AB4" s="4921" t="s">
        <v>1678</v>
      </c>
      <c r="AC4" s="4920" t="s">
        <v>1679</v>
      </c>
    </row>
    <row r="5" spans="1:29">
      <c r="A5" s="244"/>
      <c r="B5" s="245"/>
      <c r="C5" s="4983" t="s">
        <v>1579</v>
      </c>
      <c r="D5" s="4984"/>
      <c r="E5" s="4981" t="s">
        <v>1580</v>
      </c>
      <c r="F5" s="4982"/>
      <c r="G5" s="4983" t="s">
        <v>1581</v>
      </c>
      <c r="H5" s="4984"/>
      <c r="I5" s="4983" t="s">
        <v>1582</v>
      </c>
      <c r="J5" s="4984"/>
      <c r="K5" s="406"/>
      <c r="L5" s="2146"/>
      <c r="M5" s="2147"/>
      <c r="N5" s="2147"/>
      <c r="O5" s="2147"/>
      <c r="P5" s="5015"/>
      <c r="Q5" s="5016"/>
      <c r="R5" s="4949"/>
      <c r="S5" s="4950"/>
      <c r="T5" s="4949"/>
      <c r="U5" s="4950"/>
      <c r="V5" s="4976"/>
      <c r="W5" s="4976"/>
      <c r="X5" s="963"/>
      <c r="Y5" s="4949"/>
      <c r="Z5" s="4950"/>
      <c r="AA5" s="4921"/>
      <c r="AB5" s="4921"/>
      <c r="AC5" s="4921"/>
    </row>
    <row r="6" spans="1:29" ht="15" thickBot="1">
      <c r="A6" s="246"/>
      <c r="B6" s="247"/>
      <c r="C6" s="4985" t="s">
        <v>1583</v>
      </c>
      <c r="D6" s="4986"/>
      <c r="E6" s="4987" t="s">
        <v>1583</v>
      </c>
      <c r="F6" s="4988"/>
      <c r="G6" s="4985" t="s">
        <v>1583</v>
      </c>
      <c r="H6" s="4986"/>
      <c r="I6" s="4985" t="s">
        <v>1583</v>
      </c>
      <c r="J6" s="4986"/>
      <c r="K6" s="406" t="s">
        <v>1584</v>
      </c>
      <c r="L6" s="2146"/>
      <c r="M6" s="2147"/>
      <c r="N6" s="2147"/>
      <c r="O6" s="2147"/>
      <c r="P6" s="5017"/>
      <c r="Q6" s="5018"/>
      <c r="R6" s="4949"/>
      <c r="S6" s="4950"/>
      <c r="T6" s="4951"/>
      <c r="U6" s="4952"/>
      <c r="V6" s="4976"/>
      <c r="W6" s="4976"/>
      <c r="X6" s="963"/>
      <c r="Y6" s="4951"/>
      <c r="Z6" s="4952"/>
      <c r="AA6" s="4922"/>
      <c r="AB6" s="4922"/>
      <c r="AC6" s="4922"/>
    </row>
    <row r="7" spans="1:29" s="49" customFormat="1" ht="15" thickBot="1">
      <c r="A7" s="248" t="s">
        <v>1585</v>
      </c>
      <c r="B7" s="249"/>
      <c r="C7" s="250">
        <f>'数据-取费表'!B2</f>
        <v>46063</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942" t="s">
        <v>1586</v>
      </c>
      <c r="Q7" s="5019"/>
      <c r="R7" s="4084" t="s">
        <v>13</v>
      </c>
      <c r="S7" s="4087">
        <f t="shared" ref="S7:S14" si="0">F7</f>
        <v>0</v>
      </c>
      <c r="T7" s="4084" t="s">
        <v>13</v>
      </c>
      <c r="U7" s="4087">
        <f t="shared" ref="U7:U14" si="1">H7</f>
        <v>0</v>
      </c>
      <c r="V7" s="4084" t="s">
        <v>13</v>
      </c>
      <c r="W7" s="4087">
        <f t="shared" ref="W7:W14" si="2">J7</f>
        <v>0</v>
      </c>
      <c r="X7" s="504"/>
      <c r="Y7" s="4942" t="s">
        <v>1586</v>
      </c>
      <c r="Z7" s="4943"/>
      <c r="AA7" s="505" t="e">
        <f>D7/F7</f>
        <v>#DIV/0!</v>
      </c>
      <c r="AB7" s="505" t="e">
        <f>D7/H7</f>
        <v>#DIV/0!</v>
      </c>
      <c r="AC7" s="505" t="e">
        <f>D7/J7</f>
        <v>#DIV/0!</v>
      </c>
    </row>
    <row r="8" spans="1:29" s="49" customFormat="1" ht="15" thickBot="1">
      <c r="A8" s="248" t="s">
        <v>1587</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942" t="s">
        <v>1589</v>
      </c>
      <c r="Q8" s="4943"/>
      <c r="R8" s="4084" t="s">
        <v>13</v>
      </c>
      <c r="S8" s="4087">
        <f t="shared" si="0"/>
        <v>100</v>
      </c>
      <c r="T8" s="4084" t="s">
        <v>13</v>
      </c>
      <c r="U8" s="4087">
        <f t="shared" si="1"/>
        <v>100</v>
      </c>
      <c r="V8" s="4084" t="s">
        <v>13</v>
      </c>
      <c r="W8" s="4087">
        <f t="shared" si="2"/>
        <v>100</v>
      </c>
      <c r="X8" s="504"/>
      <c r="Y8" s="4942" t="s">
        <v>1589</v>
      </c>
      <c r="Z8" s="4943"/>
      <c r="AA8" s="505">
        <f t="shared" ref="AA8:AA36" si="3">D8/F8</f>
        <v>1</v>
      </c>
      <c r="AB8" s="505">
        <f t="shared" ref="AB8:AB36" si="4">D8/H8</f>
        <v>1</v>
      </c>
      <c r="AC8" s="505">
        <f t="shared" ref="AC8:AC36" si="5">D8/J8</f>
        <v>1</v>
      </c>
    </row>
    <row r="9" spans="1:29" s="49" customFormat="1" ht="14.4">
      <c r="A9" s="31" t="s">
        <v>1590</v>
      </c>
      <c r="B9" s="426" t="s">
        <v>1591</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5012" t="s">
        <v>1592</v>
      </c>
      <c r="Q9" s="952" t="str">
        <f t="shared" ref="Q9:Q14" si="6">B9</f>
        <v>用途</v>
      </c>
      <c r="R9" s="4084" t="s">
        <v>13</v>
      </c>
      <c r="S9" s="4087">
        <f t="shared" si="0"/>
        <v>100</v>
      </c>
      <c r="T9" s="4084" t="s">
        <v>13</v>
      </c>
      <c r="U9" s="4087">
        <f t="shared" si="1"/>
        <v>100</v>
      </c>
      <c r="V9" s="4084" t="s">
        <v>13</v>
      </c>
      <c r="W9" s="4087">
        <f t="shared" si="2"/>
        <v>100</v>
      </c>
      <c r="X9" s="504"/>
      <c r="Y9" s="4961" t="s">
        <v>1593</v>
      </c>
      <c r="Z9" s="28" t="str">
        <f t="shared" ref="Z9:Z14" si="7">Q9</f>
        <v>用途</v>
      </c>
      <c r="AA9" s="505">
        <f t="shared" si="3"/>
        <v>1</v>
      </c>
      <c r="AB9" s="505">
        <f t="shared" si="4"/>
        <v>1</v>
      </c>
      <c r="AC9" s="505">
        <f t="shared" si="5"/>
        <v>1</v>
      </c>
    </row>
    <row r="10" spans="1:29" s="259" customFormat="1" ht="28.8">
      <c r="A10" s="427"/>
      <c r="B10" s="428" t="s">
        <v>1594</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5012"/>
      <c r="Q10" s="952" t="str">
        <f t="shared" si="6"/>
        <v>土地使用年限（年）</v>
      </c>
      <c r="R10" s="4084" t="s">
        <v>13</v>
      </c>
      <c r="S10" s="4087">
        <f t="shared" si="0"/>
        <v>100</v>
      </c>
      <c r="T10" s="4084" t="s">
        <v>13</v>
      </c>
      <c r="U10" s="4087">
        <f t="shared" si="1"/>
        <v>100</v>
      </c>
      <c r="V10" s="4084" t="s">
        <v>13</v>
      </c>
      <c r="W10" s="4087">
        <f t="shared" si="2"/>
        <v>100</v>
      </c>
      <c r="X10" s="504"/>
      <c r="Y10" s="4961"/>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5012"/>
      <c r="Q11" s="952">
        <f t="shared" si="6"/>
        <v>111</v>
      </c>
      <c r="R11" s="4084" t="s">
        <v>13</v>
      </c>
      <c r="S11" s="4087">
        <f t="shared" si="0"/>
        <v>100</v>
      </c>
      <c r="T11" s="4084" t="s">
        <v>13</v>
      </c>
      <c r="U11" s="4087">
        <f t="shared" si="1"/>
        <v>100</v>
      </c>
      <c r="V11" s="4084" t="s">
        <v>13</v>
      </c>
      <c r="W11" s="4087">
        <f t="shared" si="2"/>
        <v>100</v>
      </c>
      <c r="X11" s="504"/>
      <c r="Y11" s="4961"/>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5012"/>
      <c r="Q12" s="952">
        <f t="shared" si="6"/>
        <v>111</v>
      </c>
      <c r="R12" s="4084" t="s">
        <v>13</v>
      </c>
      <c r="S12" s="4087">
        <f t="shared" si="0"/>
        <v>100</v>
      </c>
      <c r="T12" s="4084" t="s">
        <v>13</v>
      </c>
      <c r="U12" s="4087">
        <f t="shared" si="1"/>
        <v>100</v>
      </c>
      <c r="V12" s="4084" t="s">
        <v>13</v>
      </c>
      <c r="W12" s="4087">
        <f t="shared" si="2"/>
        <v>100</v>
      </c>
      <c r="X12" s="504"/>
      <c r="Y12" s="4961"/>
      <c r="Z12" s="28">
        <f t="shared" si="7"/>
        <v>111</v>
      </c>
      <c r="AA12" s="505">
        <f>D12/F12</f>
        <v>1</v>
      </c>
      <c r="AB12" s="505">
        <f>D12/H12</f>
        <v>1</v>
      </c>
      <c r="AC12" s="505">
        <f>D12/J12</f>
        <v>1</v>
      </c>
    </row>
    <row r="13" spans="1:29" ht="15.6"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5012"/>
      <c r="Q13" s="952">
        <f t="shared" si="6"/>
        <v>111</v>
      </c>
      <c r="R13" s="4084" t="s">
        <v>13</v>
      </c>
      <c r="S13" s="4087">
        <f t="shared" si="0"/>
        <v>100</v>
      </c>
      <c r="T13" s="4084" t="s">
        <v>13</v>
      </c>
      <c r="U13" s="4087">
        <f t="shared" si="1"/>
        <v>100</v>
      </c>
      <c r="V13" s="4084" t="s">
        <v>13</v>
      </c>
      <c r="W13" s="4087">
        <f t="shared" si="2"/>
        <v>100</v>
      </c>
      <c r="X13" s="504"/>
      <c r="Y13" s="4961"/>
      <c r="Z13" s="28">
        <f t="shared" si="7"/>
        <v>111</v>
      </c>
      <c r="AA13" s="505">
        <f t="shared" si="3"/>
        <v>1</v>
      </c>
      <c r="AB13" s="505">
        <f t="shared" si="4"/>
        <v>1</v>
      </c>
      <c r="AC13" s="505">
        <f t="shared" si="5"/>
        <v>1</v>
      </c>
    </row>
    <row r="14" spans="1:29" ht="96.6">
      <c r="A14" s="241" t="s">
        <v>1596</v>
      </c>
      <c r="B14" s="417" t="s">
        <v>1739</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964" t="s">
        <v>1597</v>
      </c>
      <c r="Q14" s="960" t="str">
        <f t="shared" si="6"/>
        <v>交通便捷度</v>
      </c>
      <c r="R14" s="4085" t="s">
        <v>13</v>
      </c>
      <c r="S14" s="4088">
        <f t="shared" si="0"/>
        <v>100</v>
      </c>
      <c r="T14" s="4085" t="s">
        <v>13</v>
      </c>
      <c r="U14" s="4088">
        <f t="shared" si="1"/>
        <v>100</v>
      </c>
      <c r="V14" s="4085" t="s">
        <v>13</v>
      </c>
      <c r="W14" s="4088">
        <f t="shared" si="2"/>
        <v>100</v>
      </c>
      <c r="X14" s="963"/>
      <c r="Y14" s="4964" t="s">
        <v>1597</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965"/>
      <c r="Q15" s="960"/>
      <c r="R15" s="4085"/>
      <c r="S15" s="4088"/>
      <c r="T15" s="4085"/>
      <c r="U15" s="4088"/>
      <c r="V15" s="4085"/>
      <c r="W15" s="4088"/>
      <c r="X15" s="963"/>
      <c r="Y15" s="4965"/>
      <c r="Z15" s="964"/>
      <c r="AA15" s="961">
        <v>1</v>
      </c>
      <c r="AB15" s="961">
        <v>1</v>
      </c>
      <c r="AC15" s="961">
        <v>1</v>
      </c>
    </row>
    <row r="16" spans="1:29" ht="41.4">
      <c r="A16" s="244"/>
      <c r="B16" s="419" t="s">
        <v>1718</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965"/>
      <c r="Q16" s="960" t="str">
        <f>B16</f>
        <v>公共配套设施</v>
      </c>
      <c r="R16" s="4085" t="s">
        <v>13</v>
      </c>
      <c r="S16" s="4088">
        <f>F16</f>
        <v>100</v>
      </c>
      <c r="T16" s="4085" t="s">
        <v>13</v>
      </c>
      <c r="U16" s="4088">
        <f>H16</f>
        <v>100</v>
      </c>
      <c r="V16" s="4085" t="s">
        <v>13</v>
      </c>
      <c r="W16" s="4088">
        <f>J16</f>
        <v>100</v>
      </c>
      <c r="X16" s="963"/>
      <c r="Y16" s="4965"/>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965"/>
      <c r="Q17" s="960"/>
      <c r="R17" s="4085"/>
      <c r="S17" s="4088"/>
      <c r="T17" s="4085"/>
      <c r="U17" s="4088"/>
      <c r="V17" s="4085"/>
      <c r="W17" s="4088"/>
      <c r="X17" s="963"/>
      <c r="Y17" s="4965"/>
      <c r="Z17" s="964"/>
      <c r="AA17" s="961">
        <v>1</v>
      </c>
      <c r="AB17" s="961">
        <v>1</v>
      </c>
      <c r="AC17" s="961">
        <v>1</v>
      </c>
    </row>
    <row r="18" spans="1:29" ht="41.4">
      <c r="A18" s="244"/>
      <c r="B18" s="421" t="s">
        <v>1719</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965"/>
      <c r="Q18" s="960" t="str">
        <f>B18</f>
        <v>基础设施水平</v>
      </c>
      <c r="R18" s="4085" t="s">
        <v>13</v>
      </c>
      <c r="S18" s="4088">
        <f>F18</f>
        <v>100</v>
      </c>
      <c r="T18" s="4085" t="s">
        <v>13</v>
      </c>
      <c r="U18" s="4088">
        <f>H18</f>
        <v>100</v>
      </c>
      <c r="V18" s="4085" t="s">
        <v>13</v>
      </c>
      <c r="W18" s="4088">
        <f>J18</f>
        <v>100</v>
      </c>
      <c r="X18" s="963"/>
      <c r="Y18" s="4965"/>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965"/>
      <c r="Q19" s="960"/>
      <c r="R19" s="4085"/>
      <c r="S19" s="4088"/>
      <c r="T19" s="4085"/>
      <c r="U19" s="4088"/>
      <c r="V19" s="4085"/>
      <c r="W19" s="4088"/>
      <c r="X19" s="963"/>
      <c r="Y19" s="4965"/>
      <c r="Z19" s="964"/>
      <c r="AA19" s="961">
        <v>1</v>
      </c>
      <c r="AB19" s="961">
        <v>1</v>
      </c>
      <c r="AC19" s="961">
        <v>1</v>
      </c>
    </row>
    <row r="20" spans="1:29" ht="55.2">
      <c r="A20" s="244"/>
      <c r="B20" s="419" t="s">
        <v>1740</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965"/>
      <c r="Q20" s="960" t="str">
        <f>B20</f>
        <v>自然及人文环境</v>
      </c>
      <c r="R20" s="4085" t="s">
        <v>13</v>
      </c>
      <c r="S20" s="4088">
        <f>F20</f>
        <v>100</v>
      </c>
      <c r="T20" s="4085" t="s">
        <v>13</v>
      </c>
      <c r="U20" s="4088">
        <f>H20</f>
        <v>100</v>
      </c>
      <c r="V20" s="4085" t="s">
        <v>13</v>
      </c>
      <c r="W20" s="4088">
        <f>J20</f>
        <v>100</v>
      </c>
      <c r="X20" s="963"/>
      <c r="Y20" s="4965"/>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965"/>
      <c r="Q21" s="960"/>
      <c r="R21" s="4085"/>
      <c r="S21" s="4088"/>
      <c r="T21" s="4085"/>
      <c r="U21" s="4088"/>
      <c r="V21" s="4085"/>
      <c r="W21" s="4088"/>
      <c r="X21" s="963"/>
      <c r="Y21" s="4965"/>
      <c r="Z21" s="964"/>
      <c r="AA21" s="961">
        <v>1</v>
      </c>
      <c r="AB21" s="961">
        <v>1</v>
      </c>
      <c r="AC21" s="961">
        <v>1</v>
      </c>
    </row>
    <row r="22" spans="1:29" ht="15">
      <c r="A22" s="244"/>
      <c r="B22" s="419" t="s">
        <v>1741</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965"/>
      <c r="Q22" s="960" t="str">
        <f>B22</f>
        <v>楼层</v>
      </c>
      <c r="R22" s="4085" t="s">
        <v>13</v>
      </c>
      <c r="S22" s="4088">
        <f>F22</f>
        <v>100</v>
      </c>
      <c r="T22" s="4085" t="s">
        <v>13</v>
      </c>
      <c r="U22" s="4088">
        <f>H22</f>
        <v>100</v>
      </c>
      <c r="V22" s="4085" t="s">
        <v>13</v>
      </c>
      <c r="W22" s="4088">
        <f>J22</f>
        <v>100</v>
      </c>
      <c r="X22" s="963"/>
      <c r="Y22" s="4965"/>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965"/>
      <c r="Q23" s="960">
        <f>B23</f>
        <v>111</v>
      </c>
      <c r="R23" s="4085" t="s">
        <v>13</v>
      </c>
      <c r="S23" s="4088">
        <f>F23</f>
        <v>100</v>
      </c>
      <c r="T23" s="4085" t="s">
        <v>13</v>
      </c>
      <c r="U23" s="4088">
        <f>H23</f>
        <v>100</v>
      </c>
      <c r="V23" s="4085" t="s">
        <v>13</v>
      </c>
      <c r="W23" s="4088">
        <f>J23</f>
        <v>100</v>
      </c>
      <c r="X23" s="963"/>
      <c r="Y23" s="4965"/>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965"/>
      <c r="Q24" s="960">
        <f t="shared" ref="Q24:Q36" si="11">B24</f>
        <v>111</v>
      </c>
      <c r="R24" s="4085" t="s">
        <v>13</v>
      </c>
      <c r="S24" s="4088">
        <f>F24</f>
        <v>100</v>
      </c>
      <c r="T24" s="4085" t="s">
        <v>13</v>
      </c>
      <c r="U24" s="4088">
        <f>H24</f>
        <v>100</v>
      </c>
      <c r="V24" s="4085" t="s">
        <v>13</v>
      </c>
      <c r="W24" s="4088">
        <f>J24</f>
        <v>100</v>
      </c>
      <c r="X24" s="963"/>
      <c r="Y24" s="4965"/>
      <c r="Z24" s="964">
        <f>Q24</f>
        <v>111</v>
      </c>
      <c r="AA24" s="961">
        <f t="shared" si="3"/>
        <v>1</v>
      </c>
      <c r="AB24" s="961">
        <f t="shared" si="4"/>
        <v>1</v>
      </c>
      <c r="AC24" s="961">
        <f t="shared" si="5"/>
        <v>1</v>
      </c>
    </row>
    <row r="25" spans="1:29" s="49" customFormat="1" ht="15.6"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965"/>
      <c r="Q25" s="952">
        <f t="shared" si="11"/>
        <v>111</v>
      </c>
      <c r="R25" s="4084" t="s">
        <v>13</v>
      </c>
      <c r="S25" s="4087">
        <f>F25</f>
        <v>100</v>
      </c>
      <c r="T25" s="4084" t="s">
        <v>13</v>
      </c>
      <c r="U25" s="4087">
        <f>H25</f>
        <v>100</v>
      </c>
      <c r="V25" s="4084" t="s">
        <v>13</v>
      </c>
      <c r="W25" s="4087">
        <f>J25</f>
        <v>100</v>
      </c>
      <c r="X25" s="504"/>
      <c r="Y25" s="4965"/>
      <c r="Z25" s="28">
        <f>Q25</f>
        <v>111</v>
      </c>
      <c r="AA25" s="961">
        <f>D25/F25</f>
        <v>1</v>
      </c>
      <c r="AB25" s="961">
        <f>D25/H25</f>
        <v>1</v>
      </c>
      <c r="AC25" s="961">
        <f>D25/J25</f>
        <v>1</v>
      </c>
    </row>
    <row r="26" spans="1:29" ht="30">
      <c r="A26" s="436" t="s">
        <v>1600</v>
      </c>
      <c r="B26" s="33" t="s">
        <v>1742</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5020" t="s">
        <v>1602</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969" t="s">
        <v>1602</v>
      </c>
      <c r="Z26" s="964" t="str">
        <f t="shared" ref="Z26:Z36" si="15">Q26</f>
        <v>配套类型</v>
      </c>
      <c r="AA26" s="961" t="e">
        <f t="shared" si="3"/>
        <v>#DIV/0!</v>
      </c>
      <c r="AB26" s="961" t="e">
        <f t="shared" si="4"/>
        <v>#DIV/0!</v>
      </c>
      <c r="AC26" s="961" t="e">
        <f t="shared" si="5"/>
        <v>#DIV/0!</v>
      </c>
    </row>
    <row r="27" spans="1:29" s="285" customFormat="1" ht="15">
      <c r="A27" s="437"/>
      <c r="B27" s="438" t="s">
        <v>1743</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969"/>
      <c r="Q27" s="506" t="str">
        <f t="shared" si="11"/>
        <v>项目停车位配比</v>
      </c>
      <c r="R27" s="4086" t="s">
        <v>13</v>
      </c>
      <c r="S27" s="4089">
        <f t="shared" si="12"/>
        <v>100</v>
      </c>
      <c r="T27" s="4086" t="s">
        <v>13</v>
      </c>
      <c r="U27" s="4089">
        <f t="shared" si="13"/>
        <v>100</v>
      </c>
      <c r="V27" s="4086" t="s">
        <v>13</v>
      </c>
      <c r="W27" s="4089">
        <f t="shared" si="14"/>
        <v>100</v>
      </c>
      <c r="X27" s="507"/>
      <c r="Y27" s="4969"/>
      <c r="Z27" s="508" t="str">
        <f t="shared" si="15"/>
        <v>项目停车位配比</v>
      </c>
      <c r="AA27" s="961">
        <f t="shared" si="3"/>
        <v>1</v>
      </c>
      <c r="AB27" s="961">
        <f t="shared" si="4"/>
        <v>1</v>
      </c>
      <c r="AC27" s="961">
        <f t="shared" si="5"/>
        <v>1</v>
      </c>
    </row>
    <row r="28" spans="1:29" ht="15">
      <c r="A28" s="440"/>
      <c r="B28" s="438" t="s">
        <v>1744</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969"/>
      <c r="Q28" s="960" t="str">
        <f t="shared" si="11"/>
        <v>公共部分装修</v>
      </c>
      <c r="R28" s="4085" t="s">
        <v>13</v>
      </c>
      <c r="S28" s="4088">
        <f t="shared" si="12"/>
        <v>100</v>
      </c>
      <c r="T28" s="4085" t="s">
        <v>13</v>
      </c>
      <c r="U28" s="4088">
        <f t="shared" si="13"/>
        <v>100</v>
      </c>
      <c r="V28" s="4085" t="s">
        <v>13</v>
      </c>
      <c r="W28" s="4088">
        <f t="shared" si="14"/>
        <v>100</v>
      </c>
      <c r="X28" s="963"/>
      <c r="Y28" s="4969"/>
      <c r="Z28" s="964" t="str">
        <f t="shared" si="15"/>
        <v>公共部分装修</v>
      </c>
      <c r="AA28" s="961">
        <f t="shared" si="3"/>
        <v>1</v>
      </c>
      <c r="AB28" s="961">
        <f t="shared" si="4"/>
        <v>1</v>
      </c>
      <c r="AC28" s="961">
        <f t="shared" si="5"/>
        <v>1</v>
      </c>
    </row>
    <row r="29" spans="1:29" ht="15">
      <c r="A29" s="440"/>
      <c r="B29" s="438" t="s">
        <v>1745</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969"/>
      <c r="Q29" s="960" t="str">
        <f t="shared" si="11"/>
        <v>成新率</v>
      </c>
      <c r="R29" s="4085" t="s">
        <v>13</v>
      </c>
      <c r="S29" s="4088" t="e">
        <f t="shared" si="12"/>
        <v>#N/A</v>
      </c>
      <c r="T29" s="4085" t="s">
        <v>13</v>
      </c>
      <c r="U29" s="4088" t="e">
        <f t="shared" si="13"/>
        <v>#N/A</v>
      </c>
      <c r="V29" s="4085" t="s">
        <v>13</v>
      </c>
      <c r="W29" s="4088" t="e">
        <f t="shared" si="14"/>
        <v>#N/A</v>
      </c>
      <c r="X29" s="963"/>
      <c r="Y29" s="4969"/>
      <c r="Z29" s="964" t="str">
        <f t="shared" si="15"/>
        <v>成新率</v>
      </c>
      <c r="AA29" s="961" t="e">
        <f t="shared" si="3"/>
        <v>#N/A</v>
      </c>
      <c r="AB29" s="961" t="e">
        <f t="shared" si="4"/>
        <v>#N/A</v>
      </c>
      <c r="AC29" s="961" t="e">
        <f t="shared" si="5"/>
        <v>#N/A</v>
      </c>
    </row>
    <row r="30" spans="1:29" ht="15">
      <c r="A30" s="440"/>
      <c r="B30" s="438" t="s">
        <v>1746</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969"/>
      <c r="Q30" s="960" t="str">
        <f t="shared" si="11"/>
        <v>物业等级</v>
      </c>
      <c r="R30" s="4085" t="s">
        <v>13</v>
      </c>
      <c r="S30" s="4088">
        <f t="shared" si="12"/>
        <v>100</v>
      </c>
      <c r="T30" s="4085" t="s">
        <v>13</v>
      </c>
      <c r="U30" s="4088">
        <f t="shared" si="13"/>
        <v>100</v>
      </c>
      <c r="V30" s="4085" t="s">
        <v>13</v>
      </c>
      <c r="W30" s="4088">
        <f t="shared" si="14"/>
        <v>100</v>
      </c>
      <c r="X30" s="963"/>
      <c r="Y30" s="4969"/>
      <c r="Z30" s="964" t="str">
        <f t="shared" si="15"/>
        <v>物业等级</v>
      </c>
      <c r="AA30" s="961">
        <f t="shared" si="3"/>
        <v>1</v>
      </c>
      <c r="AB30" s="961">
        <f t="shared" si="4"/>
        <v>1</v>
      </c>
      <c r="AC30" s="961">
        <f t="shared" si="5"/>
        <v>1</v>
      </c>
    </row>
    <row r="31" spans="1:29" s="49" customFormat="1" ht="15">
      <c r="A31" s="442"/>
      <c r="B31" s="438" t="s">
        <v>1747</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969"/>
      <c r="Q31" s="952" t="str">
        <f t="shared" si="11"/>
        <v>停车位面积</v>
      </c>
      <c r="R31" s="4084" t="s">
        <v>13</v>
      </c>
      <c r="S31" s="4087" t="e">
        <f t="shared" si="12"/>
        <v>#N/A</v>
      </c>
      <c r="T31" s="4084" t="s">
        <v>13</v>
      </c>
      <c r="U31" s="4087" t="e">
        <f t="shared" si="13"/>
        <v>#N/A</v>
      </c>
      <c r="V31" s="4084" t="s">
        <v>13</v>
      </c>
      <c r="W31" s="4087" t="e">
        <f t="shared" si="14"/>
        <v>#N/A</v>
      </c>
      <c r="X31" s="504"/>
      <c r="Y31" s="4969"/>
      <c r="Z31" s="28" t="str">
        <f t="shared" si="15"/>
        <v>停车位面积</v>
      </c>
      <c r="AA31" s="505" t="e">
        <f t="shared" si="3"/>
        <v>#N/A</v>
      </c>
      <c r="AB31" s="505" t="e">
        <f t="shared" si="4"/>
        <v>#N/A</v>
      </c>
      <c r="AC31" s="505" t="e">
        <f t="shared" si="5"/>
        <v>#N/A</v>
      </c>
    </row>
    <row r="32" spans="1:29" ht="15">
      <c r="A32" s="440"/>
      <c r="B32" s="438" t="s">
        <v>1748</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969" t="s">
        <v>1602</v>
      </c>
      <c r="Q32" s="960" t="str">
        <f t="shared" si="11"/>
        <v>车位类型</v>
      </c>
      <c r="R32" s="4085" t="s">
        <v>13</v>
      </c>
      <c r="S32" s="4088">
        <f t="shared" si="12"/>
        <v>100</v>
      </c>
      <c r="T32" s="4085" t="s">
        <v>13</v>
      </c>
      <c r="U32" s="4088">
        <f t="shared" si="13"/>
        <v>100</v>
      </c>
      <c r="V32" s="4085" t="s">
        <v>13</v>
      </c>
      <c r="W32" s="4088">
        <f t="shared" si="14"/>
        <v>100</v>
      </c>
      <c r="X32" s="963"/>
      <c r="Y32" s="4969" t="s">
        <v>1602</v>
      </c>
      <c r="Z32" s="964" t="str">
        <f t="shared" si="15"/>
        <v>车位类型</v>
      </c>
      <c r="AA32" s="961">
        <f t="shared" si="3"/>
        <v>1</v>
      </c>
      <c r="AB32" s="961">
        <f t="shared" si="4"/>
        <v>1</v>
      </c>
      <c r="AC32" s="961">
        <f t="shared" si="5"/>
        <v>1</v>
      </c>
    </row>
    <row r="33" spans="1:29" ht="15">
      <c r="A33" s="440"/>
      <c r="B33" s="438" t="s">
        <v>1749</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969"/>
      <c r="Q33" s="960" t="str">
        <f t="shared" si="11"/>
        <v>是否直接入户</v>
      </c>
      <c r="R33" s="4085" t="s">
        <v>13</v>
      </c>
      <c r="S33" s="4088">
        <f t="shared" si="12"/>
        <v>100</v>
      </c>
      <c r="T33" s="4085" t="s">
        <v>13</v>
      </c>
      <c r="U33" s="4088">
        <f t="shared" si="13"/>
        <v>100</v>
      </c>
      <c r="V33" s="4085" t="s">
        <v>13</v>
      </c>
      <c r="W33" s="4088">
        <f t="shared" si="14"/>
        <v>100</v>
      </c>
      <c r="X33" s="963"/>
      <c r="Y33" s="4969"/>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969"/>
      <c r="Q34" s="960">
        <f t="shared" si="11"/>
        <v>111</v>
      </c>
      <c r="R34" s="4085" t="s">
        <v>13</v>
      </c>
      <c r="S34" s="4088">
        <f t="shared" si="12"/>
        <v>100</v>
      </c>
      <c r="T34" s="4085" t="s">
        <v>13</v>
      </c>
      <c r="U34" s="4088">
        <f t="shared" si="13"/>
        <v>100</v>
      </c>
      <c r="V34" s="4085" t="s">
        <v>13</v>
      </c>
      <c r="W34" s="4088">
        <f t="shared" si="14"/>
        <v>100</v>
      </c>
      <c r="X34" s="963"/>
      <c r="Y34" s="4969"/>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969"/>
      <c r="Q35" s="506">
        <f t="shared" si="11"/>
        <v>111</v>
      </c>
      <c r="R35" s="4086" t="s">
        <v>13</v>
      </c>
      <c r="S35" s="4089">
        <f t="shared" si="12"/>
        <v>100</v>
      </c>
      <c r="T35" s="4086" t="s">
        <v>13</v>
      </c>
      <c r="U35" s="4089">
        <f t="shared" si="13"/>
        <v>100</v>
      </c>
      <c r="V35" s="4086" t="s">
        <v>13</v>
      </c>
      <c r="W35" s="4089">
        <f t="shared" si="14"/>
        <v>100</v>
      </c>
      <c r="X35" s="507"/>
      <c r="Y35" s="4969"/>
      <c r="Z35" s="508">
        <f t="shared" si="15"/>
        <v>111</v>
      </c>
      <c r="AA35" s="961">
        <f t="shared" si="3"/>
        <v>1</v>
      </c>
      <c r="AB35" s="961">
        <f t="shared" si="4"/>
        <v>1</v>
      </c>
      <c r="AC35" s="961">
        <f t="shared" si="5"/>
        <v>1</v>
      </c>
    </row>
    <row r="36" spans="1:29" ht="15.6"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969"/>
      <c r="Q36" s="960">
        <f t="shared" si="11"/>
        <v>111</v>
      </c>
      <c r="R36" s="4085" t="s">
        <v>13</v>
      </c>
      <c r="S36" s="4088">
        <f t="shared" si="12"/>
        <v>100</v>
      </c>
      <c r="T36" s="4085" t="s">
        <v>13</v>
      </c>
      <c r="U36" s="4088">
        <f t="shared" si="13"/>
        <v>100</v>
      </c>
      <c r="V36" s="4085" t="s">
        <v>13</v>
      </c>
      <c r="W36" s="4088">
        <f t="shared" si="14"/>
        <v>100</v>
      </c>
      <c r="X36" s="963"/>
      <c r="Y36" s="4969"/>
      <c r="Z36" s="964">
        <f t="shared" si="15"/>
        <v>111</v>
      </c>
      <c r="AA36" s="961">
        <f t="shared" si="3"/>
        <v>1</v>
      </c>
      <c r="AB36" s="961">
        <f t="shared" si="4"/>
        <v>1</v>
      </c>
      <c r="AC36" s="961">
        <f t="shared" si="5"/>
        <v>1</v>
      </c>
    </row>
    <row r="37" spans="1:29" ht="14.4">
      <c r="A37" s="292" t="s">
        <v>1750</v>
      </c>
      <c r="B37" s="1532" t="s">
        <v>3239</v>
      </c>
      <c r="C37" s="808" t="s">
        <v>0</v>
      </c>
      <c r="D37" s="809"/>
      <c r="E37" s="3458"/>
      <c r="F37" s="3460"/>
      <c r="G37" s="3459"/>
      <c r="H37" s="3461"/>
      <c r="I37" s="3458"/>
      <c r="J37" s="3461"/>
      <c r="K37" s="3462"/>
      <c r="L37" s="2155"/>
      <c r="M37" s="2156"/>
      <c r="N37" s="2147"/>
      <c r="O37" s="2156"/>
      <c r="P37" s="5012" t="str">
        <f>A37</f>
        <v>成交单价</v>
      </c>
      <c r="Q37" s="5012"/>
      <c r="R37" s="4976">
        <f>E37</f>
        <v>0</v>
      </c>
      <c r="S37" s="4976"/>
      <c r="T37" s="4976">
        <f>G37</f>
        <v>0</v>
      </c>
      <c r="U37" s="4976"/>
      <c r="V37" s="4976">
        <f>I37</f>
        <v>0</v>
      </c>
      <c r="W37" s="4976"/>
      <c r="X37" s="493"/>
      <c r="Y37" s="509"/>
      <c r="Z37" s="493"/>
      <c r="AA37" s="493"/>
      <c r="AB37" s="493"/>
      <c r="AC37" s="493"/>
    </row>
    <row r="38" spans="1:29" ht="15" thickBot="1">
      <c r="A38" s="295" t="s">
        <v>1751</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5012" t="str">
        <f>A38</f>
        <v>比较价值（元/平方米）</v>
      </c>
      <c r="Q38" s="5012"/>
      <c r="R38" s="4976" t="e">
        <f>IF(F1="售价",ROUND(PRODUCT(R37,AA7:AA36),0),ROUND(PRODUCT(R37,AA7:AA36),1))</f>
        <v>#DIV/0!</v>
      </c>
      <c r="S38" s="4976"/>
      <c r="T38" s="4976" t="e">
        <f>IF(F1="售价",ROUND(PRODUCT(T37,AB7:AB36),0),ROUND(PRODUCT(T37,AB7:AB36),1))</f>
        <v>#DIV/0!</v>
      </c>
      <c r="U38" s="4976"/>
      <c r="V38" s="4976" t="e">
        <f>IF(F1="售价",ROUND(PRODUCT(V37,AC7:AC36),0),ROUND(PRODUCT(V37,AC7:AC36),1))</f>
        <v>#DIV/0!</v>
      </c>
      <c r="W38" s="4976"/>
      <c r="X38" s="493"/>
      <c r="Y38" s="493"/>
      <c r="Z38" s="493"/>
      <c r="AA38" s="493"/>
      <c r="AB38" s="493"/>
      <c r="AC38" s="493"/>
    </row>
    <row r="39" spans="1:29" ht="15" thickBot="1">
      <c r="A39" s="297" t="s">
        <v>1752</v>
      </c>
      <c r="B39" s="298"/>
      <c r="C39" s="4054" t="e">
        <f>R39</f>
        <v>#DIV/0!</v>
      </c>
      <c r="D39" s="812"/>
      <c r="E39" s="812"/>
      <c r="F39" s="812"/>
      <c r="G39" s="812"/>
      <c r="H39" s="812"/>
      <c r="I39" s="812"/>
      <c r="J39" s="812"/>
      <c r="K39" s="413"/>
      <c r="L39" s="2155"/>
      <c r="M39" s="2156"/>
      <c r="N39" s="2156"/>
      <c r="O39" s="2156"/>
      <c r="P39" s="5021" t="str">
        <f>A39</f>
        <v>估价对象XX用房的比较价值（楼面单价，元/平方米）</v>
      </c>
      <c r="Q39" s="5022"/>
      <c r="R39" s="5023" t="e">
        <f>IF(F1="售价",ROUND(IF(D38="简单平均",AVERAGE(R38:W38),R38*F38+T38*H38+V38*J38),0),ROUND(IF(D38="简单平均",AVERAGE(R38:V38),R38*F38+T38*H38+V38*J38),1))</f>
        <v>#DIV/0!</v>
      </c>
      <c r="S39" s="5023"/>
      <c r="T39" s="5023"/>
      <c r="U39" s="5023"/>
      <c r="V39" s="5023"/>
      <c r="W39" s="5023"/>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1753</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1754</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1755</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1756</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1757</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1622</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1587</v>
      </c>
      <c r="B51" s="313"/>
      <c r="C51" s="325" t="s">
        <v>1682</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1625</v>
      </c>
      <c r="B53" s="330" t="s">
        <v>1591</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1594</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1596</v>
      </c>
      <c r="B63" s="330" t="s">
        <v>1632</v>
      </c>
      <c r="C63" s="373" t="s">
        <v>1627</v>
      </c>
      <c r="D63" s="373" t="s">
        <v>1628</v>
      </c>
      <c r="E63" s="373" t="s">
        <v>1629</v>
      </c>
      <c r="F63" s="373" t="s">
        <v>1630</v>
      </c>
      <c r="G63" s="373" t="s">
        <v>1631</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1633</v>
      </c>
      <c r="C65" s="377" t="s">
        <v>1627</v>
      </c>
      <c r="D65" s="377" t="s">
        <v>1628</v>
      </c>
      <c r="E65" s="377" t="s">
        <v>1629</v>
      </c>
      <c r="F65" s="377" t="s">
        <v>1630</v>
      </c>
      <c r="G65" s="377" t="s">
        <v>1631</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1719</v>
      </c>
      <c r="C67" s="444" t="s">
        <v>1705</v>
      </c>
      <c r="D67" s="444" t="s">
        <v>1706</v>
      </c>
      <c r="E67" s="444" t="s">
        <v>1707</v>
      </c>
      <c r="F67" s="444" t="s">
        <v>1708</v>
      </c>
      <c r="G67" s="444" t="s">
        <v>1709</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1639</v>
      </c>
      <c r="C69" s="377" t="s">
        <v>1627</v>
      </c>
      <c r="D69" s="377" t="s">
        <v>1628</v>
      </c>
      <c r="E69" s="377" t="s">
        <v>1629</v>
      </c>
      <c r="F69" s="377" t="s">
        <v>1630</v>
      </c>
      <c r="G69" s="377" t="s">
        <v>1631</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1758</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1600</v>
      </c>
      <c r="B79" s="330" t="s">
        <v>1759</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1760</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1646</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1761</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1762</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1763</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1764</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1765</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F2" sqref="F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1737</v>
      </c>
      <c r="B1" s="861" t="s">
        <v>3220</v>
      </c>
      <c r="C1" s="862" t="s">
        <v>1568</v>
      </c>
      <c r="D1" s="863"/>
      <c r="E1" s="2704"/>
      <c r="F1" s="1453"/>
      <c r="G1" s="873" t="s">
        <v>1673</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1430</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1431</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3122" t="e">
        <f>IF(E2="——",C37,ROUND(B2*10000/D3,0))</f>
        <v>#DIV/0!</v>
      </c>
      <c r="C3" s="240" t="s">
        <v>1674</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1675</v>
      </c>
      <c r="B4" s="242"/>
      <c r="C4" s="4992" t="s">
        <v>1676</v>
      </c>
      <c r="D4" s="4993"/>
      <c r="E4" s="4994" t="s">
        <v>1677</v>
      </c>
      <c r="F4" s="4995"/>
      <c r="G4" s="4992" t="s">
        <v>1678</v>
      </c>
      <c r="H4" s="4993"/>
      <c r="I4" s="4992" t="s">
        <v>1679</v>
      </c>
      <c r="J4" s="4993"/>
      <c r="K4" s="406" t="s">
        <v>1680</v>
      </c>
      <c r="L4" s="2146"/>
      <c r="M4" s="2147"/>
      <c r="N4" s="2147"/>
      <c r="O4" s="2147"/>
      <c r="P4" s="5013" t="s">
        <v>1681</v>
      </c>
      <c r="Q4" s="5014"/>
      <c r="R4" s="4947" t="s">
        <v>1677</v>
      </c>
      <c r="S4" s="4948"/>
      <c r="T4" s="4947" t="s">
        <v>1678</v>
      </c>
      <c r="U4" s="4948"/>
      <c r="V4" s="4976" t="s">
        <v>1679</v>
      </c>
      <c r="W4" s="4976"/>
      <c r="X4" s="963"/>
      <c r="Y4" s="4947" t="s">
        <v>1681</v>
      </c>
      <c r="Z4" s="4948"/>
      <c r="AA4" s="4920" t="s">
        <v>1677</v>
      </c>
      <c r="AB4" s="4921" t="s">
        <v>1678</v>
      </c>
      <c r="AC4" s="4920" t="s">
        <v>1679</v>
      </c>
    </row>
    <row r="5" spans="1:29">
      <c r="A5" s="244"/>
      <c r="B5" s="245"/>
      <c r="C5" s="4983" t="s">
        <v>1579</v>
      </c>
      <c r="D5" s="4984"/>
      <c r="E5" s="4981" t="s">
        <v>1580</v>
      </c>
      <c r="F5" s="4982"/>
      <c r="G5" s="4983" t="s">
        <v>1581</v>
      </c>
      <c r="H5" s="4984"/>
      <c r="I5" s="4983" t="s">
        <v>1582</v>
      </c>
      <c r="J5" s="4984"/>
      <c r="K5" s="406"/>
      <c r="L5" s="2146"/>
      <c r="M5" s="2147"/>
      <c r="N5" s="2147"/>
      <c r="O5" s="2147"/>
      <c r="P5" s="5015"/>
      <c r="Q5" s="5016"/>
      <c r="R5" s="4949"/>
      <c r="S5" s="4950"/>
      <c r="T5" s="4949"/>
      <c r="U5" s="4950"/>
      <c r="V5" s="4976"/>
      <c r="W5" s="4976"/>
      <c r="X5" s="963"/>
      <c r="Y5" s="4949"/>
      <c r="Z5" s="4950"/>
      <c r="AA5" s="4921"/>
      <c r="AB5" s="4921"/>
      <c r="AC5" s="4921"/>
    </row>
    <row r="6" spans="1:29" ht="15" thickBot="1">
      <c r="A6" s="246"/>
      <c r="B6" s="247"/>
      <c r="C6" s="4985" t="s">
        <v>1583</v>
      </c>
      <c r="D6" s="4986"/>
      <c r="E6" s="4987" t="s">
        <v>1583</v>
      </c>
      <c r="F6" s="4988"/>
      <c r="G6" s="4985" t="s">
        <v>1583</v>
      </c>
      <c r="H6" s="4986"/>
      <c r="I6" s="4985" t="s">
        <v>1583</v>
      </c>
      <c r="J6" s="4986"/>
      <c r="K6" s="406" t="s">
        <v>1584</v>
      </c>
      <c r="L6" s="2146"/>
      <c r="M6" s="2147"/>
      <c r="N6" s="2147"/>
      <c r="O6" s="2147"/>
      <c r="P6" s="5017"/>
      <c r="Q6" s="5018"/>
      <c r="R6" s="4949"/>
      <c r="S6" s="4950"/>
      <c r="T6" s="4951"/>
      <c r="U6" s="4952"/>
      <c r="V6" s="4976"/>
      <c r="W6" s="4976"/>
      <c r="X6" s="963"/>
      <c r="Y6" s="4951"/>
      <c r="Z6" s="4952"/>
      <c r="AA6" s="4922"/>
      <c r="AB6" s="4922"/>
      <c r="AC6" s="4922"/>
    </row>
    <row r="7" spans="1:29" s="49" customFormat="1" ht="15" thickBot="1">
      <c r="A7" s="248" t="s">
        <v>1585</v>
      </c>
      <c r="B7" s="249"/>
      <c r="C7" s="250">
        <f>'数据-取费表'!B2</f>
        <v>46063</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942" t="s">
        <v>1586</v>
      </c>
      <c r="Q7" s="5019"/>
      <c r="R7" s="4084" t="s">
        <v>13</v>
      </c>
      <c r="S7" s="4087">
        <f t="shared" ref="S7:S14" si="0">F7</f>
        <v>0</v>
      </c>
      <c r="T7" s="4084" t="s">
        <v>13</v>
      </c>
      <c r="U7" s="4087">
        <f t="shared" ref="U7:U14" si="1">H7</f>
        <v>0</v>
      </c>
      <c r="V7" s="4084" t="s">
        <v>13</v>
      </c>
      <c r="W7" s="4087">
        <f t="shared" ref="W7:W14" si="2">J7</f>
        <v>0</v>
      </c>
      <c r="X7" s="504"/>
      <c r="Y7" s="4942" t="s">
        <v>1586</v>
      </c>
      <c r="Z7" s="4943"/>
      <c r="AA7" s="505" t="e">
        <f>D7/F7</f>
        <v>#DIV/0!</v>
      </c>
      <c r="AB7" s="505" t="e">
        <f>D7/H7</f>
        <v>#DIV/0!</v>
      </c>
      <c r="AC7" s="505" t="e">
        <f>D7/J7</f>
        <v>#DIV/0!</v>
      </c>
    </row>
    <row r="8" spans="1:29" s="49" customFormat="1" ht="15" thickBot="1">
      <c r="A8" s="248" t="s">
        <v>1587</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942" t="s">
        <v>1589</v>
      </c>
      <c r="Q8" s="4943"/>
      <c r="R8" s="4084" t="s">
        <v>13</v>
      </c>
      <c r="S8" s="4087">
        <f t="shared" si="0"/>
        <v>100</v>
      </c>
      <c r="T8" s="4084" t="s">
        <v>13</v>
      </c>
      <c r="U8" s="4087">
        <f t="shared" si="1"/>
        <v>100</v>
      </c>
      <c r="V8" s="4084" t="s">
        <v>13</v>
      </c>
      <c r="W8" s="4087">
        <f t="shared" si="2"/>
        <v>100</v>
      </c>
      <c r="X8" s="504"/>
      <c r="Y8" s="4942" t="s">
        <v>1589</v>
      </c>
      <c r="Z8" s="4943"/>
      <c r="AA8" s="505">
        <f t="shared" ref="AA8:AA34" si="3">D8/F8</f>
        <v>1</v>
      </c>
      <c r="AB8" s="505">
        <f t="shared" ref="AB8:AB34" si="4">D8/H8</f>
        <v>1</v>
      </c>
      <c r="AC8" s="505">
        <f t="shared" ref="AC8:AC34" si="5">D8/J8</f>
        <v>1</v>
      </c>
    </row>
    <row r="9" spans="1:29" s="49" customFormat="1" ht="14.4">
      <c r="A9" s="253" t="s">
        <v>1590</v>
      </c>
      <c r="B9" s="34" t="s">
        <v>1591</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5012" t="s">
        <v>1592</v>
      </c>
      <c r="Q9" s="952" t="str">
        <f t="shared" ref="Q9:Q14" si="6">B9</f>
        <v>用途</v>
      </c>
      <c r="R9" s="4084" t="s">
        <v>13</v>
      </c>
      <c r="S9" s="4087">
        <f t="shared" si="0"/>
        <v>100</v>
      </c>
      <c r="T9" s="4084" t="s">
        <v>13</v>
      </c>
      <c r="U9" s="4087">
        <f t="shared" si="1"/>
        <v>100</v>
      </c>
      <c r="V9" s="4084" t="s">
        <v>13</v>
      </c>
      <c r="W9" s="4087">
        <f t="shared" si="2"/>
        <v>100</v>
      </c>
      <c r="X9" s="504"/>
      <c r="Y9" s="4961" t="s">
        <v>1593</v>
      </c>
      <c r="Z9" s="28" t="str">
        <f t="shared" ref="Z9:Z14" si="7">Q9</f>
        <v>用途</v>
      </c>
      <c r="AA9" s="505">
        <f t="shared" si="3"/>
        <v>1</v>
      </c>
      <c r="AB9" s="505">
        <f t="shared" si="4"/>
        <v>1</v>
      </c>
      <c r="AC9" s="505">
        <f t="shared" si="5"/>
        <v>1</v>
      </c>
    </row>
    <row r="10" spans="1:29" s="259" customFormat="1" ht="28.8">
      <c r="A10" s="257"/>
      <c r="B10" s="258" t="s">
        <v>1594</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5012"/>
      <c r="Q10" s="952" t="str">
        <f t="shared" si="6"/>
        <v>土地使用年限（年）</v>
      </c>
      <c r="R10" s="4084" t="s">
        <v>13</v>
      </c>
      <c r="S10" s="4087">
        <f t="shared" si="0"/>
        <v>100</v>
      </c>
      <c r="T10" s="4084" t="s">
        <v>13</v>
      </c>
      <c r="U10" s="4087">
        <f t="shared" si="1"/>
        <v>100</v>
      </c>
      <c r="V10" s="4084" t="s">
        <v>13</v>
      </c>
      <c r="W10" s="4087">
        <f t="shared" si="2"/>
        <v>100</v>
      </c>
      <c r="X10" s="504"/>
      <c r="Y10" s="4961"/>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5012"/>
      <c r="Q11" s="952">
        <f t="shared" si="6"/>
        <v>111</v>
      </c>
      <c r="R11" s="4084" t="s">
        <v>13</v>
      </c>
      <c r="S11" s="4087">
        <f t="shared" si="0"/>
        <v>100</v>
      </c>
      <c r="T11" s="4084" t="s">
        <v>13</v>
      </c>
      <c r="U11" s="4087">
        <f t="shared" si="1"/>
        <v>100</v>
      </c>
      <c r="V11" s="4084" t="s">
        <v>13</v>
      </c>
      <c r="W11" s="4087">
        <f t="shared" si="2"/>
        <v>100</v>
      </c>
      <c r="X11" s="504"/>
      <c r="Y11" s="4961"/>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5012"/>
      <c r="Q12" s="952">
        <f t="shared" si="6"/>
        <v>111</v>
      </c>
      <c r="R12" s="4084" t="s">
        <v>13</v>
      </c>
      <c r="S12" s="4087">
        <f t="shared" si="0"/>
        <v>100</v>
      </c>
      <c r="T12" s="4084" t="s">
        <v>13</v>
      </c>
      <c r="U12" s="4087">
        <f t="shared" si="1"/>
        <v>100</v>
      </c>
      <c r="V12" s="4084" t="s">
        <v>13</v>
      </c>
      <c r="W12" s="4087">
        <f t="shared" si="2"/>
        <v>100</v>
      </c>
      <c r="X12" s="504"/>
      <c r="Y12" s="4961"/>
      <c r="Z12" s="28">
        <f t="shared" si="7"/>
        <v>111</v>
      </c>
      <c r="AA12" s="505">
        <f>D12/F12</f>
        <v>1</v>
      </c>
      <c r="AB12" s="505">
        <f>D12/H12</f>
        <v>1</v>
      </c>
      <c r="AC12" s="505">
        <f>D12/J12</f>
        <v>1</v>
      </c>
    </row>
    <row r="13" spans="1:29" ht="15.6"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5012"/>
      <c r="Q13" s="952">
        <f t="shared" si="6"/>
        <v>111</v>
      </c>
      <c r="R13" s="4084" t="s">
        <v>13</v>
      </c>
      <c r="S13" s="4087">
        <f t="shared" si="0"/>
        <v>100</v>
      </c>
      <c r="T13" s="4084" t="s">
        <v>13</v>
      </c>
      <c r="U13" s="4087">
        <f t="shared" si="1"/>
        <v>100</v>
      </c>
      <c r="V13" s="4084" t="s">
        <v>13</v>
      </c>
      <c r="W13" s="4087">
        <f t="shared" si="2"/>
        <v>100</v>
      </c>
      <c r="X13" s="504"/>
      <c r="Y13" s="4961"/>
      <c r="Z13" s="28">
        <f t="shared" si="7"/>
        <v>111</v>
      </c>
      <c r="AA13" s="505">
        <f t="shared" si="3"/>
        <v>1</v>
      </c>
      <c r="AB13" s="505">
        <f t="shared" si="4"/>
        <v>1</v>
      </c>
      <c r="AC13" s="505">
        <f t="shared" si="5"/>
        <v>1</v>
      </c>
    </row>
    <row r="14" spans="1:29" ht="96.6">
      <c r="A14" s="268" t="s">
        <v>1596</v>
      </c>
      <c r="B14" s="32" t="s">
        <v>1739</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964" t="s">
        <v>1597</v>
      </c>
      <c r="Q14" s="960" t="str">
        <f t="shared" si="6"/>
        <v>交通便捷度</v>
      </c>
      <c r="R14" s="4085" t="s">
        <v>13</v>
      </c>
      <c r="S14" s="4088">
        <f t="shared" si="0"/>
        <v>100</v>
      </c>
      <c r="T14" s="4085" t="s">
        <v>13</v>
      </c>
      <c r="U14" s="4088">
        <f t="shared" si="1"/>
        <v>100</v>
      </c>
      <c r="V14" s="4085" t="s">
        <v>13</v>
      </c>
      <c r="W14" s="4088">
        <f t="shared" si="2"/>
        <v>100</v>
      </c>
      <c r="X14" s="963"/>
      <c r="Y14" s="4964" t="s">
        <v>1597</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965"/>
      <c r="Q15" s="960"/>
      <c r="R15" s="4085"/>
      <c r="S15" s="4088"/>
      <c r="T15" s="4085"/>
      <c r="U15" s="4088"/>
      <c r="V15" s="4085"/>
      <c r="W15" s="4088"/>
      <c r="X15" s="963"/>
      <c r="Y15" s="4965"/>
      <c r="Z15" s="964"/>
      <c r="AA15" s="961">
        <v>1</v>
      </c>
      <c r="AB15" s="961">
        <v>1</v>
      </c>
      <c r="AC15" s="961">
        <v>1</v>
      </c>
    </row>
    <row r="16" spans="1:29" ht="41.4">
      <c r="A16" s="260"/>
      <c r="B16" s="275" t="s">
        <v>1718</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965"/>
      <c r="Q16" s="960" t="str">
        <f>B16</f>
        <v>公共配套设施</v>
      </c>
      <c r="R16" s="4085" t="s">
        <v>13</v>
      </c>
      <c r="S16" s="4088">
        <f>F16</f>
        <v>100</v>
      </c>
      <c r="T16" s="4085" t="s">
        <v>13</v>
      </c>
      <c r="U16" s="4088">
        <f>H16</f>
        <v>100</v>
      </c>
      <c r="V16" s="4085" t="s">
        <v>13</v>
      </c>
      <c r="W16" s="4088">
        <f>J16</f>
        <v>100</v>
      </c>
      <c r="X16" s="963"/>
      <c r="Y16" s="4965"/>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965"/>
      <c r="Q17" s="960"/>
      <c r="R17" s="4085"/>
      <c r="S17" s="4088"/>
      <c r="T17" s="4085"/>
      <c r="U17" s="4088"/>
      <c r="V17" s="4085"/>
      <c r="W17" s="4088"/>
      <c r="X17" s="963"/>
      <c r="Y17" s="4965"/>
      <c r="Z17" s="964"/>
      <c r="AA17" s="961">
        <v>1</v>
      </c>
      <c r="AB17" s="961">
        <v>1</v>
      </c>
      <c r="AC17" s="961">
        <v>1</v>
      </c>
    </row>
    <row r="18" spans="1:29" ht="41.4">
      <c r="A18" s="260"/>
      <c r="B18" s="800" t="s">
        <v>1719</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965"/>
      <c r="Q18" s="960" t="str">
        <f>B18</f>
        <v>基础设施水平</v>
      </c>
      <c r="R18" s="4085" t="s">
        <v>13</v>
      </c>
      <c r="S18" s="4088">
        <f>F18</f>
        <v>100</v>
      </c>
      <c r="T18" s="4085" t="s">
        <v>13</v>
      </c>
      <c r="U18" s="4088">
        <f>H18</f>
        <v>100</v>
      </c>
      <c r="V18" s="4085" t="s">
        <v>13</v>
      </c>
      <c r="W18" s="4088">
        <f>J18</f>
        <v>100</v>
      </c>
      <c r="X18" s="963"/>
      <c r="Y18" s="4965"/>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965"/>
      <c r="Q19" s="960"/>
      <c r="R19" s="4085"/>
      <c r="S19" s="4088"/>
      <c r="T19" s="4085"/>
      <c r="U19" s="4088"/>
      <c r="V19" s="4085"/>
      <c r="W19" s="4088"/>
      <c r="X19" s="963"/>
      <c r="Y19" s="4965"/>
      <c r="Z19" s="964"/>
      <c r="AA19" s="961">
        <v>1</v>
      </c>
      <c r="AB19" s="961">
        <v>1</v>
      </c>
      <c r="AC19" s="961">
        <v>1</v>
      </c>
    </row>
    <row r="20" spans="1:29" ht="55.2">
      <c r="A20" s="260"/>
      <c r="B20" s="275" t="s">
        <v>1740</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965"/>
      <c r="Q20" s="960" t="str">
        <f>B20</f>
        <v>自然及人文环境</v>
      </c>
      <c r="R20" s="4085" t="s">
        <v>13</v>
      </c>
      <c r="S20" s="4088">
        <f>F20</f>
        <v>100</v>
      </c>
      <c r="T20" s="4085" t="s">
        <v>13</v>
      </c>
      <c r="U20" s="4088">
        <f>H20</f>
        <v>100</v>
      </c>
      <c r="V20" s="4085" t="s">
        <v>13</v>
      </c>
      <c r="W20" s="4088">
        <f>J20</f>
        <v>100</v>
      </c>
      <c r="X20" s="963"/>
      <c r="Y20" s="4965"/>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965"/>
      <c r="Q21" s="960"/>
      <c r="R21" s="4085"/>
      <c r="S21" s="4088"/>
      <c r="T21" s="4085"/>
      <c r="U21" s="4088"/>
      <c r="V21" s="4085"/>
      <c r="W21" s="4088"/>
      <c r="X21" s="963"/>
      <c r="Y21" s="4965"/>
      <c r="Z21" s="964"/>
      <c r="AA21" s="961">
        <v>1</v>
      </c>
      <c r="AB21" s="961">
        <v>1</v>
      </c>
      <c r="AC21" s="961">
        <v>1</v>
      </c>
    </row>
    <row r="22" spans="1:29" ht="15">
      <c r="A22" s="260"/>
      <c r="B22" s="275" t="s">
        <v>1741</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965"/>
      <c r="Q22" s="960" t="str">
        <f>B22</f>
        <v>楼层</v>
      </c>
      <c r="R22" s="4085" t="s">
        <v>13</v>
      </c>
      <c r="S22" s="4088">
        <f>F22</f>
        <v>100</v>
      </c>
      <c r="T22" s="4085" t="s">
        <v>13</v>
      </c>
      <c r="U22" s="4088">
        <f>H22</f>
        <v>100</v>
      </c>
      <c r="V22" s="4085" t="s">
        <v>13</v>
      </c>
      <c r="W22" s="4088">
        <f>J22</f>
        <v>100</v>
      </c>
      <c r="X22" s="963"/>
      <c r="Y22" s="4965"/>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965"/>
      <c r="Q23" s="960">
        <f>B23</f>
        <v>111</v>
      </c>
      <c r="R23" s="4085" t="s">
        <v>13</v>
      </c>
      <c r="S23" s="4088">
        <f>F23</f>
        <v>100</v>
      </c>
      <c r="T23" s="4085" t="s">
        <v>13</v>
      </c>
      <c r="U23" s="4088">
        <f>H23</f>
        <v>100</v>
      </c>
      <c r="V23" s="4085" t="s">
        <v>13</v>
      </c>
      <c r="W23" s="4088">
        <f>J23</f>
        <v>100</v>
      </c>
      <c r="X23" s="963"/>
      <c r="Y23" s="4965"/>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965"/>
      <c r="Q24" s="960">
        <f t="shared" ref="Q24:Q34" si="11">B24</f>
        <v>111</v>
      </c>
      <c r="R24" s="4085" t="s">
        <v>13</v>
      </c>
      <c r="S24" s="4088">
        <f>F24</f>
        <v>100</v>
      </c>
      <c r="T24" s="4085" t="s">
        <v>13</v>
      </c>
      <c r="U24" s="4088">
        <f>H24</f>
        <v>100</v>
      </c>
      <c r="V24" s="4085" t="s">
        <v>13</v>
      </c>
      <c r="W24" s="4088">
        <f>J24</f>
        <v>100</v>
      </c>
      <c r="X24" s="963"/>
      <c r="Y24" s="4965"/>
      <c r="Z24" s="964">
        <f>Q24</f>
        <v>111</v>
      </c>
      <c r="AA24" s="961">
        <f t="shared" si="3"/>
        <v>1</v>
      </c>
      <c r="AB24" s="961">
        <f t="shared" si="4"/>
        <v>1</v>
      </c>
      <c r="AC24" s="961">
        <f t="shared" si="5"/>
        <v>1</v>
      </c>
    </row>
    <row r="25" spans="1:29" s="49" customFormat="1" ht="15.6"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965"/>
      <c r="Q25" s="952">
        <f t="shared" si="11"/>
        <v>111</v>
      </c>
      <c r="R25" s="4084" t="s">
        <v>13</v>
      </c>
      <c r="S25" s="4087">
        <f>F25</f>
        <v>100</v>
      </c>
      <c r="T25" s="4084" t="s">
        <v>13</v>
      </c>
      <c r="U25" s="4087">
        <f>H25</f>
        <v>100</v>
      </c>
      <c r="V25" s="4084" t="s">
        <v>13</v>
      </c>
      <c r="W25" s="4087">
        <f>J25</f>
        <v>100</v>
      </c>
      <c r="X25" s="504"/>
      <c r="Y25" s="4965"/>
      <c r="Z25" s="28">
        <f>Q25</f>
        <v>111</v>
      </c>
      <c r="AA25" s="961">
        <f>D25/F25</f>
        <v>1</v>
      </c>
      <c r="AB25" s="961">
        <f>D25/H25</f>
        <v>1</v>
      </c>
      <c r="AC25" s="961">
        <f>D25/J25</f>
        <v>1</v>
      </c>
    </row>
    <row r="26" spans="1:29" ht="30">
      <c r="A26" s="282" t="s">
        <v>1600</v>
      </c>
      <c r="B26" s="34" t="s">
        <v>1744</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5020" t="s">
        <v>1602</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969" t="s">
        <v>1602</v>
      </c>
      <c r="Z26" s="964" t="str">
        <f t="shared" ref="Z26:Z34" si="15">Q26</f>
        <v>公共部分装修</v>
      </c>
      <c r="AA26" s="961">
        <f t="shared" si="3"/>
        <v>1</v>
      </c>
      <c r="AB26" s="961">
        <f t="shared" si="4"/>
        <v>1</v>
      </c>
      <c r="AC26" s="961">
        <f t="shared" si="5"/>
        <v>1</v>
      </c>
    </row>
    <row r="27" spans="1:29" s="285" customFormat="1" ht="15">
      <c r="A27" s="283"/>
      <c r="B27" s="258" t="s">
        <v>1745</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969"/>
      <c r="Q27" s="506" t="str">
        <f t="shared" si="11"/>
        <v>成新率</v>
      </c>
      <c r="R27" s="4086" t="s">
        <v>13</v>
      </c>
      <c r="S27" s="4089" t="e">
        <f t="shared" si="12"/>
        <v>#N/A</v>
      </c>
      <c r="T27" s="4086" t="s">
        <v>13</v>
      </c>
      <c r="U27" s="4089" t="e">
        <f t="shared" si="13"/>
        <v>#N/A</v>
      </c>
      <c r="V27" s="4086" t="s">
        <v>13</v>
      </c>
      <c r="W27" s="4089" t="e">
        <f t="shared" si="14"/>
        <v>#N/A</v>
      </c>
      <c r="X27" s="507"/>
      <c r="Y27" s="4969"/>
      <c r="Z27" s="508" t="str">
        <f t="shared" si="15"/>
        <v>成新率</v>
      </c>
      <c r="AA27" s="961" t="e">
        <f t="shared" si="3"/>
        <v>#N/A</v>
      </c>
      <c r="AB27" s="961" t="e">
        <f t="shared" si="4"/>
        <v>#N/A</v>
      </c>
      <c r="AC27" s="961" t="e">
        <f t="shared" si="5"/>
        <v>#N/A</v>
      </c>
    </row>
    <row r="28" spans="1:29" ht="15">
      <c r="A28" s="286"/>
      <c r="B28" s="258" t="s">
        <v>1746</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969"/>
      <c r="Q28" s="960" t="str">
        <f t="shared" si="11"/>
        <v>物业等级</v>
      </c>
      <c r="R28" s="4085" t="s">
        <v>13</v>
      </c>
      <c r="S28" s="4088">
        <f t="shared" si="12"/>
        <v>100</v>
      </c>
      <c r="T28" s="4085" t="s">
        <v>13</v>
      </c>
      <c r="U28" s="4088">
        <f t="shared" si="13"/>
        <v>100</v>
      </c>
      <c r="V28" s="4085" t="s">
        <v>13</v>
      </c>
      <c r="W28" s="4088">
        <f t="shared" si="14"/>
        <v>100</v>
      </c>
      <c r="X28" s="963"/>
      <c r="Y28" s="4969"/>
      <c r="Z28" s="964" t="str">
        <f t="shared" si="15"/>
        <v>物业等级</v>
      </c>
      <c r="AA28" s="961">
        <f t="shared" si="3"/>
        <v>1</v>
      </c>
      <c r="AB28" s="961">
        <f t="shared" si="4"/>
        <v>1</v>
      </c>
      <c r="AC28" s="961">
        <f t="shared" si="5"/>
        <v>1</v>
      </c>
    </row>
    <row r="29" spans="1:29" ht="15">
      <c r="A29" s="286"/>
      <c r="B29" s="258" t="s">
        <v>1766</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969"/>
      <c r="Q29" s="960" t="str">
        <f t="shared" si="11"/>
        <v>有无电梯</v>
      </c>
      <c r="R29" s="4085" t="s">
        <v>13</v>
      </c>
      <c r="S29" s="4088">
        <f t="shared" si="12"/>
        <v>100</v>
      </c>
      <c r="T29" s="4085" t="s">
        <v>13</v>
      </c>
      <c r="U29" s="4088">
        <f t="shared" si="13"/>
        <v>100</v>
      </c>
      <c r="V29" s="4085" t="s">
        <v>13</v>
      </c>
      <c r="W29" s="4088">
        <f t="shared" si="14"/>
        <v>100</v>
      </c>
      <c r="X29" s="963"/>
      <c r="Y29" s="4969"/>
      <c r="Z29" s="964" t="str">
        <f t="shared" si="15"/>
        <v>有无电梯</v>
      </c>
      <c r="AA29" s="961">
        <f t="shared" si="3"/>
        <v>1</v>
      </c>
      <c r="AB29" s="961">
        <f t="shared" si="4"/>
        <v>1</v>
      </c>
      <c r="AC29" s="961">
        <f t="shared" si="5"/>
        <v>1</v>
      </c>
    </row>
    <row r="30" spans="1:29" ht="15">
      <c r="A30" s="286"/>
      <c r="B30" s="258" t="s">
        <v>1767</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969"/>
      <c r="Q30" s="960" t="str">
        <f t="shared" si="11"/>
        <v>建筑面积</v>
      </c>
      <c r="R30" s="4085" t="s">
        <v>13</v>
      </c>
      <c r="S30" s="4088" t="e">
        <f t="shared" si="12"/>
        <v>#N/A</v>
      </c>
      <c r="T30" s="4085" t="s">
        <v>13</v>
      </c>
      <c r="U30" s="4088" t="e">
        <f t="shared" si="13"/>
        <v>#N/A</v>
      </c>
      <c r="V30" s="4085" t="s">
        <v>13</v>
      </c>
      <c r="W30" s="4088" t="e">
        <f t="shared" si="14"/>
        <v>#N/A</v>
      </c>
      <c r="X30" s="963"/>
      <c r="Y30" s="4969"/>
      <c r="Z30" s="964" t="str">
        <f t="shared" si="15"/>
        <v>建筑面积</v>
      </c>
      <c r="AA30" s="961" t="e">
        <f t="shared" si="3"/>
        <v>#N/A</v>
      </c>
      <c r="AB30" s="961" t="e">
        <f t="shared" si="4"/>
        <v>#N/A</v>
      </c>
      <c r="AC30" s="961" t="e">
        <f t="shared" si="5"/>
        <v>#N/A</v>
      </c>
    </row>
    <row r="31" spans="1:29" s="49" customFormat="1" ht="15">
      <c r="A31" s="287"/>
      <c r="B31" s="258" t="s">
        <v>1768</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969"/>
      <c r="Q31" s="952" t="str">
        <f t="shared" si="11"/>
        <v>是否封闭</v>
      </c>
      <c r="R31" s="4084" t="s">
        <v>13</v>
      </c>
      <c r="S31" s="4087">
        <f t="shared" si="12"/>
        <v>100</v>
      </c>
      <c r="T31" s="4084" t="s">
        <v>13</v>
      </c>
      <c r="U31" s="4087">
        <f t="shared" si="13"/>
        <v>100</v>
      </c>
      <c r="V31" s="4084" t="s">
        <v>13</v>
      </c>
      <c r="W31" s="4087">
        <f t="shared" si="14"/>
        <v>100</v>
      </c>
      <c r="X31" s="504"/>
      <c r="Y31" s="4969"/>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969" t="s">
        <v>1602</v>
      </c>
      <c r="Q32" s="960">
        <f t="shared" si="11"/>
        <v>111</v>
      </c>
      <c r="R32" s="4085" t="s">
        <v>13</v>
      </c>
      <c r="S32" s="4088">
        <f t="shared" si="12"/>
        <v>100</v>
      </c>
      <c r="T32" s="4085" t="s">
        <v>13</v>
      </c>
      <c r="U32" s="4088">
        <f t="shared" si="13"/>
        <v>100</v>
      </c>
      <c r="V32" s="4085" t="s">
        <v>13</v>
      </c>
      <c r="W32" s="4088">
        <f t="shared" si="14"/>
        <v>100</v>
      </c>
      <c r="X32" s="963"/>
      <c r="Y32" s="4969" t="s">
        <v>1602</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969"/>
      <c r="Q33" s="960">
        <f t="shared" si="11"/>
        <v>111</v>
      </c>
      <c r="R33" s="4085" t="s">
        <v>13</v>
      </c>
      <c r="S33" s="4088">
        <f t="shared" si="12"/>
        <v>100</v>
      </c>
      <c r="T33" s="4085" t="s">
        <v>13</v>
      </c>
      <c r="U33" s="4088">
        <f t="shared" si="13"/>
        <v>100</v>
      </c>
      <c r="V33" s="4085" t="s">
        <v>13</v>
      </c>
      <c r="W33" s="4088">
        <f t="shared" si="14"/>
        <v>100</v>
      </c>
      <c r="X33" s="963"/>
      <c r="Y33" s="4969"/>
      <c r="Z33" s="964">
        <f t="shared" si="15"/>
        <v>111</v>
      </c>
      <c r="AA33" s="961">
        <f t="shared" si="3"/>
        <v>1</v>
      </c>
      <c r="AB33" s="961">
        <f t="shared" si="4"/>
        <v>1</v>
      </c>
      <c r="AC33" s="961">
        <f t="shared" si="5"/>
        <v>1</v>
      </c>
    </row>
    <row r="34" spans="1:30" ht="15.6"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969"/>
      <c r="Q34" s="960">
        <f t="shared" si="11"/>
        <v>111</v>
      </c>
      <c r="R34" s="4085" t="s">
        <v>13</v>
      </c>
      <c r="S34" s="4088">
        <f t="shared" si="12"/>
        <v>100</v>
      </c>
      <c r="T34" s="4085" t="s">
        <v>13</v>
      </c>
      <c r="U34" s="4088">
        <f t="shared" si="13"/>
        <v>100</v>
      </c>
      <c r="V34" s="4085" t="s">
        <v>13</v>
      </c>
      <c r="W34" s="4088">
        <f t="shared" si="14"/>
        <v>100</v>
      </c>
      <c r="X34" s="963"/>
      <c r="Y34" s="4969"/>
      <c r="Z34" s="964">
        <f t="shared" si="15"/>
        <v>111</v>
      </c>
      <c r="AA34" s="961">
        <f t="shared" si="3"/>
        <v>1</v>
      </c>
      <c r="AB34" s="961">
        <f t="shared" si="4"/>
        <v>1</v>
      </c>
      <c r="AC34" s="961">
        <f t="shared" si="5"/>
        <v>1</v>
      </c>
    </row>
    <row r="35" spans="1:30" ht="14.4">
      <c r="A35" s="292" t="s">
        <v>1614</v>
      </c>
      <c r="B35" s="293"/>
      <c r="C35" s="808" t="s">
        <v>0</v>
      </c>
      <c r="D35" s="809"/>
      <c r="E35" s="3458"/>
      <c r="F35" s="3460"/>
      <c r="G35" s="3459"/>
      <c r="H35" s="3461"/>
      <c r="I35" s="3458"/>
      <c r="J35" s="3461"/>
      <c r="K35" s="3104"/>
      <c r="L35" s="2155"/>
      <c r="M35" s="2156"/>
      <c r="N35" s="2147"/>
      <c r="O35" s="2156"/>
      <c r="P35" s="5012" t="str">
        <f>A35</f>
        <v>成交单价（元/平方米）</v>
      </c>
      <c r="Q35" s="5012"/>
      <c r="R35" s="4976">
        <f>E35</f>
        <v>0</v>
      </c>
      <c r="S35" s="4976"/>
      <c r="T35" s="4976">
        <f>G35</f>
        <v>0</v>
      </c>
      <c r="U35" s="4976"/>
      <c r="V35" s="4976">
        <f>I35</f>
        <v>0</v>
      </c>
      <c r="W35" s="4976"/>
      <c r="X35" s="493"/>
      <c r="Y35" s="509"/>
      <c r="Z35" s="493"/>
      <c r="AA35" s="493"/>
      <c r="AB35" s="493"/>
      <c r="AC35" s="493"/>
    </row>
    <row r="36" spans="1:30" ht="15" thickBot="1">
      <c r="A36" s="295" t="s">
        <v>1699</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5012" t="str">
        <f>A36</f>
        <v>比较价值（元/平方米）</v>
      </c>
      <c r="Q36" s="5012"/>
      <c r="R36" s="4976" t="e">
        <f>IF(F1="售价",ROUND(PRODUCT(R35,AA7:AA34),0),ROUND(PRODUCT(R35,AA7:AA34),1))</f>
        <v>#DIV/0!</v>
      </c>
      <c r="S36" s="4976"/>
      <c r="T36" s="4976" t="e">
        <f>IF(F1="售价",ROUND(PRODUCT(T35,AB7:AB34),0),ROUND(PRODUCT(T35,AB7:AB34),1))</f>
        <v>#DIV/0!</v>
      </c>
      <c r="U36" s="4976"/>
      <c r="V36" s="4976" t="e">
        <f>IF(F1="售价",ROUND(PRODUCT(V35,AC7:AC34),0),ROUND(PRODUCT(V35,AC7:AC34),1))</f>
        <v>#DIV/0!</v>
      </c>
      <c r="W36" s="4976"/>
      <c r="X36" s="493"/>
      <c r="Y36" s="493"/>
      <c r="Z36" s="493"/>
      <c r="AA36" s="493"/>
      <c r="AB36" s="493"/>
      <c r="AC36" s="493"/>
    </row>
    <row r="37" spans="1:30" ht="15" thickBot="1">
      <c r="A37" s="297" t="s">
        <v>1700</v>
      </c>
      <c r="B37" s="298"/>
      <c r="C37" s="4054" t="e">
        <f>R37</f>
        <v>#DIV/0!</v>
      </c>
      <c r="D37" s="812"/>
      <c r="E37" s="812"/>
      <c r="F37" s="812"/>
      <c r="G37" s="812"/>
      <c r="H37" s="812"/>
      <c r="I37" s="812"/>
      <c r="J37" s="812"/>
      <c r="K37" s="511"/>
      <c r="L37" s="2155"/>
      <c r="M37" s="2156"/>
      <c r="N37" s="2156"/>
      <c r="O37" s="2156"/>
      <c r="P37" s="5021" t="str">
        <f>A37</f>
        <v>估价对象XX用房的比较价值（楼面单价，元/平方米）</v>
      </c>
      <c r="Q37" s="5022"/>
      <c r="R37" s="5023" t="e">
        <f>IF(F1="售价",ROUND(IF(D36="简单平均",AVERAGE(R36:W36),R36*F36+T36*H36+V36*J36),0),ROUND(IF(D36="简单平均",AVERAGE(R36:V36),R36*F36+T36*H36+V36*J36),1))</f>
        <v>#DIV/0!</v>
      </c>
      <c r="S37" s="5023"/>
      <c r="T37" s="5023"/>
      <c r="U37" s="5023"/>
      <c r="V37" s="5023"/>
      <c r="W37" s="5023"/>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1701</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1702</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1703</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1704</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1585</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1622</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1587</v>
      </c>
      <c r="B49" s="313"/>
      <c r="C49" s="325" t="s">
        <v>1682</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1625</v>
      </c>
      <c r="B51" s="330" t="s">
        <v>1591</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1594</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1596</v>
      </c>
      <c r="B61" s="330" t="s">
        <v>1632</v>
      </c>
      <c r="C61" s="373" t="s">
        <v>1627</v>
      </c>
      <c r="D61" s="373" t="s">
        <v>1628</v>
      </c>
      <c r="E61" s="373" t="s">
        <v>1629</v>
      </c>
      <c r="F61" s="373" t="s">
        <v>1630</v>
      </c>
      <c r="G61" s="373" t="s">
        <v>1631</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1769</v>
      </c>
      <c r="C63" s="377" t="s">
        <v>1627</v>
      </c>
      <c r="D63" s="377" t="s">
        <v>1628</v>
      </c>
      <c r="E63" s="377" t="s">
        <v>1629</v>
      </c>
      <c r="F63" s="377" t="s">
        <v>1630</v>
      </c>
      <c r="G63" s="377" t="s">
        <v>1631</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1719</v>
      </c>
      <c r="C65" s="444" t="s">
        <v>1705</v>
      </c>
      <c r="D65" s="444" t="s">
        <v>1706</v>
      </c>
      <c r="E65" s="444" t="s">
        <v>1707</v>
      </c>
      <c r="F65" s="444" t="s">
        <v>1708</v>
      </c>
      <c r="G65" s="444" t="s">
        <v>1709</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1639</v>
      </c>
      <c r="C67" s="377" t="s">
        <v>1627</v>
      </c>
      <c r="D67" s="377" t="s">
        <v>1628</v>
      </c>
      <c r="E67" s="377" t="s">
        <v>1629</v>
      </c>
      <c r="F67" s="377" t="s">
        <v>1630</v>
      </c>
      <c r="G67" s="377" t="s">
        <v>1631</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1758</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1600</v>
      </c>
      <c r="B77" s="330" t="s">
        <v>1646</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1761</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1762</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1770</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1771</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1772</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F2" sqref="F2"/>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7"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1773</v>
      </c>
      <c r="B1" s="236"/>
      <c r="C1" s="237" t="s">
        <v>1774</v>
      </c>
      <c r="D1" s="489"/>
      <c r="E1" s="489"/>
      <c r="F1" s="488" t="s">
        <v>1673</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1430</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1432</v>
      </c>
      <c r="B3" s="405" t="e">
        <f>ROUND(IF(D3="",B2*10000/'数据-汇总表'!E3,B2*10000/D3),0)</f>
        <v>#DIV/0!</v>
      </c>
      <c r="C3" s="102" t="s">
        <v>1775</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t="e">
        <f>IF(B48="单位面积地价",C50,ROUND(B2*10000/'数据-汇总表'!D3,0))</f>
        <v>#DIV/0!</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4.4">
      <c r="A6" s="241" t="s">
        <v>1675</v>
      </c>
      <c r="B6" s="242"/>
      <c r="C6" s="4923" t="s">
        <v>1676</v>
      </c>
      <c r="D6" s="4924"/>
      <c r="E6" s="4925" t="s">
        <v>1677</v>
      </c>
      <c r="F6" s="4926"/>
      <c r="G6" s="4923" t="s">
        <v>1678</v>
      </c>
      <c r="H6" s="4924"/>
      <c r="I6" s="4923" t="s">
        <v>1679</v>
      </c>
      <c r="J6" s="4924"/>
      <c r="K6" s="3105" t="s">
        <v>1680</v>
      </c>
      <c r="L6" s="2146"/>
      <c r="M6" s="2147"/>
      <c r="N6" s="2147"/>
      <c r="O6" s="2147"/>
      <c r="P6" s="4927" t="s">
        <v>1681</v>
      </c>
      <c r="Q6" s="4928"/>
      <c r="R6" s="4933" t="s">
        <v>1677</v>
      </c>
      <c r="S6" s="4934"/>
      <c r="T6" s="4933" t="s">
        <v>1678</v>
      </c>
      <c r="U6" s="4934"/>
      <c r="V6" s="4946" t="s">
        <v>1679</v>
      </c>
      <c r="W6" s="4946"/>
      <c r="X6" s="963"/>
      <c r="Y6" s="4947" t="s">
        <v>1681</v>
      </c>
      <c r="Z6" s="4948"/>
      <c r="AA6" s="4920" t="s">
        <v>1677</v>
      </c>
      <c r="AB6" s="4921" t="s">
        <v>1678</v>
      </c>
      <c r="AC6" s="4920" t="s">
        <v>1679</v>
      </c>
    </row>
    <row r="7" spans="1:30">
      <c r="A7" s="244"/>
      <c r="B7" s="245"/>
      <c r="C7" s="4937" t="s">
        <v>1579</v>
      </c>
      <c r="D7" s="4938"/>
      <c r="E7" s="4977" t="s">
        <v>1580</v>
      </c>
      <c r="F7" s="4940"/>
      <c r="G7" s="4937" t="s">
        <v>1581</v>
      </c>
      <c r="H7" s="4938"/>
      <c r="I7" s="4937" t="s">
        <v>1582</v>
      </c>
      <c r="J7" s="4938"/>
      <c r="K7" s="3105"/>
      <c r="L7" s="2146"/>
      <c r="M7" s="2147"/>
      <c r="N7" s="2147"/>
      <c r="O7" s="2147"/>
      <c r="P7" s="4929"/>
      <c r="Q7" s="4930"/>
      <c r="R7" s="4935"/>
      <c r="S7" s="4936"/>
      <c r="T7" s="4935"/>
      <c r="U7" s="4936"/>
      <c r="V7" s="4946"/>
      <c r="W7" s="4946"/>
      <c r="X7" s="963"/>
      <c r="Y7" s="4949"/>
      <c r="Z7" s="4950"/>
      <c r="AA7" s="4921"/>
      <c r="AB7" s="4921"/>
      <c r="AC7" s="4921"/>
    </row>
    <row r="8" spans="1:30" ht="15" thickBot="1">
      <c r="A8" s="246"/>
      <c r="B8" s="247"/>
      <c r="C8" s="4953" t="s">
        <v>1583</v>
      </c>
      <c r="D8" s="4954"/>
      <c r="E8" s="4955" t="s">
        <v>1583</v>
      </c>
      <c r="F8" s="4956"/>
      <c r="G8" s="4953" t="s">
        <v>1583</v>
      </c>
      <c r="H8" s="4954"/>
      <c r="I8" s="4953" t="s">
        <v>1583</v>
      </c>
      <c r="J8" s="4954"/>
      <c r="K8" s="3105" t="s">
        <v>1584</v>
      </c>
      <c r="L8" s="2146"/>
      <c r="M8" s="2147"/>
      <c r="N8" s="2147"/>
      <c r="O8" s="2147"/>
      <c r="P8" s="4931"/>
      <c r="Q8" s="4932"/>
      <c r="R8" s="4935"/>
      <c r="S8" s="4936"/>
      <c r="T8" s="4944"/>
      <c r="U8" s="4945"/>
      <c r="V8" s="4946"/>
      <c r="W8" s="4946"/>
      <c r="X8" s="963"/>
      <c r="Y8" s="4951"/>
      <c r="Z8" s="4952"/>
      <c r="AA8" s="4922"/>
      <c r="AB8" s="4922"/>
      <c r="AC8" s="4922"/>
    </row>
    <row r="9" spans="1:30" s="49" customFormat="1" ht="15" thickBot="1">
      <c r="A9" s="3338" t="s">
        <v>1585</v>
      </c>
      <c r="B9" s="3339"/>
      <c r="C9" s="3052">
        <f>'数据-取费表'!B2</f>
        <v>46063</v>
      </c>
      <c r="D9" s="3128">
        <v>100</v>
      </c>
      <c r="E9" s="3082"/>
      <c r="F9" s="4026">
        <f>SUMIF(71:71,YEAR(E9)&amp;"-"&amp;INT((MONTH(E9)+2)/3),72:72)</f>
        <v>0</v>
      </c>
      <c r="G9" s="3369"/>
      <c r="H9" s="4038">
        <f>SUMIF(71:71,YEAR(G9)&amp;"-"&amp;INT((MONTH(G9)+2)/3),72:72)</f>
        <v>0</v>
      </c>
      <c r="I9" s="3369"/>
      <c r="J9" s="4038">
        <f>SUMIF(71:71,YEAR(I9)&amp;"-"&amp;INT((MONTH(I9)+2)/3),72:72)</f>
        <v>0</v>
      </c>
      <c r="K9" s="3373"/>
      <c r="L9" s="2148"/>
      <c r="M9" s="2149"/>
      <c r="N9" s="2149"/>
      <c r="O9" s="2149"/>
      <c r="P9" s="4957" t="s">
        <v>1586</v>
      </c>
      <c r="Q9" s="4958"/>
      <c r="R9" s="4076" t="s">
        <v>13</v>
      </c>
      <c r="S9" s="4079">
        <f t="shared" ref="S9:S17" si="0">F9</f>
        <v>0</v>
      </c>
      <c r="T9" s="4076" t="s">
        <v>13</v>
      </c>
      <c r="U9" s="4079">
        <f t="shared" ref="U9:U17" si="1">H9</f>
        <v>0</v>
      </c>
      <c r="V9" s="4076" t="s">
        <v>13</v>
      </c>
      <c r="W9" s="4079">
        <f t="shared" ref="W9:W17" si="2">J9</f>
        <v>0</v>
      </c>
      <c r="X9" s="504"/>
      <c r="Y9" s="4942" t="s">
        <v>1586</v>
      </c>
      <c r="Z9" s="4943"/>
      <c r="AA9" s="505" t="e">
        <f>D9/F9</f>
        <v>#DIV/0!</v>
      </c>
      <c r="AB9" s="505" t="e">
        <f>D9/H9</f>
        <v>#DIV/0!</v>
      </c>
      <c r="AC9" s="505" t="e">
        <f>D9/J9</f>
        <v>#DIV/0!</v>
      </c>
    </row>
    <row r="10" spans="1:30" s="49" customFormat="1" ht="15" thickBot="1">
      <c r="A10" s="3338" t="s">
        <v>1587</v>
      </c>
      <c r="B10" s="3339"/>
      <c r="C10" s="3053"/>
      <c r="D10" s="3128">
        <v>100</v>
      </c>
      <c r="E10" s="3053"/>
      <c r="F10" s="4026">
        <f>SUMIF(74:74,E10,75:75)-SUMIF(74:74,C10,75:75)+100</f>
        <v>100</v>
      </c>
      <c r="G10" s="3053"/>
      <c r="H10" s="4038">
        <f>SUMIF(74:74,G10,75:75)-SUMIF(74:74,C10,75:75)+100</f>
        <v>100</v>
      </c>
      <c r="I10" s="3053"/>
      <c r="J10" s="4038">
        <f>SUMIF(74:74,I10,75:75)-SUMIF(74:74,C10,75:75)+100</f>
        <v>100</v>
      </c>
      <c r="K10" s="3373"/>
      <c r="L10" s="2148"/>
      <c r="M10" s="2149"/>
      <c r="N10" s="2149"/>
      <c r="O10" s="2149"/>
      <c r="P10" s="4957" t="s">
        <v>1589</v>
      </c>
      <c r="Q10" s="4959"/>
      <c r="R10" s="4076" t="s">
        <v>13</v>
      </c>
      <c r="S10" s="4079">
        <f t="shared" si="0"/>
        <v>100</v>
      </c>
      <c r="T10" s="4076" t="s">
        <v>13</v>
      </c>
      <c r="U10" s="4079">
        <f t="shared" si="1"/>
        <v>100</v>
      </c>
      <c r="V10" s="4076" t="s">
        <v>13</v>
      </c>
      <c r="W10" s="4079">
        <f t="shared" si="2"/>
        <v>100</v>
      </c>
      <c r="X10" s="504"/>
      <c r="Y10" s="4942" t="s">
        <v>1589</v>
      </c>
      <c r="Z10" s="4943"/>
      <c r="AA10" s="505">
        <f t="shared" ref="AA10:AA47" si="3">D10/F10</f>
        <v>1</v>
      </c>
      <c r="AB10" s="505">
        <f t="shared" ref="AB10:AB47" si="4">D10/H10</f>
        <v>1</v>
      </c>
      <c r="AC10" s="505">
        <f t="shared" ref="AC10:AC47" si="5">D10/J10</f>
        <v>1</v>
      </c>
    </row>
    <row r="11" spans="1:30" s="49" customFormat="1" ht="14.4">
      <c r="A11" s="3273" t="s">
        <v>1590</v>
      </c>
      <c r="B11" s="3033" t="s">
        <v>1591</v>
      </c>
      <c r="C11" s="3340"/>
      <c r="D11" s="3129">
        <v>100</v>
      </c>
      <c r="E11" s="3340"/>
      <c r="F11" s="4039">
        <f>SUMIF(76:76,E11,77:77)-SUMIF(76:76,C11,77:77)+100</f>
        <v>100</v>
      </c>
      <c r="G11" s="3340"/>
      <c r="H11" s="4039">
        <f>SUMIF(76:76,G11,77:77)-SUMIF(76:76,C11,77:77)+100</f>
        <v>100</v>
      </c>
      <c r="I11" s="3340"/>
      <c r="J11" s="4039">
        <f>SUMIF(76:76,I11,77:77)-SUMIF(76:76,C11,77:77)+100</f>
        <v>100</v>
      </c>
      <c r="K11" s="3373"/>
      <c r="L11" s="2148"/>
      <c r="M11" s="2149"/>
      <c r="N11" s="2149"/>
      <c r="O11" s="2203"/>
      <c r="P11" s="4971" t="s">
        <v>1592</v>
      </c>
      <c r="Q11" s="3274" t="str">
        <f t="shared" ref="Q11:Q17" si="6">B11</f>
        <v>用途</v>
      </c>
      <c r="R11" s="4076" t="s">
        <v>13</v>
      </c>
      <c r="S11" s="4079">
        <f t="shared" si="0"/>
        <v>100</v>
      </c>
      <c r="T11" s="4076" t="s">
        <v>13</v>
      </c>
      <c r="U11" s="4079">
        <f t="shared" si="1"/>
        <v>100</v>
      </c>
      <c r="V11" s="4076" t="s">
        <v>13</v>
      </c>
      <c r="W11" s="4079">
        <f t="shared" si="2"/>
        <v>100</v>
      </c>
      <c r="X11" s="504"/>
      <c r="Y11" s="4961" t="s">
        <v>1593</v>
      </c>
      <c r="Z11" s="28" t="str">
        <f t="shared" ref="Z11:Z17" si="7">Q11</f>
        <v>用途</v>
      </c>
      <c r="AA11" s="505">
        <f t="shared" si="3"/>
        <v>1</v>
      </c>
      <c r="AB11" s="505">
        <f t="shared" si="4"/>
        <v>1</v>
      </c>
      <c r="AC11" s="505">
        <f t="shared" si="5"/>
        <v>1</v>
      </c>
    </row>
    <row r="12" spans="1:30" s="259" customFormat="1" ht="28.8">
      <c r="A12" s="3341"/>
      <c r="B12" s="3276" t="s">
        <v>1594</v>
      </c>
      <c r="C12" s="3057"/>
      <c r="D12" s="3130">
        <v>100</v>
      </c>
      <c r="E12" s="3108"/>
      <c r="F12" s="4040" t="e">
        <f>ROUND(100/'数据-取费表'!G16,1)</f>
        <v>#DIV/0!</v>
      </c>
      <c r="G12" s="3114"/>
      <c r="H12" s="4040" t="e">
        <f>ROUND(100/'数据-取费表'!G16,1)</f>
        <v>#DIV/0!</v>
      </c>
      <c r="I12" s="3114"/>
      <c r="J12" s="4040" t="e">
        <f>ROUND(100/'数据-取费表'!G16,1)</f>
        <v>#DIV/0!</v>
      </c>
      <c r="K12" s="3374"/>
      <c r="L12" s="2150"/>
      <c r="M12" s="2151"/>
      <c r="N12" s="2151"/>
      <c r="O12" s="2204"/>
      <c r="P12" s="4971"/>
      <c r="Q12" s="3274" t="str">
        <f t="shared" si="6"/>
        <v>土地使用年限（年）</v>
      </c>
      <c r="R12" s="4076" t="s">
        <v>13</v>
      </c>
      <c r="S12" s="4079" t="e">
        <f t="shared" si="0"/>
        <v>#DIV/0!</v>
      </c>
      <c r="T12" s="4076" t="s">
        <v>13</v>
      </c>
      <c r="U12" s="4079" t="e">
        <f t="shared" si="1"/>
        <v>#DIV/0!</v>
      </c>
      <c r="V12" s="4076" t="s">
        <v>13</v>
      </c>
      <c r="W12" s="4079" t="e">
        <f t="shared" si="2"/>
        <v>#DIV/0!</v>
      </c>
      <c r="X12" s="504"/>
      <c r="Y12" s="4961"/>
      <c r="Z12" s="28" t="str">
        <f t="shared" si="7"/>
        <v>土地使用年限（年）</v>
      </c>
      <c r="AA12" s="505" t="e">
        <f t="shared" si="3"/>
        <v>#DIV/0!</v>
      </c>
      <c r="AB12" s="505" t="e">
        <f t="shared" si="4"/>
        <v>#DIV/0!</v>
      </c>
      <c r="AC12" s="505" t="e">
        <f t="shared" si="5"/>
        <v>#DIV/0!</v>
      </c>
    </row>
    <row r="13" spans="1:30" ht="15">
      <c r="A13" s="3342"/>
      <c r="B13" s="3276" t="s">
        <v>1595</v>
      </c>
      <c r="C13" s="3056"/>
      <c r="D13" s="3130">
        <v>100</v>
      </c>
      <c r="E13" s="3056"/>
      <c r="F13" s="4040">
        <f>LOOKUP(E13,81:81,82:82)-LOOKUP(C13,81:81,82:82)+100</f>
        <v>100</v>
      </c>
      <c r="G13" s="3085"/>
      <c r="H13" s="4040">
        <f>LOOKUP(G13,81:81,82:82)-LOOKUP(C13,81:81,82:82)+100</f>
        <v>100</v>
      </c>
      <c r="I13" s="3056"/>
      <c r="J13" s="4040">
        <f>LOOKUP(I13,81:81,82:82)-LOOKUP(C13,81:81,82:82)+100</f>
        <v>100</v>
      </c>
      <c r="K13" s="3398"/>
      <c r="L13" s="2152"/>
      <c r="M13" s="2147"/>
      <c r="N13" s="2147"/>
      <c r="O13" s="2205"/>
      <c r="P13" s="4971"/>
      <c r="Q13" s="3274" t="str">
        <f t="shared" si="6"/>
        <v>容积率</v>
      </c>
      <c r="R13" s="4076" t="s">
        <v>13</v>
      </c>
      <c r="S13" s="4079">
        <f t="shared" si="0"/>
        <v>100</v>
      </c>
      <c r="T13" s="4076" t="s">
        <v>13</v>
      </c>
      <c r="U13" s="4079">
        <f t="shared" si="1"/>
        <v>100</v>
      </c>
      <c r="V13" s="4076" t="s">
        <v>13</v>
      </c>
      <c r="W13" s="4079">
        <f t="shared" si="2"/>
        <v>100</v>
      </c>
      <c r="X13" s="504"/>
      <c r="Y13" s="4961"/>
      <c r="Z13" s="28" t="str">
        <f t="shared" si="7"/>
        <v>容积率</v>
      </c>
      <c r="AA13" s="505">
        <f t="shared" si="3"/>
        <v>1</v>
      </c>
      <c r="AB13" s="505">
        <f t="shared" si="4"/>
        <v>1</v>
      </c>
      <c r="AC13" s="505">
        <f t="shared" si="5"/>
        <v>1</v>
      </c>
    </row>
    <row r="14" spans="1:30" s="49" customFormat="1" ht="15">
      <c r="A14" s="3343"/>
      <c r="B14" s="3034" t="s">
        <v>1776</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971"/>
      <c r="Q14" s="3274" t="str">
        <f t="shared" si="6"/>
        <v>配建</v>
      </c>
      <c r="R14" s="4076" t="s">
        <v>13</v>
      </c>
      <c r="S14" s="4079">
        <f t="shared" si="0"/>
        <v>100</v>
      </c>
      <c r="T14" s="4076" t="s">
        <v>13</v>
      </c>
      <c r="U14" s="4079">
        <f t="shared" si="1"/>
        <v>100</v>
      </c>
      <c r="V14" s="4076" t="s">
        <v>13</v>
      </c>
      <c r="W14" s="4079">
        <f t="shared" si="2"/>
        <v>100</v>
      </c>
      <c r="X14" s="504"/>
      <c r="Y14" s="4961"/>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971"/>
      <c r="Q15" s="3274">
        <f t="shared" si="6"/>
        <v>111</v>
      </c>
      <c r="R15" s="4076" t="s">
        <v>13</v>
      </c>
      <c r="S15" s="4079">
        <f t="shared" si="0"/>
        <v>100</v>
      </c>
      <c r="T15" s="4076" t="s">
        <v>13</v>
      </c>
      <c r="U15" s="4079">
        <f t="shared" si="1"/>
        <v>100</v>
      </c>
      <c r="V15" s="4076" t="s">
        <v>13</v>
      </c>
      <c r="W15" s="4079">
        <f t="shared" si="2"/>
        <v>100</v>
      </c>
      <c r="X15" s="504"/>
      <c r="Y15" s="4961"/>
      <c r="Z15" s="28">
        <f t="shared" si="7"/>
        <v>111</v>
      </c>
      <c r="AA15" s="505">
        <f>D15/F15</f>
        <v>1</v>
      </c>
      <c r="AB15" s="505">
        <f>D15/H15</f>
        <v>1</v>
      </c>
      <c r="AC15" s="505">
        <f>D15/J15</f>
        <v>1</v>
      </c>
    </row>
    <row r="16" spans="1:30" ht="15.6"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971"/>
      <c r="Q16" s="3274">
        <f t="shared" si="6"/>
        <v>111</v>
      </c>
      <c r="R16" s="4076" t="s">
        <v>13</v>
      </c>
      <c r="S16" s="4079">
        <f t="shared" si="0"/>
        <v>100</v>
      </c>
      <c r="T16" s="4076" t="s">
        <v>13</v>
      </c>
      <c r="U16" s="4079">
        <f t="shared" si="1"/>
        <v>100</v>
      </c>
      <c r="V16" s="4076" t="s">
        <v>13</v>
      </c>
      <c r="W16" s="4079">
        <f t="shared" si="2"/>
        <v>100</v>
      </c>
      <c r="X16" s="504"/>
      <c r="Y16" s="4961"/>
      <c r="Z16" s="28">
        <f t="shared" si="7"/>
        <v>111</v>
      </c>
      <c r="AA16" s="505">
        <f>D16/F16</f>
        <v>1</v>
      </c>
      <c r="AB16" s="505">
        <f>D16/H16</f>
        <v>1</v>
      </c>
      <c r="AC16" s="505">
        <f>D16/J16</f>
        <v>1</v>
      </c>
    </row>
    <row r="17" spans="1:29" ht="96.6">
      <c r="A17" s="3345" t="s">
        <v>1596</v>
      </c>
      <c r="B17" s="3036" t="s">
        <v>1234</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100</v>
      </c>
      <c r="K17" s="3398"/>
      <c r="L17" s="2153"/>
      <c r="M17" s="2147"/>
      <c r="N17" s="2147"/>
      <c r="O17" s="2205"/>
      <c r="P17" s="5007" t="s">
        <v>1597</v>
      </c>
      <c r="Q17" s="3277" t="str">
        <f t="shared" si="6"/>
        <v>居住社区成熟度</v>
      </c>
      <c r="R17" s="4077" t="s">
        <v>13</v>
      </c>
      <c r="S17" s="4080">
        <f t="shared" si="0"/>
        <v>100</v>
      </c>
      <c r="T17" s="4077" t="s">
        <v>13</v>
      </c>
      <c r="U17" s="4080">
        <f t="shared" si="1"/>
        <v>100</v>
      </c>
      <c r="V17" s="4077" t="s">
        <v>13</v>
      </c>
      <c r="W17" s="4080">
        <f t="shared" si="2"/>
        <v>100</v>
      </c>
      <c r="X17" s="963"/>
      <c r="Y17" s="4964" t="s">
        <v>1597</v>
      </c>
      <c r="Z17" s="964" t="str">
        <f t="shared" si="7"/>
        <v>居住社区成熟度</v>
      </c>
      <c r="AA17" s="961">
        <f t="shared" si="3"/>
        <v>1</v>
      </c>
      <c r="AB17" s="961">
        <f t="shared" si="4"/>
        <v>1</v>
      </c>
      <c r="AC17" s="961">
        <f t="shared" si="5"/>
        <v>1</v>
      </c>
    </row>
    <row r="18" spans="1:29" ht="15">
      <c r="A18" s="3342"/>
      <c r="B18" s="3037"/>
      <c r="C18" s="3061" t="s">
        <v>3610</v>
      </c>
      <c r="D18" s="3135"/>
      <c r="E18" s="3090" t="s">
        <v>3611</v>
      </c>
      <c r="F18" s="4031"/>
      <c r="G18" s="3090" t="s">
        <v>3610</v>
      </c>
      <c r="H18" s="4032"/>
      <c r="I18" s="3096" t="s">
        <v>3610</v>
      </c>
      <c r="J18" s="4031"/>
      <c r="K18" s="3399"/>
      <c r="L18" s="2153"/>
      <c r="M18" s="2147"/>
      <c r="N18" s="2147"/>
      <c r="O18" s="2205"/>
      <c r="P18" s="5008"/>
      <c r="Q18" s="3277"/>
      <c r="R18" s="4077"/>
      <c r="S18" s="4080"/>
      <c r="T18" s="4077"/>
      <c r="U18" s="4080"/>
      <c r="V18" s="4077"/>
      <c r="W18" s="4080"/>
      <c r="X18" s="963"/>
      <c r="Y18" s="4965"/>
      <c r="Z18" s="964"/>
      <c r="AA18" s="961">
        <v>1</v>
      </c>
      <c r="AB18" s="961">
        <v>1</v>
      </c>
      <c r="AC18" s="961">
        <v>1</v>
      </c>
    </row>
    <row r="19" spans="1:29" ht="69">
      <c r="A19" s="3342"/>
      <c r="B19" s="3038" t="s">
        <v>1683</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5008"/>
      <c r="Q19" s="3277" t="str">
        <f>B19</f>
        <v>商业繁华度</v>
      </c>
      <c r="R19" s="4077" t="s">
        <v>13</v>
      </c>
      <c r="S19" s="4080">
        <f>F19</f>
        <v>100</v>
      </c>
      <c r="T19" s="4077" t="s">
        <v>13</v>
      </c>
      <c r="U19" s="4080">
        <f>H19</f>
        <v>100</v>
      </c>
      <c r="V19" s="4077" t="s">
        <v>13</v>
      </c>
      <c r="W19" s="4080">
        <f>J19</f>
        <v>100</v>
      </c>
      <c r="X19" s="963"/>
      <c r="Y19" s="4965"/>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5008"/>
      <c r="Q20" s="3277"/>
      <c r="R20" s="4077"/>
      <c r="S20" s="4080"/>
      <c r="T20" s="4077"/>
      <c r="U20" s="4080"/>
      <c r="V20" s="4077"/>
      <c r="W20" s="4080"/>
      <c r="X20" s="963"/>
      <c r="Y20" s="4965"/>
      <c r="Z20" s="964"/>
      <c r="AA20" s="961">
        <v>1</v>
      </c>
      <c r="AB20" s="961">
        <v>1</v>
      </c>
      <c r="AC20" s="961">
        <v>1</v>
      </c>
    </row>
    <row r="21" spans="1:29" ht="69">
      <c r="A21" s="3342"/>
      <c r="B21" s="3038" t="s">
        <v>1717</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5008"/>
      <c r="Q21" s="3277" t="str">
        <f>B21</f>
        <v>办公集聚程度</v>
      </c>
      <c r="R21" s="4077" t="s">
        <v>13</v>
      </c>
      <c r="S21" s="4080">
        <f>F21</f>
        <v>100</v>
      </c>
      <c r="T21" s="4077" t="s">
        <v>13</v>
      </c>
      <c r="U21" s="4080">
        <f>H21</f>
        <v>100</v>
      </c>
      <c r="V21" s="4077" t="s">
        <v>13</v>
      </c>
      <c r="W21" s="4080">
        <f>J21</f>
        <v>100</v>
      </c>
      <c r="X21" s="963"/>
      <c r="Y21" s="4965"/>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5008"/>
      <c r="Q22" s="3277"/>
      <c r="R22" s="4077"/>
      <c r="S22" s="4080"/>
      <c r="T22" s="4077"/>
      <c r="U22" s="4080"/>
      <c r="V22" s="4077"/>
      <c r="W22" s="4080"/>
      <c r="X22" s="963"/>
      <c r="Y22" s="4965"/>
      <c r="Z22" s="964"/>
      <c r="AA22" s="961">
        <v>1</v>
      </c>
      <c r="AB22" s="961">
        <v>1</v>
      </c>
      <c r="AC22" s="961">
        <v>1</v>
      </c>
    </row>
    <row r="23" spans="1:29" ht="82.8">
      <c r="A23" s="3342"/>
      <c r="B23" s="3038" t="s">
        <v>1739</v>
      </c>
      <c r="C23" s="3062" t="str">
        <f>估价对象房地状况!C18</f>
        <v>估价对象周边道路状况、公共交通通达情况、停车便捷程度，综合评价交通便捷度较好</v>
      </c>
      <c r="D23" s="3136">
        <v>100</v>
      </c>
      <c r="E23" s="3087"/>
      <c r="F23" s="4033">
        <f>SUMIF(95:95,E24,96:96)-SUMIF(95:95,C24,96:96)+100</f>
        <v>100</v>
      </c>
      <c r="G23" s="3087"/>
      <c r="H23" s="4032">
        <f>SUMIF(95:95,G24,96:96)-SUMIF(95:95,C24,96:96)+100</f>
        <v>100</v>
      </c>
      <c r="I23" s="3093"/>
      <c r="J23" s="4032">
        <f>SUMIF(95:95,I24,96:96)-SUMIF(95:95,C24,96:96)+100</f>
        <v>100</v>
      </c>
      <c r="K23" s="3398"/>
      <c r="L23" s="2153"/>
      <c r="M23" s="2147"/>
      <c r="N23" s="2147"/>
      <c r="O23" s="2205"/>
      <c r="P23" s="5008"/>
      <c r="Q23" s="3277" t="str">
        <f>B23</f>
        <v>交通便捷度</v>
      </c>
      <c r="R23" s="4077" t="s">
        <v>13</v>
      </c>
      <c r="S23" s="4080">
        <f>F23</f>
        <v>100</v>
      </c>
      <c r="T23" s="4077" t="s">
        <v>13</v>
      </c>
      <c r="U23" s="4080">
        <f>H23</f>
        <v>100</v>
      </c>
      <c r="V23" s="4077" t="s">
        <v>13</v>
      </c>
      <c r="W23" s="4080">
        <f>J23</f>
        <v>100</v>
      </c>
      <c r="X23" s="963"/>
      <c r="Y23" s="4965"/>
      <c r="Z23" s="964" t="str">
        <f>Q23</f>
        <v>交通便捷度</v>
      </c>
      <c r="AA23" s="961">
        <f t="shared" si="3"/>
        <v>1</v>
      </c>
      <c r="AB23" s="961">
        <f t="shared" si="4"/>
        <v>1</v>
      </c>
      <c r="AC23" s="961">
        <f t="shared" si="5"/>
        <v>1</v>
      </c>
    </row>
    <row r="24" spans="1:29" ht="15">
      <c r="A24" s="3342"/>
      <c r="B24" s="3040"/>
      <c r="C24" s="3061" t="s">
        <v>3610</v>
      </c>
      <c r="D24" s="3136"/>
      <c r="E24" s="3090" t="s">
        <v>3611</v>
      </c>
      <c r="F24" s="4031"/>
      <c r="G24" s="3090" t="s">
        <v>3610</v>
      </c>
      <c r="H24" s="4031"/>
      <c r="I24" s="3096" t="s">
        <v>3610</v>
      </c>
      <c r="J24" s="4031"/>
      <c r="K24" s="3399"/>
      <c r="L24" s="2153"/>
      <c r="M24" s="2147"/>
      <c r="N24" s="2147"/>
      <c r="O24" s="2205"/>
      <c r="P24" s="5008"/>
      <c r="Q24" s="3277"/>
      <c r="R24" s="4077"/>
      <c r="S24" s="4080"/>
      <c r="T24" s="4077"/>
      <c r="U24" s="4080"/>
      <c r="V24" s="4077"/>
      <c r="W24" s="4080"/>
      <c r="X24" s="963"/>
      <c r="Y24" s="4965"/>
      <c r="Z24" s="964"/>
      <c r="AA24" s="961">
        <v>1</v>
      </c>
      <c r="AB24" s="961">
        <v>1</v>
      </c>
      <c r="AC24" s="961">
        <v>1</v>
      </c>
    </row>
    <row r="25" spans="1:29" ht="28.8">
      <c r="A25" s="3346"/>
      <c r="B25" s="3038" t="s">
        <v>1777</v>
      </c>
      <c r="C25" s="3347">
        <f>估价对象房地状况!C19</f>
        <v>0</v>
      </c>
      <c r="D25" s="3137">
        <v>100</v>
      </c>
      <c r="E25" s="3087"/>
      <c r="F25" s="4033">
        <f>SUMIF(97:97,E26,98:98)-SUMIF(97:97,C26,98:98)+100</f>
        <v>100</v>
      </c>
      <c r="G25" s="3093"/>
      <c r="H25" s="4033">
        <f>SUMIF(97:97,G26,98:98)-SUMIF(97:97,C26,98:98)+100</f>
        <v>100</v>
      </c>
      <c r="I25" s="3093"/>
      <c r="J25" s="4033">
        <f>SUMIF(97:97,I26,98:98)-SUMIF(97:97,C26,98:98)+100</f>
        <v>100</v>
      </c>
      <c r="K25" s="3398"/>
      <c r="L25" s="2153"/>
      <c r="M25" s="2147"/>
      <c r="N25" s="2147"/>
      <c r="O25" s="2205"/>
      <c r="P25" s="5008"/>
      <c r="Q25" s="3277" t="str">
        <f t="shared" ref="Q25:Q39" si="8">B25</f>
        <v>区域土地利用方向</v>
      </c>
      <c r="R25" s="4077" t="s">
        <v>13</v>
      </c>
      <c r="S25" s="4080">
        <f>F25</f>
        <v>100</v>
      </c>
      <c r="T25" s="4077" t="s">
        <v>13</v>
      </c>
      <c r="U25" s="4080">
        <f>H25</f>
        <v>100</v>
      </c>
      <c r="V25" s="4077" t="s">
        <v>13</v>
      </c>
      <c r="W25" s="4080">
        <f>J25</f>
        <v>100</v>
      </c>
      <c r="X25" s="963"/>
      <c r="Y25" s="4965"/>
      <c r="Z25" s="964" t="str">
        <f>Q25</f>
        <v>区域土地利用方向</v>
      </c>
      <c r="AA25" s="961">
        <f t="shared" si="3"/>
        <v>1</v>
      </c>
      <c r="AB25" s="961">
        <f t="shared" si="4"/>
        <v>1</v>
      </c>
      <c r="AC25" s="961">
        <f t="shared" si="5"/>
        <v>1</v>
      </c>
    </row>
    <row r="26" spans="1:29" ht="15">
      <c r="A26" s="3346"/>
      <c r="B26" s="3039"/>
      <c r="C26" s="3078"/>
      <c r="D26" s="3135"/>
      <c r="E26" s="3090"/>
      <c r="F26" s="4031"/>
      <c r="G26" s="3096"/>
      <c r="H26" s="4031"/>
      <c r="I26" s="3096"/>
      <c r="J26" s="4031"/>
      <c r="K26" s="3400"/>
      <c r="L26" s="2153"/>
      <c r="M26" s="2147"/>
      <c r="N26" s="2147"/>
      <c r="O26" s="2205"/>
      <c r="P26" s="5008"/>
      <c r="Q26" s="3277"/>
      <c r="R26" s="4077"/>
      <c r="S26" s="4080"/>
      <c r="T26" s="4077"/>
      <c r="U26" s="4080"/>
      <c r="V26" s="4077"/>
      <c r="W26" s="4080"/>
      <c r="X26" s="963"/>
      <c r="Y26" s="4965"/>
      <c r="Z26" s="964"/>
      <c r="AA26" s="961"/>
      <c r="AB26" s="961"/>
      <c r="AC26" s="961"/>
    </row>
    <row r="27" spans="1:29" ht="55.2">
      <c r="A27" s="3346"/>
      <c r="B27" s="3040" t="s">
        <v>1778</v>
      </c>
      <c r="C27" s="3077" t="str">
        <f>估价对象房地状况!C20</f>
        <v>区域自然环境：；人文环境；综合评价环境状况一般</v>
      </c>
      <c r="D27" s="3136">
        <v>100</v>
      </c>
      <c r="E27" s="3087"/>
      <c r="F27" s="4032">
        <f>SUMIF(99:99,E28,100:100)-SUMIF(99:99,C28,100:100)+100</f>
        <v>100</v>
      </c>
      <c r="G27" s="3087"/>
      <c r="H27" s="4032">
        <f>SUMIF(99:99,G28,100:100)-SUMIF(99:99,C28,100:100)+100</f>
        <v>100</v>
      </c>
      <c r="I27" s="3093"/>
      <c r="J27" s="4032">
        <f>SUMIF(99:99,I28,100:100)-SUMIF(99:99,C28,100:100)+100</f>
        <v>100</v>
      </c>
      <c r="K27" s="3398"/>
      <c r="L27" s="2153"/>
      <c r="M27" s="2147"/>
      <c r="N27" s="2147"/>
      <c r="O27" s="2205"/>
      <c r="P27" s="5008"/>
      <c r="Q27" s="3277" t="str">
        <f t="shared" si="8"/>
        <v>自然及人文环境状况</v>
      </c>
      <c r="R27" s="4077" t="s">
        <v>13</v>
      </c>
      <c r="S27" s="4080">
        <f>F27</f>
        <v>100</v>
      </c>
      <c r="T27" s="4077" t="s">
        <v>13</v>
      </c>
      <c r="U27" s="4080">
        <f>H27</f>
        <v>100</v>
      </c>
      <c r="V27" s="4077" t="s">
        <v>13</v>
      </c>
      <c r="W27" s="4080">
        <f>J27</f>
        <v>100</v>
      </c>
      <c r="X27" s="963"/>
      <c r="Y27" s="4965"/>
      <c r="Z27" s="964" t="str">
        <f>Q27</f>
        <v>自然及人文环境状况</v>
      </c>
      <c r="AA27" s="961">
        <f t="shared" si="3"/>
        <v>1</v>
      </c>
      <c r="AB27" s="961">
        <f t="shared" si="4"/>
        <v>1</v>
      </c>
      <c r="AC27" s="961">
        <f t="shared" si="5"/>
        <v>1</v>
      </c>
    </row>
    <row r="28" spans="1:29" ht="15">
      <c r="A28" s="3346"/>
      <c r="B28" s="3039"/>
      <c r="C28" s="3061"/>
      <c r="D28" s="3135"/>
      <c r="E28" s="3113"/>
      <c r="F28" s="4031"/>
      <c r="G28" s="3113"/>
      <c r="H28" s="4031"/>
      <c r="I28" s="3061"/>
      <c r="J28" s="4031"/>
      <c r="K28" s="3399"/>
      <c r="L28" s="2153"/>
      <c r="M28" s="2147"/>
      <c r="N28" s="2147"/>
      <c r="O28" s="2205"/>
      <c r="P28" s="5008"/>
      <c r="Q28" s="3277"/>
      <c r="R28" s="4077"/>
      <c r="S28" s="4080"/>
      <c r="T28" s="4077"/>
      <c r="U28" s="4080"/>
      <c r="V28" s="4077"/>
      <c r="W28" s="4080"/>
      <c r="X28" s="963"/>
      <c r="Y28" s="4965"/>
      <c r="Z28" s="964"/>
      <c r="AA28" s="961">
        <v>1</v>
      </c>
      <c r="AB28" s="961">
        <v>1</v>
      </c>
      <c r="AC28" s="961">
        <v>1</v>
      </c>
    </row>
    <row r="29" spans="1:29" s="49" customFormat="1" ht="41.4">
      <c r="A29" s="3348"/>
      <c r="B29" s="3040" t="s">
        <v>1684</v>
      </c>
      <c r="C29" s="3062" t="str">
        <f>估价对象房地状况!C21</f>
        <v>估价对象所在区域公共配套设施齐备情况</v>
      </c>
      <c r="D29" s="3136">
        <v>100</v>
      </c>
      <c r="E29" s="3087"/>
      <c r="F29" s="4032">
        <f>SUMIF(101:101,E30,102:102)-SUMIF(101:101,C30,102:102)+100</f>
        <v>100</v>
      </c>
      <c r="G29" s="3087"/>
      <c r="H29" s="4032">
        <f>SUMIF(101:101,G30,102:102)-SUMIF(101:101,C30,102:102)+100</f>
        <v>100</v>
      </c>
      <c r="I29" s="3093"/>
      <c r="J29" s="4032">
        <f>SUMIF(101:101,I30,102:102)-SUMIF(101:101,C30,102:102)+100</f>
        <v>100</v>
      </c>
      <c r="K29" s="3398"/>
      <c r="L29" s="2148"/>
      <c r="M29" s="2149"/>
      <c r="N29" s="2149"/>
      <c r="O29" s="2203"/>
      <c r="P29" s="5008"/>
      <c r="Q29" s="3274" t="str">
        <f t="shared" si="8"/>
        <v>公共配套设施</v>
      </c>
      <c r="R29" s="4076" t="s">
        <v>13</v>
      </c>
      <c r="S29" s="4079">
        <f>F29</f>
        <v>100</v>
      </c>
      <c r="T29" s="4076" t="s">
        <v>13</v>
      </c>
      <c r="U29" s="4079">
        <f>H29</f>
        <v>100</v>
      </c>
      <c r="V29" s="4076" t="s">
        <v>13</v>
      </c>
      <c r="W29" s="4079">
        <f>J29</f>
        <v>100</v>
      </c>
      <c r="X29" s="504"/>
      <c r="Y29" s="4965"/>
      <c r="Z29" s="28" t="str">
        <f>Q29</f>
        <v>公共配套设施</v>
      </c>
      <c r="AA29" s="961">
        <f>D29/F29</f>
        <v>1</v>
      </c>
      <c r="AB29" s="961">
        <f>D29/H29</f>
        <v>1</v>
      </c>
      <c r="AC29" s="961">
        <f>D29/J29</f>
        <v>1</v>
      </c>
    </row>
    <row r="30" spans="1:29" s="49" customFormat="1" ht="15">
      <c r="A30" s="3348"/>
      <c r="B30" s="3039"/>
      <c r="C30" s="3349" t="s">
        <v>3610</v>
      </c>
      <c r="D30" s="3135"/>
      <c r="E30" s="3113" t="s">
        <v>3611</v>
      </c>
      <c r="F30" s="4031"/>
      <c r="G30" s="3113" t="s">
        <v>3610</v>
      </c>
      <c r="H30" s="4031"/>
      <c r="I30" s="3061" t="s">
        <v>3610</v>
      </c>
      <c r="J30" s="4031"/>
      <c r="K30" s="3399"/>
      <c r="L30" s="2148"/>
      <c r="M30" s="2149"/>
      <c r="N30" s="2149"/>
      <c r="O30" s="2203"/>
      <c r="P30" s="5008"/>
      <c r="Q30" s="3274"/>
      <c r="R30" s="4076"/>
      <c r="S30" s="4079"/>
      <c r="T30" s="4076"/>
      <c r="U30" s="4079"/>
      <c r="V30" s="4076"/>
      <c r="W30" s="4079"/>
      <c r="X30" s="504"/>
      <c r="Y30" s="4965"/>
      <c r="Z30" s="28"/>
      <c r="AA30" s="961">
        <v>1</v>
      </c>
      <c r="AB30" s="961">
        <v>1</v>
      </c>
      <c r="AC30" s="961">
        <v>1</v>
      </c>
    </row>
    <row r="31" spans="1:29" s="49" customFormat="1" ht="27.6">
      <c r="A31" s="3348"/>
      <c r="B31" s="3040" t="s">
        <v>1685</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c r="L31" s="2148"/>
      <c r="M31" s="2149"/>
      <c r="N31" s="2149"/>
      <c r="O31" s="2203"/>
      <c r="P31" s="5008"/>
      <c r="Q31" s="3274" t="str">
        <f t="shared" ref="Q31" si="9">B31</f>
        <v>基础设施水平</v>
      </c>
      <c r="R31" s="4076" t="s">
        <v>13</v>
      </c>
      <c r="S31" s="4079">
        <f>F31</f>
        <v>100</v>
      </c>
      <c r="T31" s="4076" t="s">
        <v>13</v>
      </c>
      <c r="U31" s="4079">
        <f>H31</f>
        <v>100</v>
      </c>
      <c r="V31" s="4076" t="s">
        <v>13</v>
      </c>
      <c r="W31" s="4079">
        <f>J31</f>
        <v>100</v>
      </c>
      <c r="X31" s="504"/>
      <c r="Y31" s="4965"/>
      <c r="Z31" s="28" t="str">
        <f>Q31</f>
        <v>基础设施水平</v>
      </c>
      <c r="AA31" s="961">
        <f>D31/F31</f>
        <v>1</v>
      </c>
      <c r="AB31" s="961">
        <f>D31/H31</f>
        <v>1</v>
      </c>
      <c r="AC31" s="961">
        <f>D31/J31</f>
        <v>1</v>
      </c>
    </row>
    <row r="32" spans="1:29" s="49" customFormat="1" ht="15">
      <c r="A32" s="3348"/>
      <c r="B32" s="3039"/>
      <c r="C32" s="3349"/>
      <c r="D32" s="3135"/>
      <c r="E32" s="3365"/>
      <c r="F32" s="4031"/>
      <c r="G32" s="3365"/>
      <c r="H32" s="4031"/>
      <c r="I32" s="3365"/>
      <c r="J32" s="4031"/>
      <c r="K32" s="3399"/>
      <c r="L32" s="2148"/>
      <c r="M32" s="2149"/>
      <c r="N32" s="2149"/>
      <c r="O32" s="2203"/>
      <c r="P32" s="5008"/>
      <c r="Q32" s="3274"/>
      <c r="R32" s="4076"/>
      <c r="S32" s="4079"/>
      <c r="T32" s="4076"/>
      <c r="U32" s="4079"/>
      <c r="V32" s="4076"/>
      <c r="W32" s="4079"/>
      <c r="X32" s="504"/>
      <c r="Y32" s="4965"/>
      <c r="Z32" s="28"/>
      <c r="AA32" s="961">
        <v>1</v>
      </c>
      <c r="AB32" s="961">
        <v>1</v>
      </c>
      <c r="AC32" s="961">
        <v>1</v>
      </c>
    </row>
    <row r="33" spans="1:29" ht="15">
      <c r="A33" s="3342"/>
      <c r="B33" s="3039" t="s">
        <v>1686</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5008"/>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965"/>
      <c r="Z33" s="964" t="str">
        <f t="shared" ref="Z33:Z47" si="13">Q33</f>
        <v>临街状况</v>
      </c>
      <c r="AA33" s="961">
        <f t="shared" si="3"/>
        <v>1</v>
      </c>
      <c r="AB33" s="961">
        <f t="shared" si="4"/>
        <v>1</v>
      </c>
      <c r="AC33" s="961">
        <f t="shared" si="5"/>
        <v>1</v>
      </c>
    </row>
    <row r="34" spans="1:29" ht="28.8">
      <c r="A34" s="3342"/>
      <c r="B34" s="3040" t="s">
        <v>1721</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5008"/>
      <c r="Q34" s="3277" t="str">
        <f t="shared" si="8"/>
        <v>毗邻道路的类型与等级</v>
      </c>
      <c r="R34" s="4077" t="s">
        <v>13</v>
      </c>
      <c r="S34" s="4080">
        <f t="shared" si="10"/>
        <v>100</v>
      </c>
      <c r="T34" s="4077" t="s">
        <v>13</v>
      </c>
      <c r="U34" s="4080">
        <f t="shared" si="11"/>
        <v>100</v>
      </c>
      <c r="V34" s="4077" t="s">
        <v>13</v>
      </c>
      <c r="W34" s="4080">
        <f t="shared" si="12"/>
        <v>100</v>
      </c>
      <c r="X34" s="963"/>
      <c r="Y34" s="4965"/>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5008"/>
      <c r="Q35" s="3277"/>
      <c r="R35" s="4077"/>
      <c r="S35" s="4080"/>
      <c r="T35" s="4077"/>
      <c r="U35" s="4080"/>
      <c r="V35" s="4077"/>
      <c r="W35" s="4080"/>
      <c r="X35" s="963"/>
      <c r="Y35" s="4965"/>
      <c r="Z35" s="964"/>
      <c r="AA35" s="961">
        <v>1</v>
      </c>
      <c r="AB35" s="961">
        <v>1</v>
      </c>
      <c r="AC35" s="961">
        <v>1</v>
      </c>
    </row>
    <row r="36" spans="1:29" ht="15">
      <c r="A36" s="3342"/>
      <c r="B36" s="3276" t="s">
        <v>1779</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5008"/>
      <c r="Q36" s="3277" t="str">
        <f t="shared" si="8"/>
        <v>土地级别</v>
      </c>
      <c r="R36" s="4077" t="s">
        <v>13</v>
      </c>
      <c r="S36" s="4080">
        <f t="shared" si="10"/>
        <v>100</v>
      </c>
      <c r="T36" s="4077" t="s">
        <v>13</v>
      </c>
      <c r="U36" s="4080">
        <f t="shared" si="11"/>
        <v>100</v>
      </c>
      <c r="V36" s="4077" t="s">
        <v>13</v>
      </c>
      <c r="W36" s="4080">
        <f t="shared" si="12"/>
        <v>100</v>
      </c>
      <c r="X36" s="963"/>
      <c r="Y36" s="4965"/>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5008"/>
      <c r="Q37" s="3277">
        <f t="shared" si="8"/>
        <v>111</v>
      </c>
      <c r="R37" s="4077" t="s">
        <v>13</v>
      </c>
      <c r="S37" s="4080">
        <f t="shared" si="10"/>
        <v>100</v>
      </c>
      <c r="T37" s="4077" t="s">
        <v>13</v>
      </c>
      <c r="U37" s="4080">
        <f t="shared" si="11"/>
        <v>100</v>
      </c>
      <c r="V37" s="4077" t="s">
        <v>13</v>
      </c>
      <c r="W37" s="4080">
        <f t="shared" si="12"/>
        <v>100</v>
      </c>
      <c r="X37" s="963"/>
      <c r="Y37" s="4965"/>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5009" t="s">
        <v>1602</v>
      </c>
      <c r="Q38" s="3277">
        <f t="shared" si="8"/>
        <v>111</v>
      </c>
      <c r="R38" s="4077" t="s">
        <v>13</v>
      </c>
      <c r="S38" s="4080">
        <f t="shared" si="10"/>
        <v>100</v>
      </c>
      <c r="T38" s="4077" t="s">
        <v>13</v>
      </c>
      <c r="U38" s="4080">
        <f t="shared" si="11"/>
        <v>100</v>
      </c>
      <c r="V38" s="4077" t="s">
        <v>13</v>
      </c>
      <c r="W38" s="4080">
        <f t="shared" si="12"/>
        <v>100</v>
      </c>
      <c r="X38" s="963"/>
      <c r="Y38" s="4969" t="s">
        <v>1602</v>
      </c>
      <c r="Z38" s="964">
        <f t="shared" si="13"/>
        <v>111</v>
      </c>
      <c r="AA38" s="961">
        <f t="shared" si="3"/>
        <v>1</v>
      </c>
      <c r="AB38" s="961">
        <f t="shared" si="4"/>
        <v>1</v>
      </c>
      <c r="AC38" s="961">
        <f t="shared" si="5"/>
        <v>1</v>
      </c>
    </row>
    <row r="39" spans="1:29" s="285" customFormat="1" ht="15.6"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5010"/>
      <c r="Q39" s="3277">
        <f t="shared" si="8"/>
        <v>111</v>
      </c>
      <c r="R39" s="4078" t="s">
        <v>13</v>
      </c>
      <c r="S39" s="4081">
        <f t="shared" si="10"/>
        <v>100</v>
      </c>
      <c r="T39" s="4078" t="s">
        <v>13</v>
      </c>
      <c r="U39" s="4081">
        <f t="shared" si="11"/>
        <v>100</v>
      </c>
      <c r="V39" s="4078" t="s">
        <v>13</v>
      </c>
      <c r="W39" s="4081">
        <f t="shared" si="12"/>
        <v>100</v>
      </c>
      <c r="X39" s="507"/>
      <c r="Y39" s="4969"/>
      <c r="Z39" s="508">
        <f t="shared" si="13"/>
        <v>111</v>
      </c>
      <c r="AA39" s="961">
        <f t="shared" si="3"/>
        <v>1</v>
      </c>
      <c r="AB39" s="961">
        <f t="shared" si="4"/>
        <v>1</v>
      </c>
      <c r="AC39" s="961">
        <f t="shared" si="5"/>
        <v>1</v>
      </c>
    </row>
    <row r="40" spans="1:29" ht="15.6">
      <c r="A40" s="3356" t="s">
        <v>1600</v>
      </c>
      <c r="B40" s="3039" t="s">
        <v>1780</v>
      </c>
      <c r="C40" s="3357"/>
      <c r="D40" s="3139">
        <v>100</v>
      </c>
      <c r="E40" s="3357"/>
      <c r="F40" s="4041" t="e">
        <f>LOOKUP(E40,118:118,119:119)-LOOKUP(C40,118:118,119:119)+100</f>
        <v>#N/A</v>
      </c>
      <c r="G40" s="3357"/>
      <c r="H40" s="4041" t="e">
        <f>LOOKUP(G40,118:118,119:119)-LOOKUP(C40,118:118,119:119)+100</f>
        <v>#N/A</v>
      </c>
      <c r="I40" s="3370"/>
      <c r="J40" s="4041" t="e">
        <f>LOOKUP(I40,118:118,119:119)-LOOKUP(C40,118:118,119:119)+100</f>
        <v>#N/A</v>
      </c>
      <c r="K40" s="3100"/>
      <c r="L40" s="2153"/>
      <c r="M40" s="2147"/>
      <c r="N40" s="2147"/>
      <c r="O40" s="2205"/>
      <c r="P40" s="5010"/>
      <c r="Q40" s="3277" t="str">
        <f>B40</f>
        <v>宗地面积</v>
      </c>
      <c r="R40" s="4077" t="s">
        <v>13</v>
      </c>
      <c r="S40" s="4080" t="e">
        <f t="shared" si="10"/>
        <v>#N/A</v>
      </c>
      <c r="T40" s="4077" t="s">
        <v>13</v>
      </c>
      <c r="U40" s="4080" t="e">
        <f t="shared" si="11"/>
        <v>#N/A</v>
      </c>
      <c r="V40" s="4077" t="s">
        <v>13</v>
      </c>
      <c r="W40" s="4080" t="e">
        <f t="shared" si="12"/>
        <v>#N/A</v>
      </c>
      <c r="X40" s="963"/>
      <c r="Y40" s="4969"/>
      <c r="Z40" s="964" t="str">
        <f t="shared" si="13"/>
        <v>宗地面积</v>
      </c>
      <c r="AA40" s="961" t="e">
        <f t="shared" si="3"/>
        <v>#N/A</v>
      </c>
      <c r="AB40" s="961" t="e">
        <f t="shared" si="4"/>
        <v>#N/A</v>
      </c>
      <c r="AC40" s="961" t="e">
        <f t="shared" si="5"/>
        <v>#N/A</v>
      </c>
    </row>
    <row r="41" spans="1:29" ht="15">
      <c r="A41" s="3356"/>
      <c r="B41" s="3276" t="s">
        <v>1781</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5010"/>
      <c r="Q41" s="3277" t="str">
        <f t="shared" ref="Q41:Q47" si="14">B41</f>
        <v>宗地形状</v>
      </c>
      <c r="R41" s="4077" t="s">
        <v>13</v>
      </c>
      <c r="S41" s="4080">
        <f t="shared" si="10"/>
        <v>100</v>
      </c>
      <c r="T41" s="4077" t="s">
        <v>13</v>
      </c>
      <c r="U41" s="4080">
        <f t="shared" si="11"/>
        <v>100</v>
      </c>
      <c r="V41" s="4077" t="s">
        <v>13</v>
      </c>
      <c r="W41" s="4080">
        <f t="shared" si="12"/>
        <v>100</v>
      </c>
      <c r="X41" s="963"/>
      <c r="Y41" s="4969"/>
      <c r="Z41" s="964" t="str">
        <f t="shared" si="13"/>
        <v>宗地形状</v>
      </c>
      <c r="AA41" s="961">
        <f t="shared" si="3"/>
        <v>1</v>
      </c>
      <c r="AB41" s="961">
        <f t="shared" si="4"/>
        <v>1</v>
      </c>
      <c r="AC41" s="961">
        <f t="shared" si="5"/>
        <v>1</v>
      </c>
    </row>
    <row r="42" spans="1:29" ht="15">
      <c r="A42" s="3356"/>
      <c r="B42" s="3276" t="s">
        <v>1782</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5010"/>
      <c r="Q42" s="3277" t="str">
        <f t="shared" si="14"/>
        <v>临街宽度及深度</v>
      </c>
      <c r="R42" s="4077" t="s">
        <v>13</v>
      </c>
      <c r="S42" s="4080">
        <f t="shared" si="10"/>
        <v>100</v>
      </c>
      <c r="T42" s="4077" t="s">
        <v>13</v>
      </c>
      <c r="U42" s="4080">
        <f t="shared" si="11"/>
        <v>100</v>
      </c>
      <c r="V42" s="4077" t="s">
        <v>13</v>
      </c>
      <c r="W42" s="4080">
        <f t="shared" si="12"/>
        <v>100</v>
      </c>
      <c r="X42" s="963"/>
      <c r="Y42" s="4969"/>
      <c r="Z42" s="964" t="str">
        <f t="shared" si="13"/>
        <v>临街宽度及深度</v>
      </c>
      <c r="AA42" s="961">
        <f t="shared" si="3"/>
        <v>1</v>
      </c>
      <c r="AB42" s="961">
        <f t="shared" si="4"/>
        <v>1</v>
      </c>
      <c r="AC42" s="961">
        <f t="shared" si="5"/>
        <v>1</v>
      </c>
    </row>
    <row r="43" spans="1:29" s="49" customFormat="1" ht="15">
      <c r="A43" s="3358"/>
      <c r="B43" s="3276" t="s">
        <v>1783</v>
      </c>
      <c r="C43" s="3359"/>
      <c r="D43" s="3130">
        <v>100</v>
      </c>
      <c r="E43" s="3359"/>
      <c r="F43" s="4034">
        <f>SUMIF(124:124,E43,125:125)-SUMIF(124:124,C43,125:125)+100</f>
        <v>100</v>
      </c>
      <c r="G43" s="3359"/>
      <c r="H43" s="4034">
        <f>SUMIF(124:124,G43,125:125)-SUMIF(124:124,C43,125:125)+100</f>
        <v>100</v>
      </c>
      <c r="I43" s="3359"/>
      <c r="J43" s="4034">
        <f>SUMIF(124:124,I43,125:125)-SUMIF(124:124,C43,125:125)+100</f>
        <v>100</v>
      </c>
      <c r="K43" s="3099"/>
      <c r="L43" s="2148"/>
      <c r="M43" s="2149"/>
      <c r="N43" s="2149"/>
      <c r="O43" s="2203"/>
      <c r="P43" s="5010"/>
      <c r="Q43" s="3277" t="str">
        <f t="shared" si="14"/>
        <v>宗地开发程度</v>
      </c>
      <c r="R43" s="4076" t="s">
        <v>13</v>
      </c>
      <c r="S43" s="4079">
        <f t="shared" si="10"/>
        <v>100</v>
      </c>
      <c r="T43" s="4076" t="s">
        <v>13</v>
      </c>
      <c r="U43" s="4079">
        <f t="shared" si="11"/>
        <v>100</v>
      </c>
      <c r="V43" s="4076" t="s">
        <v>13</v>
      </c>
      <c r="W43" s="4079">
        <f t="shared" si="12"/>
        <v>100</v>
      </c>
      <c r="X43" s="504"/>
      <c r="Y43" s="4969"/>
      <c r="Z43" s="28" t="str">
        <f t="shared" si="13"/>
        <v>宗地开发程度</v>
      </c>
      <c r="AA43" s="505">
        <f t="shared" si="3"/>
        <v>1</v>
      </c>
      <c r="AB43" s="505">
        <f t="shared" si="4"/>
        <v>1</v>
      </c>
      <c r="AC43" s="505">
        <f t="shared" si="5"/>
        <v>1</v>
      </c>
    </row>
    <row r="44" spans="1:29" ht="15">
      <c r="A44" s="3356"/>
      <c r="B44" s="3276" t="s">
        <v>1784</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5010" t="s">
        <v>1602</v>
      </c>
      <c r="Q44" s="3277" t="str">
        <f t="shared" si="14"/>
        <v>工程地质条件</v>
      </c>
      <c r="R44" s="4077" t="s">
        <v>13</v>
      </c>
      <c r="S44" s="4080">
        <f t="shared" si="10"/>
        <v>100</v>
      </c>
      <c r="T44" s="4077" t="s">
        <v>13</v>
      </c>
      <c r="U44" s="4080">
        <f t="shared" si="11"/>
        <v>100</v>
      </c>
      <c r="V44" s="4077" t="s">
        <v>13</v>
      </c>
      <c r="W44" s="4080">
        <f t="shared" si="12"/>
        <v>100</v>
      </c>
      <c r="X44" s="963"/>
      <c r="Y44" s="4969" t="s">
        <v>1602</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5010"/>
      <c r="Q45" s="3277">
        <f t="shared" si="14"/>
        <v>111</v>
      </c>
      <c r="R45" s="4077" t="s">
        <v>13</v>
      </c>
      <c r="S45" s="4080">
        <f t="shared" si="10"/>
        <v>100</v>
      </c>
      <c r="T45" s="4077" t="s">
        <v>13</v>
      </c>
      <c r="U45" s="4080">
        <f t="shared" si="11"/>
        <v>100</v>
      </c>
      <c r="V45" s="4077" t="s">
        <v>13</v>
      </c>
      <c r="W45" s="4080">
        <f t="shared" si="12"/>
        <v>100</v>
      </c>
      <c r="X45" s="963"/>
      <c r="Y45" s="4969"/>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5010"/>
      <c r="Q46" s="3277">
        <f t="shared" si="14"/>
        <v>111</v>
      </c>
      <c r="R46" s="4077" t="s">
        <v>13</v>
      </c>
      <c r="S46" s="4080">
        <f t="shared" si="10"/>
        <v>100</v>
      </c>
      <c r="T46" s="4077" t="s">
        <v>13</v>
      </c>
      <c r="U46" s="4080">
        <f t="shared" si="11"/>
        <v>100</v>
      </c>
      <c r="V46" s="4077" t="s">
        <v>13</v>
      </c>
      <c r="W46" s="4080">
        <f t="shared" si="12"/>
        <v>100</v>
      </c>
      <c r="X46" s="963"/>
      <c r="Y46" s="4969"/>
      <c r="Z46" s="964">
        <f t="shared" si="13"/>
        <v>111</v>
      </c>
      <c r="AA46" s="961">
        <f t="shared" si="3"/>
        <v>1</v>
      </c>
      <c r="AB46" s="961">
        <f t="shared" si="4"/>
        <v>1</v>
      </c>
      <c r="AC46" s="961">
        <f t="shared" si="5"/>
        <v>1</v>
      </c>
    </row>
    <row r="47" spans="1:29" s="285" customFormat="1" ht="15.6"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5010"/>
      <c r="Q47" s="3277">
        <f t="shared" si="14"/>
        <v>111</v>
      </c>
      <c r="R47" s="4078" t="s">
        <v>13</v>
      </c>
      <c r="S47" s="4081">
        <f t="shared" si="10"/>
        <v>100</v>
      </c>
      <c r="T47" s="4078" t="s">
        <v>13</v>
      </c>
      <c r="U47" s="4081">
        <f t="shared" si="11"/>
        <v>100</v>
      </c>
      <c r="V47" s="4078" t="s">
        <v>13</v>
      </c>
      <c r="W47" s="4081">
        <f t="shared" si="12"/>
        <v>100</v>
      </c>
      <c r="X47" s="507"/>
      <c r="Y47" s="4969"/>
      <c r="Z47" s="508">
        <f t="shared" si="13"/>
        <v>111</v>
      </c>
      <c r="AA47" s="961">
        <f t="shared" si="3"/>
        <v>1</v>
      </c>
      <c r="AB47" s="961">
        <f t="shared" si="4"/>
        <v>1</v>
      </c>
      <c r="AC47" s="961">
        <f t="shared" si="5"/>
        <v>1</v>
      </c>
    </row>
    <row r="48" spans="1:29" ht="14.4">
      <c r="A48" s="292" t="s">
        <v>1750</v>
      </c>
      <c r="B48" s="1536" t="s">
        <v>1785</v>
      </c>
      <c r="C48" s="455" t="s">
        <v>0</v>
      </c>
      <c r="D48" s="294"/>
      <c r="E48" s="3458"/>
      <c r="F48" s="3402"/>
      <c r="G48" s="3459"/>
      <c r="H48" s="3403"/>
      <c r="I48" s="3458"/>
      <c r="J48" s="3403"/>
      <c r="K48" s="3104"/>
      <c r="L48" s="2155"/>
      <c r="M48" s="2156"/>
      <c r="N48" s="2147"/>
      <c r="O48" s="2156"/>
      <c r="P48" s="4971" t="str">
        <f>A48</f>
        <v>成交单价</v>
      </c>
      <c r="Q48" s="4971"/>
      <c r="R48" s="4972">
        <f>E48</f>
        <v>0</v>
      </c>
      <c r="S48" s="4972"/>
      <c r="T48" s="4972">
        <f>G48</f>
        <v>0</v>
      </c>
      <c r="U48" s="4972"/>
      <c r="V48" s="4972">
        <f>I48</f>
        <v>0</v>
      </c>
      <c r="W48" s="4972"/>
      <c r="X48" s="493"/>
      <c r="Y48" s="509"/>
      <c r="Z48" s="493"/>
      <c r="AA48" s="493"/>
      <c r="AB48" s="493"/>
      <c r="AC48" s="493"/>
    </row>
    <row r="49" spans="1:29" ht="15" thickBot="1">
      <c r="A49" s="295" t="s">
        <v>1699</v>
      </c>
      <c r="B49" s="456"/>
      <c r="C49" s="4053" t="e">
        <f>R50</f>
        <v>#DIV/0!</v>
      </c>
      <c r="D49" s="4199" t="s">
        <v>2041</v>
      </c>
      <c r="E49" s="4053" t="e">
        <f>R49</f>
        <v>#DIV/0!</v>
      </c>
      <c r="F49" s="3042"/>
      <c r="G49" s="4042" t="e">
        <f>T49</f>
        <v>#DIV/0!</v>
      </c>
      <c r="H49" s="3042"/>
      <c r="I49" s="4053" t="e">
        <f>V49</f>
        <v>#DIV/0!</v>
      </c>
      <c r="J49" s="3042"/>
      <c r="K49" s="3097">
        <f>F49+H49+J49</f>
        <v>0</v>
      </c>
      <c r="L49" s="2155"/>
      <c r="M49" s="2156"/>
      <c r="N49" s="2156"/>
      <c r="O49" s="2156"/>
      <c r="P49" s="4971" t="str">
        <f>A49</f>
        <v>比较价值（元/平方米）</v>
      </c>
      <c r="Q49" s="4971"/>
      <c r="R49" s="4972" t="e">
        <f>ROUND(PRODUCT(R48,AA9:AA47),0)</f>
        <v>#DIV/0!</v>
      </c>
      <c r="S49" s="4972"/>
      <c r="T49" s="4972" t="e">
        <f>ROUND(PRODUCT(T48,AB9:AB47),0)</f>
        <v>#DIV/0!</v>
      </c>
      <c r="U49" s="4972"/>
      <c r="V49" s="4972" t="e">
        <f>ROUND(PRODUCT(V48,AC9:AC47),0)</f>
        <v>#DIV/0!</v>
      </c>
      <c r="W49" s="4972"/>
      <c r="X49" s="493"/>
      <c r="Y49" s="493"/>
      <c r="Z49" s="493"/>
      <c r="AA49" s="493"/>
      <c r="AB49" s="493"/>
      <c r="AC49" s="493"/>
    </row>
    <row r="50" spans="1:29" ht="15" thickBot="1">
      <c r="A50" s="297" t="s">
        <v>1786</v>
      </c>
      <c r="B50" s="298"/>
      <c r="C50" s="4054" t="e">
        <f>R50</f>
        <v>#DIV/0!</v>
      </c>
      <c r="D50" s="299"/>
      <c r="E50" s="299"/>
      <c r="F50" s="299"/>
      <c r="G50" s="299"/>
      <c r="H50" s="299"/>
      <c r="I50" s="299"/>
      <c r="J50" s="299"/>
      <c r="K50" s="3375"/>
      <c r="L50" s="2155"/>
      <c r="M50" s="2156"/>
      <c r="N50" s="2156"/>
      <c r="O50" s="2156"/>
      <c r="P50" s="4973" t="str">
        <f>A50</f>
        <v>估价对象XX用房的比较价值（楼面单价，元/平方米）</v>
      </c>
      <c r="Q50" s="4974"/>
      <c r="R50" s="4975" t="e">
        <f>ROUND(IF(D49="简单平均",AVERAGE(R49:W49),R49*F49+T49*H49+V49*J49),0)</f>
        <v>#DIV/0!</v>
      </c>
      <c r="S50" s="4975"/>
      <c r="T50" s="4975"/>
      <c r="U50" s="4975"/>
      <c r="V50" s="4975"/>
      <c r="W50" s="4975"/>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1701</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1702</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1703</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992" t="s">
        <v>1793</v>
      </c>
      <c r="H57" s="5024"/>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t="e">
        <f>C50</f>
        <v>#DIV/0!</v>
      </c>
      <c r="C58" s="3073">
        <v>1</v>
      </c>
      <c r="D58" s="3314">
        <v>1</v>
      </c>
      <c r="E58" s="3313">
        <f>'数据-汇总表'!E8+'数据-汇总表'!E9</f>
        <v>262.77</v>
      </c>
      <c r="F58" s="3335" t="e">
        <f t="shared" ref="F58:F66" si="15">ROUND(B58*E58/10000,0)</f>
        <v>#DIV/0!</v>
      </c>
      <c r="G58" s="5025"/>
      <c r="H58" s="5012"/>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t="e">
        <f>ROUND($C$50*C59*D59,0)</f>
        <v>#DIV/0!</v>
      </c>
      <c r="C59" s="3312">
        <f t="shared" ref="C59:C66" si="16">IF($C$57="北京市系数",I59,J59)</f>
        <v>0</v>
      </c>
      <c r="D59" s="3315">
        <v>0.25</v>
      </c>
      <c r="E59" s="3317"/>
      <c r="F59" s="3335" t="e">
        <f t="shared" si="15"/>
        <v>#DIV/0!</v>
      </c>
      <c r="G59" s="2371" t="s">
        <v>1798</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t="e">
        <f t="shared" si="17"/>
        <v>#DIV/0!</v>
      </c>
      <c r="C62" s="3312">
        <f t="shared" si="16"/>
        <v>0</v>
      </c>
      <c r="D62" s="3315">
        <v>0.25</v>
      </c>
      <c r="E62" s="3318">
        <f>'数据-汇总表'!E11</f>
        <v>0</v>
      </c>
      <c r="F62" s="3335" t="e">
        <f t="shared" si="15"/>
        <v>#DIV/0!</v>
      </c>
      <c r="G62" s="3327" t="s">
        <v>1802</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t="e">
        <f t="shared" si="17"/>
        <v>#DIV/0!</v>
      </c>
      <c r="C63" s="3312">
        <f t="shared" si="16"/>
        <v>0</v>
      </c>
      <c r="D63" s="3315">
        <v>0.25</v>
      </c>
      <c r="E63" s="3318">
        <f>'数据-汇总表'!E12</f>
        <v>0</v>
      </c>
      <c r="F63" s="3335" t="e">
        <f t="shared" si="15"/>
        <v>#DIV/0!</v>
      </c>
      <c r="G63" s="3328" t="s">
        <v>1804</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t="e">
        <f t="shared" si="17"/>
        <v>#DIV/0!</v>
      </c>
      <c r="C64" s="3312">
        <f t="shared" si="16"/>
        <v>0.15</v>
      </c>
      <c r="D64" s="3315">
        <v>0.25</v>
      </c>
      <c r="E64" s="3318">
        <f>'数据-汇总表'!E13</f>
        <v>0</v>
      </c>
      <c r="F64" s="3335" t="e">
        <f t="shared" si="15"/>
        <v>#DIV/0!</v>
      </c>
      <c r="G64" s="3328" t="s">
        <v>1806</v>
      </c>
      <c r="H64" s="607" t="str">
        <f>IF(G64="商业",项目基本情况!B37,IF(G64="办公",项目基本情况!C37,IF(G64="住宅",项目基本情况!D37,项目基本情况!E37)))</f>
        <v>七级</v>
      </c>
      <c r="I64" s="3330">
        <f>SUMIF(修正!A59:A70,H64,修正!G59:G70)</f>
        <v>0.15</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t="e">
        <f t="shared" si="17"/>
        <v>#DIV/0!</v>
      </c>
      <c r="C65" s="3312">
        <f t="shared" si="16"/>
        <v>0</v>
      </c>
      <c r="D65" s="3315">
        <v>0.25</v>
      </c>
      <c r="E65" s="3318">
        <f>'数据-汇总表'!E14</f>
        <v>0</v>
      </c>
      <c r="F65" s="3335" t="e">
        <f t="shared" si="15"/>
        <v>#DIV/0!</v>
      </c>
      <c r="G65" s="3327" t="s">
        <v>1798</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1808</v>
      </c>
      <c r="B66" s="4094" t="e">
        <f t="shared" si="17"/>
        <v>#DIV/0!</v>
      </c>
      <c r="C66" s="3312">
        <f t="shared" si="16"/>
        <v>0</v>
      </c>
      <c r="D66" s="3315">
        <v>0.25</v>
      </c>
      <c r="E66" s="3318">
        <f>'数据-汇总表'!E15</f>
        <v>0</v>
      </c>
      <c r="F66" s="3335" t="e">
        <f t="shared" si="15"/>
        <v>#DIV/0!</v>
      </c>
      <c r="G66" s="3329" t="s">
        <v>1802</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1809</v>
      </c>
      <c r="B67" s="465" t="s">
        <v>20</v>
      </c>
      <c r="C67" s="465" t="s">
        <v>21</v>
      </c>
      <c r="D67" s="3336" t="s">
        <v>386</v>
      </c>
      <c r="E67" s="3319">
        <f>IF(B48="楼面地价",SUM(E58:E66),'数据-汇总表'!D3)</f>
        <v>262.77</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2">
        <f t="shared" si="18"/>
        <v>45323</v>
      </c>
      <c r="L69" s="495">
        <f t="shared" si="18"/>
        <v>45231</v>
      </c>
      <c r="M69" s="495">
        <f t="shared" si="18"/>
        <v>45139</v>
      </c>
      <c r="N69" s="495">
        <f t="shared" si="18"/>
        <v>45047</v>
      </c>
      <c r="O69" s="495">
        <f t="shared" si="18"/>
        <v>44958</v>
      </c>
      <c r="P69" s="2156"/>
      <c r="Q69" s="2156"/>
      <c r="R69" s="2156"/>
      <c r="S69" s="2156"/>
      <c r="T69" s="2156"/>
      <c r="U69" s="2156"/>
      <c r="V69" s="2156"/>
      <c r="W69" s="2156"/>
      <c r="X69" s="2156"/>
      <c r="Y69" s="2156"/>
      <c r="Z69" s="2156"/>
      <c r="AA69" s="2156"/>
      <c r="AB69" s="2156"/>
      <c r="AC69" s="2156"/>
    </row>
    <row r="70" spans="1:29" ht="22.2" thickBot="1">
      <c r="A70" s="497" t="s">
        <v>1704</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c r="M72" s="823"/>
      <c r="N72" s="394"/>
      <c r="O72" s="4096"/>
      <c r="P72" s="2170"/>
      <c r="Q72" s="2094"/>
      <c r="R72" s="2094"/>
      <c r="S72" s="2094"/>
      <c r="T72" s="2094"/>
      <c r="U72" s="2094"/>
      <c r="V72" s="2094"/>
      <c r="W72" s="2094"/>
      <c r="X72" s="2094"/>
      <c r="Y72" s="2094"/>
      <c r="Z72" s="2094"/>
      <c r="AA72" s="2094"/>
      <c r="AB72" s="2094"/>
      <c r="AC72" s="2094"/>
    </row>
    <row r="73" spans="1:29" s="49" customFormat="1" ht="15" thickBot="1">
      <c r="A73" s="318" t="s">
        <v>1622</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1587</v>
      </c>
      <c r="B74" s="313"/>
      <c r="C74" s="325" t="s">
        <v>1682</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1625</v>
      </c>
      <c r="B76" s="330" t="s">
        <v>1591</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1594</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1595</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1596</v>
      </c>
      <c r="B89" s="330" t="s">
        <v>1626</v>
      </c>
      <c r="C89" s="373" t="s">
        <v>1627</v>
      </c>
      <c r="D89" s="373" t="s">
        <v>1628</v>
      </c>
      <c r="E89" s="373" t="s">
        <v>1629</v>
      </c>
      <c r="F89" s="373" t="s">
        <v>1630</v>
      </c>
      <c r="G89" s="373" t="s">
        <v>1631</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1812</v>
      </c>
      <c r="C91" s="377" t="s">
        <v>1627</v>
      </c>
      <c r="D91" s="377" t="s">
        <v>1628</v>
      </c>
      <c r="E91" s="377" t="s">
        <v>1629</v>
      </c>
      <c r="F91" s="377" t="s">
        <v>1630</v>
      </c>
      <c r="G91" s="377" t="s">
        <v>1631</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1727</v>
      </c>
      <c r="C93" s="377" t="s">
        <v>1627</v>
      </c>
      <c r="D93" s="377" t="s">
        <v>1628</v>
      </c>
      <c r="E93" s="377" t="s">
        <v>1629</v>
      </c>
      <c r="F93" s="377" t="s">
        <v>1630</v>
      </c>
      <c r="G93" s="377" t="s">
        <v>1631</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1632</v>
      </c>
      <c r="C95" s="377" t="s">
        <v>1627</v>
      </c>
      <c r="D95" s="377" t="s">
        <v>1628</v>
      </c>
      <c r="E95" s="377" t="s">
        <v>1629</v>
      </c>
      <c r="F95" s="377" t="s">
        <v>1630</v>
      </c>
      <c r="G95" s="377" t="s">
        <v>1631</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1813</v>
      </c>
      <c r="C97" s="377" t="s">
        <v>1627</v>
      </c>
      <c r="D97" s="377" t="s">
        <v>1628</v>
      </c>
      <c r="E97" s="377" t="s">
        <v>1629</v>
      </c>
      <c r="F97" s="377" t="s">
        <v>1630</v>
      </c>
      <c r="G97" s="377" t="s">
        <v>1631</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1814</v>
      </c>
      <c r="C99" s="373" t="s">
        <v>1627</v>
      </c>
      <c r="D99" s="373" t="s">
        <v>1628</v>
      </c>
      <c r="E99" s="373" t="s">
        <v>1629</v>
      </c>
      <c r="F99" s="373" t="s">
        <v>1630</v>
      </c>
      <c r="G99" s="373" t="s">
        <v>1631</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1684</v>
      </c>
      <c r="C101" s="373" t="s">
        <v>1627</v>
      </c>
      <c r="D101" s="373" t="s">
        <v>1628</v>
      </c>
      <c r="E101" s="373" t="s">
        <v>1629</v>
      </c>
      <c r="F101" s="373" t="s">
        <v>1630</v>
      </c>
      <c r="G101" s="373" t="s">
        <v>1631</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1685</v>
      </c>
      <c r="C103" s="444" t="s">
        <v>1705</v>
      </c>
      <c r="D103" s="444" t="s">
        <v>1706</v>
      </c>
      <c r="E103" s="444" t="s">
        <v>1707</v>
      </c>
      <c r="F103" s="444" t="s">
        <v>1708</v>
      </c>
      <c r="G103" s="444" t="s">
        <v>1709</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1721</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1779</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1600</v>
      </c>
      <c r="B117" s="330" t="s">
        <v>1819</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1773</v>
      </c>
      <c r="B1" s="236"/>
      <c r="C1" s="237" t="s">
        <v>1824</v>
      </c>
      <c r="D1" s="489"/>
      <c r="E1" s="489"/>
      <c r="F1" s="488" t="s">
        <v>1673</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1430</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1432</v>
      </c>
      <c r="B3" s="405" t="e">
        <f>ROUND(IF(D3="",B2*10000/'数据-汇总表'!E3,B2*10000/D3),0)</f>
        <v>#DIV/0!</v>
      </c>
      <c r="C3" s="102" t="s">
        <v>1775</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9" t="s">
        <v>1675</v>
      </c>
      <c r="B6" s="3410"/>
      <c r="C6" s="4923" t="s">
        <v>1676</v>
      </c>
      <c r="D6" s="4924"/>
      <c r="E6" s="4925" t="s">
        <v>1677</v>
      </c>
      <c r="F6" s="4926"/>
      <c r="G6" s="4923" t="s">
        <v>1678</v>
      </c>
      <c r="H6" s="4924"/>
      <c r="I6" s="4923" t="s">
        <v>1679</v>
      </c>
      <c r="J6" s="4924"/>
      <c r="K6" s="406" t="s">
        <v>1680</v>
      </c>
      <c r="L6" s="2146"/>
      <c r="M6" s="2147"/>
      <c r="N6" s="2147"/>
      <c r="O6" s="2147"/>
      <c r="P6" s="4927" t="s">
        <v>1681</v>
      </c>
      <c r="Q6" s="4928"/>
      <c r="R6" s="4933" t="s">
        <v>1677</v>
      </c>
      <c r="S6" s="4934"/>
      <c r="T6" s="4933" t="s">
        <v>1678</v>
      </c>
      <c r="U6" s="4934"/>
      <c r="V6" s="4946" t="s">
        <v>1679</v>
      </c>
      <c r="W6" s="4946"/>
      <c r="X6" s="963"/>
      <c r="Y6" s="4947" t="s">
        <v>1681</v>
      </c>
      <c r="Z6" s="4948"/>
      <c r="AA6" s="4920" t="s">
        <v>1677</v>
      </c>
      <c r="AB6" s="4921" t="s">
        <v>1678</v>
      </c>
      <c r="AC6" s="4920" t="s">
        <v>1679</v>
      </c>
    </row>
    <row r="7" spans="1:29">
      <c r="A7" s="3346"/>
      <c r="B7" s="3411"/>
      <c r="C7" s="4937" t="s">
        <v>1579</v>
      </c>
      <c r="D7" s="4938"/>
      <c r="E7" s="4977" t="s">
        <v>1580</v>
      </c>
      <c r="F7" s="4940"/>
      <c r="G7" s="4937" t="s">
        <v>1581</v>
      </c>
      <c r="H7" s="4938"/>
      <c r="I7" s="4937" t="s">
        <v>1582</v>
      </c>
      <c r="J7" s="4938"/>
      <c r="K7" s="406"/>
      <c r="L7" s="2146"/>
      <c r="M7" s="2147"/>
      <c r="N7" s="2147"/>
      <c r="O7" s="2147"/>
      <c r="P7" s="4929"/>
      <c r="Q7" s="4930"/>
      <c r="R7" s="4935"/>
      <c r="S7" s="4936"/>
      <c r="T7" s="4935"/>
      <c r="U7" s="4936"/>
      <c r="V7" s="4946"/>
      <c r="W7" s="4946"/>
      <c r="X7" s="963"/>
      <c r="Y7" s="4949"/>
      <c r="Z7" s="4950"/>
      <c r="AA7" s="4921"/>
      <c r="AB7" s="4921"/>
      <c r="AC7" s="4921"/>
    </row>
    <row r="8" spans="1:29" ht="15" thickBot="1">
      <c r="A8" s="3412"/>
      <c r="B8" s="3413"/>
      <c r="C8" s="5026" t="s">
        <v>1825</v>
      </c>
      <c r="D8" s="5027"/>
      <c r="E8" s="5028" t="s">
        <v>1825</v>
      </c>
      <c r="F8" s="5029"/>
      <c r="G8" s="5026" t="s">
        <v>1825</v>
      </c>
      <c r="H8" s="5027"/>
      <c r="I8" s="5026" t="s">
        <v>1825</v>
      </c>
      <c r="J8" s="5027"/>
      <c r="K8" s="406" t="s">
        <v>1584</v>
      </c>
      <c r="L8" s="2146"/>
      <c r="M8" s="2147"/>
      <c r="N8" s="2147"/>
      <c r="O8" s="2147"/>
      <c r="P8" s="4931"/>
      <c r="Q8" s="4932"/>
      <c r="R8" s="4935"/>
      <c r="S8" s="4936"/>
      <c r="T8" s="4944"/>
      <c r="U8" s="4945"/>
      <c r="V8" s="4946"/>
      <c r="W8" s="4946"/>
      <c r="X8" s="963"/>
      <c r="Y8" s="4951"/>
      <c r="Z8" s="4952"/>
      <c r="AA8" s="4922"/>
      <c r="AB8" s="4922"/>
      <c r="AC8" s="4922"/>
    </row>
    <row r="9" spans="1:29" s="49" customFormat="1" ht="15" thickBot="1">
      <c r="A9" s="3338" t="s">
        <v>1585</v>
      </c>
      <c r="B9" s="3339"/>
      <c r="C9" s="3052">
        <f>'数据-取费表'!B2</f>
        <v>46063</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957" t="s">
        <v>1586</v>
      </c>
      <c r="Q9" s="4958"/>
      <c r="R9" s="4076" t="s">
        <v>13</v>
      </c>
      <c r="S9" s="4079">
        <f t="shared" ref="S9:S17" si="0">F9</f>
        <v>0</v>
      </c>
      <c r="T9" s="4076" t="s">
        <v>13</v>
      </c>
      <c r="U9" s="4079">
        <f t="shared" ref="U9:U17" si="1">H9</f>
        <v>0</v>
      </c>
      <c r="V9" s="4076" t="s">
        <v>13</v>
      </c>
      <c r="W9" s="4079">
        <f t="shared" ref="W9:W17" si="2">J9</f>
        <v>0</v>
      </c>
      <c r="X9" s="504"/>
      <c r="Y9" s="4942" t="s">
        <v>1586</v>
      </c>
      <c r="Z9" s="4943"/>
      <c r="AA9" s="505" t="e">
        <f>D9/F9</f>
        <v>#DIV/0!</v>
      </c>
      <c r="AB9" s="505" t="e">
        <f>D9/H9</f>
        <v>#DIV/0!</v>
      </c>
      <c r="AC9" s="505" t="e">
        <f>D9/J9</f>
        <v>#DIV/0!</v>
      </c>
    </row>
    <row r="10" spans="1:29" s="49" customFormat="1" ht="15" thickBot="1">
      <c r="A10" s="3338" t="s">
        <v>1587</v>
      </c>
      <c r="B10" s="3339"/>
      <c r="C10" s="3053" t="s">
        <v>1588</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957" t="s">
        <v>1589</v>
      </c>
      <c r="Q10" s="4959"/>
      <c r="R10" s="4076" t="s">
        <v>13</v>
      </c>
      <c r="S10" s="4079">
        <f t="shared" si="0"/>
        <v>0</v>
      </c>
      <c r="T10" s="4076" t="s">
        <v>13</v>
      </c>
      <c r="U10" s="4079">
        <f t="shared" si="1"/>
        <v>0</v>
      </c>
      <c r="V10" s="4076" t="s">
        <v>13</v>
      </c>
      <c r="W10" s="4079">
        <f t="shared" si="2"/>
        <v>0</v>
      </c>
      <c r="X10" s="504"/>
      <c r="Y10" s="4942" t="s">
        <v>1589</v>
      </c>
      <c r="Z10" s="4943"/>
      <c r="AA10" s="505" t="e">
        <f t="shared" ref="AA10:AA42" si="3">D10/F10</f>
        <v>#DIV/0!</v>
      </c>
      <c r="AB10" s="505" t="e">
        <f t="shared" ref="AB10:AB42" si="4">D10/H10</f>
        <v>#DIV/0!</v>
      </c>
      <c r="AC10" s="505" t="e">
        <f t="shared" ref="AC10:AC42" si="5">D10/J10</f>
        <v>#DIV/0!</v>
      </c>
    </row>
    <row r="11" spans="1:29" s="49" customFormat="1" ht="14.4">
      <c r="A11" s="3273" t="s">
        <v>1590</v>
      </c>
      <c r="B11" s="3033" t="s">
        <v>1591</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971" t="s">
        <v>1592</v>
      </c>
      <c r="Q11" s="3274" t="str">
        <f t="shared" ref="Q11:Q17" si="6">B11</f>
        <v>用途</v>
      </c>
      <c r="R11" s="4076" t="s">
        <v>13</v>
      </c>
      <c r="S11" s="4079">
        <f t="shared" si="0"/>
        <v>100</v>
      </c>
      <c r="T11" s="4076" t="s">
        <v>13</v>
      </c>
      <c r="U11" s="4079">
        <f t="shared" si="1"/>
        <v>100</v>
      </c>
      <c r="V11" s="4076" t="s">
        <v>13</v>
      </c>
      <c r="W11" s="4079">
        <f t="shared" si="2"/>
        <v>100</v>
      </c>
      <c r="X11" s="504"/>
      <c r="Y11" s="4961" t="s">
        <v>1593</v>
      </c>
      <c r="Z11" s="28" t="str">
        <f t="shared" ref="Z11:Z17" si="7">Q11</f>
        <v>用途</v>
      </c>
      <c r="AA11" s="505">
        <f t="shared" si="3"/>
        <v>1</v>
      </c>
      <c r="AB11" s="505">
        <f t="shared" si="4"/>
        <v>1</v>
      </c>
      <c r="AC11" s="505">
        <f t="shared" si="5"/>
        <v>1</v>
      </c>
    </row>
    <row r="12" spans="1:29" s="259" customFormat="1" ht="28.8">
      <c r="A12" s="3341"/>
      <c r="B12" s="3276" t="s">
        <v>1594</v>
      </c>
      <c r="C12" s="3057"/>
      <c r="D12" s="3130">
        <v>100</v>
      </c>
      <c r="E12" s="3057"/>
      <c r="F12" s="4040" t="e">
        <f>ROUND(100/'数据-取费表'!G16,1)</f>
        <v>#DIV/0!</v>
      </c>
      <c r="G12" s="3057"/>
      <c r="H12" s="4040" t="e">
        <f>ROUND(100/'数据-取费表'!G16,1)</f>
        <v>#DIV/0!</v>
      </c>
      <c r="I12" s="3057"/>
      <c r="J12" s="4040" t="e">
        <f>ROUND(100/'数据-取费表'!G16,1)</f>
        <v>#DIV/0!</v>
      </c>
      <c r="K12" s="450"/>
      <c r="L12" s="2150"/>
      <c r="M12" s="2151"/>
      <c r="N12" s="2151"/>
      <c r="O12" s="2204"/>
      <c r="P12" s="4971"/>
      <c r="Q12" s="3274" t="str">
        <f t="shared" si="6"/>
        <v>土地使用年限（年）</v>
      </c>
      <c r="R12" s="4076" t="s">
        <v>13</v>
      </c>
      <c r="S12" s="4079" t="e">
        <f t="shared" si="0"/>
        <v>#DIV/0!</v>
      </c>
      <c r="T12" s="4076" t="s">
        <v>13</v>
      </c>
      <c r="U12" s="4079" t="e">
        <f t="shared" si="1"/>
        <v>#DIV/0!</v>
      </c>
      <c r="V12" s="4076" t="s">
        <v>13</v>
      </c>
      <c r="W12" s="4079" t="e">
        <f t="shared" si="2"/>
        <v>#DIV/0!</v>
      </c>
      <c r="X12" s="504"/>
      <c r="Y12" s="4961"/>
      <c r="Z12" s="28" t="str">
        <f t="shared" si="7"/>
        <v>土地使用年限（年）</v>
      </c>
      <c r="AA12" s="505" t="e">
        <f t="shared" si="3"/>
        <v>#DIV/0!</v>
      </c>
      <c r="AB12" s="505" t="e">
        <f t="shared" si="4"/>
        <v>#DIV/0!</v>
      </c>
      <c r="AC12" s="505" t="e">
        <f t="shared" si="5"/>
        <v>#DIV/0!</v>
      </c>
    </row>
    <row r="13" spans="1:29" ht="15">
      <c r="A13" s="3342"/>
      <c r="B13" s="3276" t="s">
        <v>1595</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971"/>
      <c r="Q13" s="3274" t="str">
        <f t="shared" si="6"/>
        <v>容积率</v>
      </c>
      <c r="R13" s="4076" t="s">
        <v>13</v>
      </c>
      <c r="S13" s="4079" t="e">
        <f t="shared" si="0"/>
        <v>#N/A</v>
      </c>
      <c r="T13" s="4076" t="s">
        <v>13</v>
      </c>
      <c r="U13" s="4079" t="e">
        <f t="shared" si="1"/>
        <v>#N/A</v>
      </c>
      <c r="V13" s="4076" t="s">
        <v>13</v>
      </c>
      <c r="W13" s="4079" t="e">
        <f t="shared" si="2"/>
        <v>#N/A</v>
      </c>
      <c r="X13" s="504"/>
      <c r="Y13" s="4961"/>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971"/>
      <c r="Q14" s="3274">
        <f t="shared" si="6"/>
        <v>111</v>
      </c>
      <c r="R14" s="4076" t="s">
        <v>13</v>
      </c>
      <c r="S14" s="4079">
        <f t="shared" si="0"/>
        <v>100</v>
      </c>
      <c r="T14" s="4076" t="s">
        <v>13</v>
      </c>
      <c r="U14" s="4079">
        <f t="shared" si="1"/>
        <v>100</v>
      </c>
      <c r="V14" s="4076" t="s">
        <v>13</v>
      </c>
      <c r="W14" s="4079">
        <f t="shared" si="2"/>
        <v>100</v>
      </c>
      <c r="X14" s="504"/>
      <c r="Y14" s="4961"/>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971"/>
      <c r="Q15" s="3274">
        <f t="shared" si="6"/>
        <v>111</v>
      </c>
      <c r="R15" s="4076" t="s">
        <v>13</v>
      </c>
      <c r="S15" s="4079">
        <f t="shared" si="0"/>
        <v>100</v>
      </c>
      <c r="T15" s="4076" t="s">
        <v>13</v>
      </c>
      <c r="U15" s="4079">
        <f t="shared" si="1"/>
        <v>100</v>
      </c>
      <c r="V15" s="4076" t="s">
        <v>13</v>
      </c>
      <c r="W15" s="4079">
        <f t="shared" si="2"/>
        <v>100</v>
      </c>
      <c r="X15" s="504"/>
      <c r="Y15" s="4961"/>
      <c r="Z15" s="28">
        <f t="shared" si="7"/>
        <v>111</v>
      </c>
      <c r="AA15" s="505">
        <f t="shared" si="3"/>
        <v>1</v>
      </c>
      <c r="AB15" s="505">
        <f t="shared" si="4"/>
        <v>1</v>
      </c>
      <c r="AC15" s="505">
        <f t="shared" si="5"/>
        <v>1</v>
      </c>
    </row>
    <row r="16" spans="1:29" ht="15.6"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971"/>
      <c r="Q16" s="3274">
        <f t="shared" si="6"/>
        <v>111</v>
      </c>
      <c r="R16" s="4076" t="s">
        <v>13</v>
      </c>
      <c r="S16" s="4079">
        <f t="shared" si="0"/>
        <v>100</v>
      </c>
      <c r="T16" s="4076" t="s">
        <v>13</v>
      </c>
      <c r="U16" s="4079">
        <f t="shared" si="1"/>
        <v>100</v>
      </c>
      <c r="V16" s="4076" t="s">
        <v>13</v>
      </c>
      <c r="W16" s="4079">
        <f t="shared" si="2"/>
        <v>100</v>
      </c>
      <c r="X16" s="504"/>
      <c r="Y16" s="4961"/>
      <c r="Z16" s="28">
        <f t="shared" si="7"/>
        <v>111</v>
      </c>
      <c r="AA16" s="505">
        <f t="shared" si="3"/>
        <v>1</v>
      </c>
      <c r="AB16" s="505">
        <f t="shared" si="4"/>
        <v>1</v>
      </c>
      <c r="AC16" s="505">
        <f t="shared" si="5"/>
        <v>1</v>
      </c>
    </row>
    <row r="17" spans="1:29" ht="69">
      <c r="A17" s="3345" t="s">
        <v>1596</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5007" t="s">
        <v>1597</v>
      </c>
      <c r="Q17" s="3277" t="str">
        <f t="shared" si="6"/>
        <v>产业集聚程度</v>
      </c>
      <c r="R17" s="4077" t="s">
        <v>13</v>
      </c>
      <c r="S17" s="4080">
        <f t="shared" si="0"/>
        <v>100</v>
      </c>
      <c r="T17" s="4077" t="s">
        <v>13</v>
      </c>
      <c r="U17" s="4080">
        <f t="shared" si="1"/>
        <v>100</v>
      </c>
      <c r="V17" s="4077" t="s">
        <v>13</v>
      </c>
      <c r="W17" s="4080">
        <f t="shared" si="2"/>
        <v>100</v>
      </c>
      <c r="X17" s="963"/>
      <c r="Y17" s="4964" t="s">
        <v>1597</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5008"/>
      <c r="Q18" s="3277"/>
      <c r="R18" s="4077"/>
      <c r="S18" s="4080"/>
      <c r="T18" s="4077"/>
      <c r="U18" s="4080"/>
      <c r="V18" s="4077"/>
      <c r="W18" s="4080"/>
      <c r="X18" s="963"/>
      <c r="Y18" s="4965"/>
      <c r="Z18" s="964"/>
      <c r="AA18" s="961">
        <v>1</v>
      </c>
      <c r="AB18" s="961">
        <v>1</v>
      </c>
      <c r="AC18" s="961">
        <v>1</v>
      </c>
    </row>
    <row r="19" spans="1:29" ht="96.6">
      <c r="A19" s="3342"/>
      <c r="B19" s="3416" t="s">
        <v>1739</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5008"/>
      <c r="Q19" s="3277" t="str">
        <f>B19</f>
        <v>交通便捷度</v>
      </c>
      <c r="R19" s="4077" t="s">
        <v>13</v>
      </c>
      <c r="S19" s="4080">
        <f>F19</f>
        <v>100</v>
      </c>
      <c r="T19" s="4077" t="s">
        <v>13</v>
      </c>
      <c r="U19" s="4080">
        <f>H19</f>
        <v>100</v>
      </c>
      <c r="V19" s="4077" t="s">
        <v>13</v>
      </c>
      <c r="W19" s="4080">
        <f>J19</f>
        <v>100</v>
      </c>
      <c r="X19" s="963"/>
      <c r="Y19" s="4965"/>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5008"/>
      <c r="Q20" s="3277"/>
      <c r="R20" s="4077"/>
      <c r="S20" s="4080"/>
      <c r="T20" s="4077"/>
      <c r="U20" s="4080"/>
      <c r="V20" s="4077"/>
      <c r="W20" s="4080"/>
      <c r="X20" s="963"/>
      <c r="Y20" s="4965"/>
      <c r="Z20" s="964"/>
      <c r="AA20" s="961">
        <v>1</v>
      </c>
      <c r="AB20" s="961">
        <v>1</v>
      </c>
      <c r="AC20" s="961">
        <v>1</v>
      </c>
    </row>
    <row r="21" spans="1:29" ht="28.8">
      <c r="A21" s="3342"/>
      <c r="B21" s="3416" t="s">
        <v>1777</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5008"/>
      <c r="Q21" s="3277" t="str">
        <f t="shared" ref="Q21:Q35" si="8">B21</f>
        <v>区域土地利用方向</v>
      </c>
      <c r="R21" s="4077" t="s">
        <v>13</v>
      </c>
      <c r="S21" s="4080">
        <f>F21</f>
        <v>100</v>
      </c>
      <c r="T21" s="4077" t="s">
        <v>13</v>
      </c>
      <c r="U21" s="4080">
        <f>H21</f>
        <v>100</v>
      </c>
      <c r="V21" s="4077" t="s">
        <v>13</v>
      </c>
      <c r="W21" s="4080">
        <f>J21</f>
        <v>100</v>
      </c>
      <c r="X21" s="963"/>
      <c r="Y21" s="4965"/>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5008"/>
      <c r="Q22" s="3277"/>
      <c r="R22" s="4077"/>
      <c r="S22" s="4080"/>
      <c r="T22" s="4077"/>
      <c r="U22" s="4080"/>
      <c r="V22" s="4077"/>
      <c r="W22" s="4080"/>
      <c r="X22" s="963"/>
      <c r="Y22" s="4965"/>
      <c r="Z22" s="964"/>
      <c r="AA22" s="961"/>
      <c r="AB22" s="961"/>
      <c r="AC22" s="961"/>
    </row>
    <row r="23" spans="1:29" ht="82.8">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5008"/>
      <c r="Q23" s="3277" t="str">
        <f t="shared" si="8"/>
        <v>环境状况</v>
      </c>
      <c r="R23" s="4077" t="s">
        <v>13</v>
      </c>
      <c r="S23" s="4080">
        <f>F23</f>
        <v>100</v>
      </c>
      <c r="T23" s="4077" t="s">
        <v>13</v>
      </c>
      <c r="U23" s="4080">
        <f>H23</f>
        <v>100</v>
      </c>
      <c r="V23" s="4077" t="s">
        <v>13</v>
      </c>
      <c r="W23" s="4080">
        <f>J23</f>
        <v>100</v>
      </c>
      <c r="X23" s="963"/>
      <c r="Y23" s="4965"/>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5008"/>
      <c r="Q24" s="3277"/>
      <c r="R24" s="4077"/>
      <c r="S24" s="4080"/>
      <c r="T24" s="4077"/>
      <c r="U24" s="4080"/>
      <c r="V24" s="4077"/>
      <c r="W24" s="4080"/>
      <c r="X24" s="963"/>
      <c r="Y24" s="4965"/>
      <c r="Z24" s="964"/>
      <c r="AA24" s="961">
        <v>1</v>
      </c>
      <c r="AB24" s="961">
        <v>1</v>
      </c>
      <c r="AC24" s="961">
        <v>1</v>
      </c>
    </row>
    <row r="25" spans="1:29" s="49" customFormat="1" ht="41.4">
      <c r="A25" s="3348"/>
      <c r="B25" s="3418" t="s">
        <v>1684</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5008"/>
      <c r="Q25" s="3274" t="str">
        <f t="shared" si="8"/>
        <v>公共配套设施</v>
      </c>
      <c r="R25" s="4076" t="s">
        <v>13</v>
      </c>
      <c r="S25" s="4079">
        <f>F25</f>
        <v>100</v>
      </c>
      <c r="T25" s="4076" t="s">
        <v>13</v>
      </c>
      <c r="U25" s="4079">
        <f>H25</f>
        <v>100</v>
      </c>
      <c r="V25" s="4076" t="s">
        <v>13</v>
      </c>
      <c r="W25" s="4079">
        <f>J25</f>
        <v>100</v>
      </c>
      <c r="X25" s="504"/>
      <c r="Y25" s="4965"/>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5008"/>
      <c r="Q26" s="3274"/>
      <c r="R26" s="4076"/>
      <c r="S26" s="4079"/>
      <c r="T26" s="4076"/>
      <c r="U26" s="4079"/>
      <c r="V26" s="4076"/>
      <c r="W26" s="4079"/>
      <c r="X26" s="504"/>
      <c r="Y26" s="4965"/>
      <c r="Z26" s="28"/>
      <c r="AA26" s="505">
        <v>1</v>
      </c>
      <c r="AB26" s="505">
        <v>1</v>
      </c>
      <c r="AC26" s="505">
        <v>1</v>
      </c>
    </row>
    <row r="27" spans="1:29" s="49" customFormat="1" ht="41.4">
      <c r="A27" s="3348"/>
      <c r="B27" s="3418" t="s">
        <v>1685</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5008"/>
      <c r="Q27" s="3274" t="str">
        <f t="shared" ref="Q27" si="9">B27</f>
        <v>基础设施水平</v>
      </c>
      <c r="R27" s="4076" t="s">
        <v>13</v>
      </c>
      <c r="S27" s="4079">
        <f>F27</f>
        <v>100</v>
      </c>
      <c r="T27" s="4076" t="s">
        <v>13</v>
      </c>
      <c r="U27" s="4079">
        <f>H27</f>
        <v>100</v>
      </c>
      <c r="V27" s="4076" t="s">
        <v>13</v>
      </c>
      <c r="W27" s="4079">
        <f>J27</f>
        <v>100</v>
      </c>
      <c r="X27" s="504"/>
      <c r="Y27" s="4965"/>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5008"/>
      <c r="Q28" s="3274"/>
      <c r="R28" s="4076"/>
      <c r="S28" s="4079"/>
      <c r="T28" s="4076"/>
      <c r="U28" s="4079"/>
      <c r="V28" s="4076"/>
      <c r="W28" s="4079"/>
      <c r="X28" s="504"/>
      <c r="Y28" s="4965"/>
      <c r="Z28" s="28"/>
      <c r="AA28" s="505">
        <v>1</v>
      </c>
      <c r="AB28" s="505">
        <v>1</v>
      </c>
      <c r="AC28" s="505">
        <v>1</v>
      </c>
    </row>
    <row r="29" spans="1:29" ht="15">
      <c r="A29" s="3342"/>
      <c r="B29" s="3417" t="s">
        <v>1686</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5008"/>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965"/>
      <c r="Z29" s="964" t="str">
        <f t="shared" ref="Z29:Z42" si="13">Q29</f>
        <v>临街状况</v>
      </c>
      <c r="AA29" s="961">
        <f t="shared" si="3"/>
        <v>1</v>
      </c>
      <c r="AB29" s="961">
        <f t="shared" si="4"/>
        <v>1</v>
      </c>
      <c r="AC29" s="961">
        <f t="shared" si="5"/>
        <v>1</v>
      </c>
    </row>
    <row r="30" spans="1:29" ht="28.8">
      <c r="A30" s="3342"/>
      <c r="B30" s="3418" t="s">
        <v>1721</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5008"/>
      <c r="Q30" s="3277" t="str">
        <f t="shared" si="8"/>
        <v>毗邻道路的类型与等级</v>
      </c>
      <c r="R30" s="4077" t="s">
        <v>13</v>
      </c>
      <c r="S30" s="4080">
        <f t="shared" si="10"/>
        <v>100</v>
      </c>
      <c r="T30" s="4077" t="s">
        <v>13</v>
      </c>
      <c r="U30" s="4080">
        <f t="shared" si="11"/>
        <v>100</v>
      </c>
      <c r="V30" s="4077" t="s">
        <v>13</v>
      </c>
      <c r="W30" s="4080">
        <f t="shared" si="12"/>
        <v>100</v>
      </c>
      <c r="X30" s="963"/>
      <c r="Y30" s="4965"/>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5008"/>
      <c r="Q31" s="3277"/>
      <c r="R31" s="4077"/>
      <c r="S31" s="4080"/>
      <c r="T31" s="4077"/>
      <c r="U31" s="4080"/>
      <c r="V31" s="4077"/>
      <c r="W31" s="4080"/>
      <c r="X31" s="963"/>
      <c r="Y31" s="4965"/>
      <c r="Z31" s="964"/>
      <c r="AA31" s="961">
        <v>1</v>
      </c>
      <c r="AB31" s="961">
        <v>1</v>
      </c>
      <c r="AC31" s="961">
        <v>1</v>
      </c>
    </row>
    <row r="32" spans="1:29" ht="15">
      <c r="A32" s="3342"/>
      <c r="B32" s="3419" t="s">
        <v>1779</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5008"/>
      <c r="Q32" s="3277" t="str">
        <f t="shared" si="8"/>
        <v>土地级别</v>
      </c>
      <c r="R32" s="4077" t="s">
        <v>13</v>
      </c>
      <c r="S32" s="4080">
        <f t="shared" si="10"/>
        <v>100</v>
      </c>
      <c r="T32" s="4077" t="s">
        <v>13</v>
      </c>
      <c r="U32" s="4080">
        <f t="shared" si="11"/>
        <v>100</v>
      </c>
      <c r="V32" s="4077" t="s">
        <v>13</v>
      </c>
      <c r="W32" s="4080">
        <f t="shared" si="12"/>
        <v>100</v>
      </c>
      <c r="X32" s="963"/>
      <c r="Y32" s="4965"/>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5008"/>
      <c r="Q33" s="3277">
        <f t="shared" si="8"/>
        <v>111</v>
      </c>
      <c r="R33" s="4077" t="s">
        <v>13</v>
      </c>
      <c r="S33" s="4080">
        <f t="shared" si="10"/>
        <v>100</v>
      </c>
      <c r="T33" s="4077" t="s">
        <v>13</v>
      </c>
      <c r="U33" s="4080">
        <f t="shared" si="11"/>
        <v>100</v>
      </c>
      <c r="V33" s="4077" t="s">
        <v>13</v>
      </c>
      <c r="W33" s="4080">
        <f t="shared" si="12"/>
        <v>100</v>
      </c>
      <c r="X33" s="963"/>
      <c r="Y33" s="4965"/>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5009" t="s">
        <v>1602</v>
      </c>
      <c r="Q34" s="3277">
        <f t="shared" si="8"/>
        <v>111</v>
      </c>
      <c r="R34" s="4077" t="s">
        <v>13</v>
      </c>
      <c r="S34" s="4080">
        <f t="shared" si="10"/>
        <v>100</v>
      </c>
      <c r="T34" s="4077" t="s">
        <v>13</v>
      </c>
      <c r="U34" s="4080">
        <f t="shared" si="11"/>
        <v>100</v>
      </c>
      <c r="V34" s="4077" t="s">
        <v>13</v>
      </c>
      <c r="W34" s="4080">
        <f t="shared" si="12"/>
        <v>100</v>
      </c>
      <c r="X34" s="963"/>
      <c r="Y34" s="4969" t="s">
        <v>1602</v>
      </c>
      <c r="Z34" s="964">
        <f t="shared" si="13"/>
        <v>111</v>
      </c>
      <c r="AA34" s="961">
        <f t="shared" si="3"/>
        <v>1</v>
      </c>
      <c r="AB34" s="961">
        <f t="shared" si="4"/>
        <v>1</v>
      </c>
      <c r="AC34" s="961">
        <f t="shared" si="5"/>
        <v>1</v>
      </c>
    </row>
    <row r="35" spans="1:31" s="285" customFormat="1" ht="15.6"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5010"/>
      <c r="Q35" s="3277">
        <f t="shared" si="8"/>
        <v>111</v>
      </c>
      <c r="R35" s="4078" t="s">
        <v>13</v>
      </c>
      <c r="S35" s="4081">
        <f t="shared" si="10"/>
        <v>100</v>
      </c>
      <c r="T35" s="4078" t="s">
        <v>13</v>
      </c>
      <c r="U35" s="4081">
        <f t="shared" si="11"/>
        <v>100</v>
      </c>
      <c r="V35" s="4078" t="s">
        <v>13</v>
      </c>
      <c r="W35" s="4081">
        <f t="shared" si="12"/>
        <v>100</v>
      </c>
      <c r="X35" s="507"/>
      <c r="Y35" s="4969"/>
      <c r="Z35" s="508">
        <f t="shared" si="13"/>
        <v>111</v>
      </c>
      <c r="AA35" s="961">
        <f t="shared" si="3"/>
        <v>1</v>
      </c>
      <c r="AB35" s="961">
        <f t="shared" si="4"/>
        <v>1</v>
      </c>
      <c r="AC35" s="961">
        <f t="shared" si="5"/>
        <v>1</v>
      </c>
    </row>
    <row r="36" spans="1:31" ht="15">
      <c r="A36" s="3345" t="s">
        <v>1600</v>
      </c>
      <c r="B36" s="3039" t="s">
        <v>1780</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5010"/>
      <c r="Q36" s="3277" t="str">
        <f>B36</f>
        <v>宗地面积</v>
      </c>
      <c r="R36" s="4077" t="s">
        <v>13</v>
      </c>
      <c r="S36" s="4080" t="e">
        <f t="shared" si="10"/>
        <v>#N/A</v>
      </c>
      <c r="T36" s="4077" t="s">
        <v>13</v>
      </c>
      <c r="U36" s="4080" t="e">
        <f t="shared" si="11"/>
        <v>#N/A</v>
      </c>
      <c r="V36" s="4077" t="s">
        <v>13</v>
      </c>
      <c r="W36" s="4080" t="e">
        <f t="shared" si="12"/>
        <v>#N/A</v>
      </c>
      <c r="X36" s="963"/>
      <c r="Y36" s="4969"/>
      <c r="Z36" s="964" t="str">
        <f t="shared" si="13"/>
        <v>宗地面积</v>
      </c>
      <c r="AA36" s="961" t="e">
        <f t="shared" si="3"/>
        <v>#N/A</v>
      </c>
      <c r="AB36" s="961" t="e">
        <f t="shared" si="4"/>
        <v>#N/A</v>
      </c>
      <c r="AC36" s="961" t="e">
        <f t="shared" si="5"/>
        <v>#N/A</v>
      </c>
    </row>
    <row r="37" spans="1:31" ht="15">
      <c r="A37" s="3356"/>
      <c r="B37" s="3276" t="s">
        <v>1781</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5010"/>
      <c r="Q37" s="3277" t="str">
        <f t="shared" ref="Q37:Q42" si="14">B37</f>
        <v>宗地形状</v>
      </c>
      <c r="R37" s="4077" t="s">
        <v>13</v>
      </c>
      <c r="S37" s="4080">
        <f t="shared" si="10"/>
        <v>100</v>
      </c>
      <c r="T37" s="4077" t="s">
        <v>13</v>
      </c>
      <c r="U37" s="4080">
        <f t="shared" si="11"/>
        <v>100</v>
      </c>
      <c r="V37" s="4077" t="s">
        <v>13</v>
      </c>
      <c r="W37" s="4080">
        <f t="shared" si="12"/>
        <v>100</v>
      </c>
      <c r="X37" s="963"/>
      <c r="Y37" s="4969"/>
      <c r="Z37" s="964" t="str">
        <f t="shared" si="13"/>
        <v>宗地形状</v>
      </c>
      <c r="AA37" s="961">
        <f t="shared" si="3"/>
        <v>1</v>
      </c>
      <c r="AB37" s="961">
        <f t="shared" si="4"/>
        <v>1</v>
      </c>
      <c r="AC37" s="961">
        <f t="shared" si="5"/>
        <v>1</v>
      </c>
    </row>
    <row r="38" spans="1:31" s="49" customFormat="1" ht="15">
      <c r="A38" s="3358"/>
      <c r="B38" s="3276" t="s">
        <v>1783</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5010"/>
      <c r="Q38" s="3277" t="str">
        <f t="shared" si="14"/>
        <v>宗地开发程度</v>
      </c>
      <c r="R38" s="4076" t="s">
        <v>13</v>
      </c>
      <c r="S38" s="4079">
        <f t="shared" si="10"/>
        <v>100</v>
      </c>
      <c r="T38" s="4076" t="s">
        <v>13</v>
      </c>
      <c r="U38" s="4079">
        <f t="shared" si="11"/>
        <v>100</v>
      </c>
      <c r="V38" s="4076" t="s">
        <v>13</v>
      </c>
      <c r="W38" s="4079">
        <f t="shared" si="12"/>
        <v>100</v>
      </c>
      <c r="X38" s="504"/>
      <c r="Y38" s="4969"/>
      <c r="Z38" s="28" t="str">
        <f t="shared" si="13"/>
        <v>宗地开发程度</v>
      </c>
      <c r="AA38" s="505">
        <f t="shared" si="3"/>
        <v>1</v>
      </c>
      <c r="AB38" s="505">
        <f t="shared" si="4"/>
        <v>1</v>
      </c>
      <c r="AC38" s="505">
        <f t="shared" si="5"/>
        <v>1</v>
      </c>
    </row>
    <row r="39" spans="1:31" ht="15">
      <c r="A39" s="3356"/>
      <c r="B39" s="3276" t="s">
        <v>1784</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5010" t="s">
        <v>1602</v>
      </c>
      <c r="Q39" s="3277" t="str">
        <f t="shared" si="14"/>
        <v>工程地质条件</v>
      </c>
      <c r="R39" s="4077" t="s">
        <v>13</v>
      </c>
      <c r="S39" s="4080">
        <f t="shared" si="10"/>
        <v>100</v>
      </c>
      <c r="T39" s="4077" t="s">
        <v>13</v>
      </c>
      <c r="U39" s="4080">
        <f t="shared" si="11"/>
        <v>100</v>
      </c>
      <c r="V39" s="4077" t="s">
        <v>13</v>
      </c>
      <c r="W39" s="4080">
        <f t="shared" si="12"/>
        <v>100</v>
      </c>
      <c r="X39" s="963"/>
      <c r="Y39" s="4969" t="s">
        <v>1602</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5010"/>
      <c r="Q40" s="3277">
        <f t="shared" si="14"/>
        <v>111</v>
      </c>
      <c r="R40" s="4077" t="s">
        <v>13</v>
      </c>
      <c r="S40" s="4080">
        <f t="shared" si="10"/>
        <v>100</v>
      </c>
      <c r="T40" s="4077" t="s">
        <v>13</v>
      </c>
      <c r="U40" s="4080">
        <f t="shared" si="11"/>
        <v>100</v>
      </c>
      <c r="V40" s="4077" t="s">
        <v>13</v>
      </c>
      <c r="W40" s="4080">
        <f t="shared" si="12"/>
        <v>100</v>
      </c>
      <c r="X40" s="963"/>
      <c r="Y40" s="4969"/>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5010"/>
      <c r="Q41" s="3277">
        <f t="shared" si="14"/>
        <v>111</v>
      </c>
      <c r="R41" s="4077" t="s">
        <v>13</v>
      </c>
      <c r="S41" s="4080">
        <f t="shared" si="10"/>
        <v>100</v>
      </c>
      <c r="T41" s="4077" t="s">
        <v>13</v>
      </c>
      <c r="U41" s="4080">
        <f t="shared" si="11"/>
        <v>100</v>
      </c>
      <c r="V41" s="4077" t="s">
        <v>13</v>
      </c>
      <c r="W41" s="4080">
        <f t="shared" si="12"/>
        <v>100</v>
      </c>
      <c r="X41" s="963"/>
      <c r="Y41" s="4969"/>
      <c r="Z41" s="964">
        <f t="shared" si="13"/>
        <v>111</v>
      </c>
      <c r="AA41" s="961">
        <f t="shared" si="3"/>
        <v>1</v>
      </c>
      <c r="AB41" s="961">
        <f t="shared" si="4"/>
        <v>1</v>
      </c>
      <c r="AC41" s="961">
        <f t="shared" si="5"/>
        <v>1</v>
      </c>
    </row>
    <row r="42" spans="1:31" s="285" customFormat="1" ht="15.6"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5010"/>
      <c r="Q42" s="3277">
        <f t="shared" si="14"/>
        <v>111</v>
      </c>
      <c r="R42" s="4078" t="s">
        <v>13</v>
      </c>
      <c r="S42" s="4081">
        <f t="shared" si="10"/>
        <v>100</v>
      </c>
      <c r="T42" s="4078" t="s">
        <v>13</v>
      </c>
      <c r="U42" s="4081">
        <f t="shared" si="11"/>
        <v>100</v>
      </c>
      <c r="V42" s="4078" t="s">
        <v>13</v>
      </c>
      <c r="W42" s="4081">
        <f t="shared" si="12"/>
        <v>100</v>
      </c>
      <c r="X42" s="507"/>
      <c r="Y42" s="4969"/>
      <c r="Z42" s="508">
        <f t="shared" si="13"/>
        <v>111</v>
      </c>
      <c r="AA42" s="961">
        <f t="shared" si="3"/>
        <v>1</v>
      </c>
      <c r="AB42" s="961">
        <f t="shared" si="4"/>
        <v>1</v>
      </c>
      <c r="AC42" s="961">
        <f t="shared" si="5"/>
        <v>1</v>
      </c>
    </row>
    <row r="43" spans="1:31" ht="14.4">
      <c r="A43" s="292" t="s">
        <v>1750</v>
      </c>
      <c r="B43" s="1536" t="s">
        <v>1828</v>
      </c>
      <c r="C43" s="455" t="s">
        <v>0</v>
      </c>
      <c r="D43" s="3425"/>
      <c r="E43" s="3458"/>
      <c r="F43" s="3402"/>
      <c r="G43" s="3459"/>
      <c r="H43" s="3461"/>
      <c r="I43" s="3458"/>
      <c r="J43" s="3403"/>
      <c r="K43" s="3104"/>
      <c r="L43" s="2155"/>
      <c r="M43" s="2147"/>
      <c r="N43" s="2147"/>
      <c r="O43" s="2156"/>
      <c r="P43" s="4971" t="str">
        <f>A43</f>
        <v>成交单价</v>
      </c>
      <c r="Q43" s="4971"/>
      <c r="R43" s="4972">
        <f>E43</f>
        <v>0</v>
      </c>
      <c r="S43" s="4972"/>
      <c r="T43" s="4972">
        <f>G43</f>
        <v>0</v>
      </c>
      <c r="U43" s="4972"/>
      <c r="V43" s="4972">
        <f>I43</f>
        <v>0</v>
      </c>
      <c r="W43" s="4972"/>
      <c r="X43" s="493"/>
      <c r="Y43" s="509"/>
      <c r="Z43" s="493"/>
      <c r="AA43" s="493"/>
      <c r="AB43" s="493"/>
      <c r="AC43" s="493"/>
    </row>
    <row r="44" spans="1:31" ht="15" thickBot="1">
      <c r="A44" s="295" t="s">
        <v>1699</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971" t="str">
        <f>A44</f>
        <v>比较价值（元/平方米）</v>
      </c>
      <c r="Q44" s="4971"/>
      <c r="R44" s="4972" t="e">
        <f>ROUND(PRODUCT(R43,AA9:AA42),0)</f>
        <v>#DIV/0!</v>
      </c>
      <c r="S44" s="4972"/>
      <c r="T44" s="4972" t="e">
        <f>ROUND(PRODUCT(T43,AB9:AB42),0)</f>
        <v>#DIV/0!</v>
      </c>
      <c r="U44" s="4972"/>
      <c r="V44" s="4972" t="e">
        <f>ROUND(PRODUCT(V43,AC9:AC42),0)</f>
        <v>#DIV/0!</v>
      </c>
      <c r="W44" s="4972"/>
      <c r="X44" s="493"/>
      <c r="Y44" s="493"/>
      <c r="Z44" s="493"/>
      <c r="AA44" s="493"/>
      <c r="AB44" s="493"/>
      <c r="AC44" s="493"/>
    </row>
    <row r="45" spans="1:31" ht="15" thickBot="1">
      <c r="A45" s="297" t="s">
        <v>1700</v>
      </c>
      <c r="B45" s="298"/>
      <c r="C45" s="4054" t="e">
        <f>R45</f>
        <v>#DIV/0!</v>
      </c>
      <c r="D45" s="3404"/>
      <c r="E45" s="3404"/>
      <c r="F45" s="3404"/>
      <c r="G45" s="3404"/>
      <c r="H45" s="3404"/>
      <c r="I45" s="3404"/>
      <c r="J45" s="3404"/>
      <c r="K45" s="3426"/>
      <c r="L45" s="2155"/>
      <c r="M45" s="2147"/>
      <c r="N45" s="2147"/>
      <c r="O45" s="2156"/>
      <c r="P45" s="4973" t="str">
        <f>A45</f>
        <v>估价对象XX用房的比较价值（楼面单价，元/平方米）</v>
      </c>
      <c r="Q45" s="4974"/>
      <c r="R45" s="4975" t="e">
        <f>ROUND(IF(D44="简单平均",AVERAGE(R44:W44),R44*F44+T44*H44+V44*J44),0)</f>
        <v>#DIV/0!</v>
      </c>
      <c r="S45" s="4975"/>
      <c r="T45" s="4975"/>
      <c r="U45" s="4975"/>
      <c r="V45" s="4975"/>
      <c r="W45" s="4975"/>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1701</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1702</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1703</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1787</v>
      </c>
      <c r="B52" s="458" t="s">
        <v>1788</v>
      </c>
      <c r="C52" s="1537" t="s">
        <v>1789</v>
      </c>
      <c r="D52" s="1538" t="s">
        <v>1790</v>
      </c>
      <c r="E52" s="459" t="s">
        <v>1791</v>
      </c>
      <c r="F52" s="460" t="s">
        <v>1792</v>
      </c>
      <c r="G52" s="4992" t="s">
        <v>1793</v>
      </c>
      <c r="H52" s="5024"/>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262.77</v>
      </c>
      <c r="F53" s="3316" t="e">
        <f t="shared" ref="F53:F62" si="15">ROUND(B53*E53/10000,0)</f>
        <v>#DIV/0!</v>
      </c>
      <c r="G53" s="5025"/>
      <c r="H53" s="501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v>
      </c>
      <c r="D54" s="3315">
        <v>0.25</v>
      </c>
      <c r="E54" s="3317"/>
      <c r="F54" s="3316" t="e">
        <f t="shared" si="15"/>
        <v>#DIV/0!</v>
      </c>
      <c r="G54" s="3324" t="s">
        <v>1798</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v>
      </c>
      <c r="D58" s="3315">
        <v>0.25</v>
      </c>
      <c r="E58" s="3318">
        <f>'数据-汇总表'!E11</f>
        <v>0</v>
      </c>
      <c r="F58" s="3316" t="e">
        <f t="shared" si="15"/>
        <v>#DIV/0!</v>
      </c>
      <c r="G58" s="3327" t="s">
        <v>1802</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v>
      </c>
      <c r="D59" s="3315">
        <v>0.25</v>
      </c>
      <c r="E59" s="3318">
        <f>'数据-汇总表'!E12</f>
        <v>0</v>
      </c>
      <c r="F59" s="3316" t="e">
        <f t="shared" si="15"/>
        <v>#DIV/0!</v>
      </c>
      <c r="G59" s="3328" t="s">
        <v>1804</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0.15</v>
      </c>
      <c r="D60" s="3315">
        <v>0.25</v>
      </c>
      <c r="E60" s="3318">
        <f>'数据-汇总表'!E13</f>
        <v>0</v>
      </c>
      <c r="F60" s="3316" t="e">
        <f t="shared" si="15"/>
        <v>#DIV/0!</v>
      </c>
      <c r="G60" s="3328" t="s">
        <v>1806</v>
      </c>
      <c r="H60" s="3321" t="str">
        <f>IF(G60="商业",项目基本情况!B37,IF(G60="办公",项目基本情况!C37,IF(G60="住宅",项目基本情况!D37,项目基本情况!E37)))</f>
        <v>七级</v>
      </c>
      <c r="I60" s="2968">
        <f>SUMIF(修正!A59:A70,H60,修正!G59:G70)</f>
        <v>0.15</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v>
      </c>
      <c r="D61" s="3315">
        <v>0.25</v>
      </c>
      <c r="E61" s="3318">
        <f>'数据-汇总表'!E14</f>
        <v>0</v>
      </c>
      <c r="F61" s="3316" t="e">
        <f t="shared" si="15"/>
        <v>#DIV/0!</v>
      </c>
      <c r="G61" s="3327" t="s">
        <v>1798</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1808</v>
      </c>
      <c r="B62" s="4094" t="e">
        <f t="shared" si="17"/>
        <v>#DIV/0!</v>
      </c>
      <c r="C62" s="3312">
        <f t="shared" si="16"/>
        <v>0</v>
      </c>
      <c r="D62" s="3315">
        <v>0.25</v>
      </c>
      <c r="E62" s="3318">
        <f>'数据-汇总表'!E15</f>
        <v>0</v>
      </c>
      <c r="F62" s="3316" t="e">
        <f t="shared" si="15"/>
        <v>#DIV/0!</v>
      </c>
      <c r="G62" s="3329" t="s">
        <v>1802</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1809</v>
      </c>
      <c r="B63" s="4097" t="s">
        <v>20</v>
      </c>
      <c r="C63" s="465" t="s">
        <v>21</v>
      </c>
      <c r="D63" s="465" t="s">
        <v>386</v>
      </c>
      <c r="E63" s="3319">
        <f>IF(B43="楼面地价",SUM(E53:E62),'数据-汇总表'!D3)</f>
        <v>623.5</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6"/>
      <c r="Q65" s="2156"/>
      <c r="R65" s="2156"/>
      <c r="S65" s="2156"/>
      <c r="T65" s="2156"/>
      <c r="U65" s="2156"/>
      <c r="V65" s="2156"/>
      <c r="W65" s="2156"/>
      <c r="X65" s="2156"/>
      <c r="Y65" s="2156"/>
      <c r="Z65" s="2156"/>
      <c r="AA65" s="2156"/>
      <c r="AB65" s="2156"/>
      <c r="AC65" s="2156"/>
      <c r="AD65" s="2156"/>
      <c r="AE65" s="2156"/>
    </row>
    <row r="66" spans="1:31" ht="22.2" thickBot="1">
      <c r="A66" s="497" t="s">
        <v>1704</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1622</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1587</v>
      </c>
      <c r="B70" s="313"/>
      <c r="C70" s="325" t="s">
        <v>1682</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1625</v>
      </c>
      <c r="B72" s="330" t="s">
        <v>1591</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1594</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1595</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1596</v>
      </c>
      <c r="B85" s="330" t="s">
        <v>1735</v>
      </c>
      <c r="C85" s="373" t="s">
        <v>1627</v>
      </c>
      <c r="D85" s="373" t="s">
        <v>1628</v>
      </c>
      <c r="E85" s="373" t="s">
        <v>1629</v>
      </c>
      <c r="F85" s="373" t="s">
        <v>1630</v>
      </c>
      <c r="G85" s="373" t="s">
        <v>1631</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1632</v>
      </c>
      <c r="C87" s="377" t="s">
        <v>1627</v>
      </c>
      <c r="D87" s="377" t="s">
        <v>1628</v>
      </c>
      <c r="E87" s="377" t="s">
        <v>1629</v>
      </c>
      <c r="F87" s="377" t="s">
        <v>1630</v>
      </c>
      <c r="G87" s="377" t="s">
        <v>1631</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1813</v>
      </c>
      <c r="C89" s="373" t="s">
        <v>1627</v>
      </c>
      <c r="D89" s="373" t="s">
        <v>1628</v>
      </c>
      <c r="E89" s="373" t="s">
        <v>1629</v>
      </c>
      <c r="F89" s="373" t="s">
        <v>1630</v>
      </c>
      <c r="G89" s="373" t="s">
        <v>1631</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1814</v>
      </c>
      <c r="C91" s="373" t="s">
        <v>1627</v>
      </c>
      <c r="D91" s="373" t="s">
        <v>1628</v>
      </c>
      <c r="E91" s="373" t="s">
        <v>1629</v>
      </c>
      <c r="F91" s="373" t="s">
        <v>1630</v>
      </c>
      <c r="G91" s="373" t="s">
        <v>1631</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1684</v>
      </c>
      <c r="C93" s="373" t="s">
        <v>1627</v>
      </c>
      <c r="D93" s="373" t="s">
        <v>1628</v>
      </c>
      <c r="E93" s="373" t="s">
        <v>1629</v>
      </c>
      <c r="F93" s="373" t="s">
        <v>1630</v>
      </c>
      <c r="G93" s="373" t="s">
        <v>1631</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1831</v>
      </c>
      <c r="C95" s="444" t="s">
        <v>1705</v>
      </c>
      <c r="D95" s="444" t="s">
        <v>1706</v>
      </c>
      <c r="E95" s="444" t="s">
        <v>1707</v>
      </c>
      <c r="F95" s="444" t="s">
        <v>1708</v>
      </c>
      <c r="G95" s="444" t="s">
        <v>1709</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1721</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1779</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1600</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4" sqref="D44"/>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1529</v>
      </c>
      <c r="B1" s="832"/>
      <c r="C1" s="833"/>
      <c r="D1" s="831"/>
      <c r="E1" s="2225"/>
      <c r="F1" s="2225"/>
      <c r="G1" s="2104"/>
      <c r="H1" s="2225"/>
      <c r="I1" s="2225"/>
      <c r="J1" s="2225"/>
      <c r="K1" s="2226">
        <f>MATCH(C1,'数据-取费表'!A6:A16,0)+5</f>
        <v>7</v>
      </c>
    </row>
    <row r="2" spans="1:33" ht="18" customHeight="1">
      <c r="A2" s="100" t="s">
        <v>1430</v>
      </c>
      <c r="B2" s="2757">
        <f ca="1">IF(D2="含税",C37,C36)</f>
        <v>-7</v>
      </c>
      <c r="C2" s="175" t="s">
        <v>1530</v>
      </c>
      <c r="D2" s="3587"/>
      <c r="E2" s="2225"/>
      <c r="G2" s="2225"/>
      <c r="H2" s="2225"/>
      <c r="I2" s="2225"/>
      <c r="J2" s="2225"/>
      <c r="K2" s="2225"/>
    </row>
    <row r="3" spans="1:33" ht="18" customHeight="1">
      <c r="A3" s="102" t="s">
        <v>1432</v>
      </c>
      <c r="B3" s="2757">
        <f ca="1">ROUND(B2*10000/IF(C1="",'数据-汇总表'!E3,INDIRECT("'数据-取费表'!K"&amp;$K$1)),0)</f>
        <v>-266</v>
      </c>
      <c r="C3" s="175" t="s">
        <v>1531</v>
      </c>
      <c r="E3" s="541"/>
      <c r="I3" s="2225"/>
      <c r="J3" s="2225"/>
      <c r="K3" s="2225"/>
    </row>
    <row r="4" spans="1:33" ht="18" customHeight="1">
      <c r="A4" s="3640" t="s">
        <v>3626</v>
      </c>
      <c r="B4" s="3645">
        <f ca="1">ROUND(B2*10000/IF(C1="",'数据-汇总表'!D3,INDIRECT("'数据-取费表'!R"&amp;$K$1)),0)</f>
        <v>-112</v>
      </c>
      <c r="C4" s="3644" t="s">
        <v>1531</v>
      </c>
      <c r="E4" s="541"/>
      <c r="I4" s="2225"/>
      <c r="J4" s="2225"/>
      <c r="K4" s="2225"/>
    </row>
    <row r="5" spans="1:33" ht="18" customHeight="1" thickBot="1">
      <c r="A5" s="98"/>
      <c r="B5" s="3641">
        <f ca="1">ROUND(B2/(IF(C1="",'数据-汇总表'!D3,INDIRECT("'数据-取费表'!R"&amp;$K$1))/666.67),0)</f>
        <v>-7</v>
      </c>
      <c r="C5" s="3643" t="s">
        <v>3624</v>
      </c>
      <c r="E5" s="541"/>
      <c r="I5" s="2225"/>
      <c r="J5" s="2225"/>
      <c r="K5" s="2225"/>
    </row>
    <row r="6" spans="1:33" s="542" customFormat="1" ht="16.5" customHeight="1">
      <c r="A6" s="2890" t="s">
        <v>3373</v>
      </c>
      <c r="B6" s="2889"/>
      <c r="C6" s="5030" t="s">
        <v>3375</v>
      </c>
      <c r="D6" s="5030"/>
      <c r="E6" s="5030"/>
      <c r="F6" s="5030"/>
      <c r="G6" s="5030"/>
      <c r="H6" s="5030"/>
      <c r="I6" s="5030"/>
      <c r="J6" s="5030"/>
      <c r="K6" s="5031"/>
    </row>
    <row r="7" spans="1:33" s="545" customFormat="1" ht="14.4">
      <c r="A7" s="272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34" t="s">
        <v>3388</v>
      </c>
      <c r="B11" s="5035"/>
      <c r="C11" s="5035"/>
      <c r="D11" s="5035"/>
      <c r="E11" s="5035"/>
      <c r="F11" s="5035"/>
      <c r="G11" s="5035"/>
      <c r="H11" s="5035"/>
      <c r="I11" s="5035"/>
      <c r="J11" s="5035"/>
      <c r="K11" s="5036"/>
    </row>
    <row r="12" spans="1:33" s="4439" customFormat="1" ht="13.5" customHeight="1">
      <c r="A12" s="3470" t="s">
        <v>3508</v>
      </c>
      <c r="B12" s="4436" t="s">
        <v>1536</v>
      </c>
      <c r="C12" s="4440" t="s">
        <v>3955</v>
      </c>
      <c r="D12" s="4436" t="s">
        <v>1538</v>
      </c>
      <c r="E12" s="4436" t="s">
        <v>1539</v>
      </c>
      <c r="F12" s="4436" t="s">
        <v>1540</v>
      </c>
      <c r="G12" s="4437" t="s">
        <v>3399</v>
      </c>
      <c r="H12" s="4436"/>
      <c r="I12" s="4436"/>
      <c r="J12" s="4436"/>
      <c r="K12" s="4438"/>
    </row>
    <row r="13" spans="1:33" s="550" customFormat="1" ht="13.5" customHeight="1">
      <c r="A13" s="2727">
        <v>1</v>
      </c>
      <c r="B13" s="2914" t="s">
        <v>3374</v>
      </c>
      <c r="C13" s="2899">
        <f>SUM(C10:K10)</f>
        <v>0</v>
      </c>
      <c r="D13" s="2725"/>
      <c r="E13" s="2725"/>
      <c r="F13" s="2725"/>
      <c r="G13" s="2915"/>
      <c r="H13" s="2915"/>
      <c r="I13" s="2915"/>
      <c r="J13" s="2915"/>
      <c r="K13" s="2916"/>
    </row>
    <row r="14" spans="1:33" s="552" customFormat="1" ht="13.5" customHeight="1">
      <c r="A14" s="2727">
        <v>2</v>
      </c>
      <c r="B14" s="559" t="s">
        <v>1551</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8</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0</v>
      </c>
      <c r="D16" s="551"/>
      <c r="E16" s="216"/>
      <c r="F16" s="2908">
        <f ca="1">1-IF('数据-取费表'!B24=0,1,IF(C1="",'数据-取费表'!N16,INDIRECT("'数据-取费表'!n"&amp;$K$1)))</f>
        <v>0.4</v>
      </c>
      <c r="G16" s="2915"/>
      <c r="H16" s="2915"/>
      <c r="I16" s="2915"/>
      <c r="J16" s="2915"/>
      <c r="K16" s="2916"/>
    </row>
    <row r="17" spans="1:33" s="552" customFormat="1" ht="13.5" customHeight="1">
      <c r="A17" s="546" t="s">
        <v>1534</v>
      </c>
      <c r="B17" s="2931" t="s">
        <v>3390</v>
      </c>
      <c r="C17" s="2939">
        <f ca="1">ROUND(C16*F17,0)</f>
        <v>0</v>
      </c>
      <c r="D17" s="551"/>
      <c r="E17" s="216"/>
      <c r="F17" s="2908">
        <f>'数据-取费表'!B33</f>
        <v>0.05</v>
      </c>
      <c r="G17" s="3673" t="s">
        <v>3675</v>
      </c>
      <c r="H17" s="2915"/>
      <c r="I17" s="2915"/>
      <c r="J17" s="2915"/>
      <c r="K17" s="2916"/>
    </row>
    <row r="18" spans="1:33" s="552" customFormat="1" ht="13.5" customHeight="1">
      <c r="A18" s="546" t="s">
        <v>1535</v>
      </c>
      <c r="B18" s="2931" t="s">
        <v>3391</v>
      </c>
      <c r="C18" s="2939">
        <f ca="1">ROUND(IF(C1="",SUMIF('数据-取费表'!C:C,"住宅",'数据-取费表'!P:P)*F18,IF(INDIRECT("'数据-取费表'!c"&amp;$K$1)="住宅",INDIRECT("'数据-取费表'!P"&amp;$K$1)*F18,0)),0)</f>
        <v>0</v>
      </c>
      <c r="D18" s="569"/>
      <c r="E18" s="216"/>
      <c r="F18" s="2908">
        <f>'数据-取费表'!B34</f>
        <v>0.02</v>
      </c>
      <c r="G18" s="2915" t="s">
        <v>1541</v>
      </c>
      <c r="H18" s="2915"/>
      <c r="I18" s="2915"/>
      <c r="J18" s="2915"/>
      <c r="K18" s="2916"/>
    </row>
    <row r="19" spans="1:33" s="552" customFormat="1" ht="13.5" customHeight="1">
      <c r="A19" s="546" t="s">
        <v>3378</v>
      </c>
      <c r="B19" s="2931" t="s">
        <v>3392</v>
      </c>
      <c r="C19" s="2939">
        <f ca="1">C20+C23+C24</f>
        <v>8</v>
      </c>
      <c r="D19" s="569"/>
      <c r="E19" s="216"/>
      <c r="F19" s="2908"/>
      <c r="G19" s="2915"/>
      <c r="H19" s="2915"/>
      <c r="I19" s="2915"/>
      <c r="J19" s="2915"/>
      <c r="K19" s="2916"/>
    </row>
    <row r="20" spans="1:33" s="552" customFormat="1" ht="13.5" customHeight="1">
      <c r="A20" s="2893" t="s">
        <v>3381</v>
      </c>
      <c r="B20" s="2918" t="s">
        <v>1546</v>
      </c>
      <c r="C20" s="2939">
        <f ca="1">C21+C22-IF(C1="",'数据-取费表'!B29,IF(G20="已全部缴纳",C21+C22,H20))</f>
        <v>4</v>
      </c>
      <c r="D20" s="569"/>
      <c r="E20" s="12"/>
      <c r="F20" s="2909"/>
      <c r="G20" s="2919"/>
      <c r="H20" s="2920"/>
      <c r="I20" s="2921" t="s">
        <v>1547</v>
      </c>
      <c r="J20" s="216"/>
      <c r="K20" s="2917"/>
    </row>
    <row r="21" spans="1:33" s="552" customFormat="1" ht="13.5" customHeight="1">
      <c r="A21" s="2933" t="s">
        <v>3384</v>
      </c>
      <c r="B21" s="2934" t="s">
        <v>3395</v>
      </c>
      <c r="C21" s="2940">
        <f ca="1">ROUND(D21*E21/10000,0)</f>
        <v>4</v>
      </c>
      <c r="D21" s="2942">
        <f ca="1">IF(C1="",'数据-汇总表'!E5,IF(INDIRECT("'数据-取费表'!c"&amp;$K$1)="住宅",INDIRECT("'数据-取费表'!k"&amp;$K$1),0))</f>
        <v>262.77</v>
      </c>
      <c r="E21" s="2940">
        <f>'数据-取费表'!B27</f>
        <v>160</v>
      </c>
      <c r="F21" s="2935"/>
      <c r="G21" s="190"/>
      <c r="H21" s="190"/>
      <c r="I21" s="190"/>
      <c r="J21" s="190"/>
      <c r="K21" s="2027"/>
    </row>
    <row r="22" spans="1:33" s="552" customFormat="1" ht="13.5" customHeight="1">
      <c r="A22" s="2933" t="s">
        <v>3385</v>
      </c>
      <c r="B22" s="2934" t="s">
        <v>3396</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3382</v>
      </c>
      <c r="B23" s="2918" t="s">
        <v>1542</v>
      </c>
      <c r="C23" s="2939">
        <f ca="1">ROUND(D23*E23*F16/10000,0)</f>
        <v>4</v>
      </c>
      <c r="D23" s="2943">
        <f ca="1">IF(C1="",'数据-汇总表'!E3,INDIRECT("'数据-取费表'!K"&amp;$K$1)+INDIRECT("'数据-取费表'!S"&amp;$K$1))</f>
        <v>262.77</v>
      </c>
      <c r="E23" s="2939">
        <f>'数据-取费表'!B35</f>
        <v>360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1544</v>
      </c>
      <c r="C24" s="2939">
        <f ca="1">ROUND(D24*E24/10000,0)</f>
        <v>0</v>
      </c>
      <c r="D24" s="2943">
        <f ca="1">D23</f>
        <v>262.77</v>
      </c>
      <c r="E24" s="2939">
        <f>'数据-取费表'!B32</f>
        <v>0</v>
      </c>
      <c r="F24" s="2904"/>
      <c r="G24" s="216" t="s">
        <v>1545</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0</v>
      </c>
      <c r="D25" s="2894"/>
      <c r="E25" s="2895"/>
      <c r="F25" s="2908">
        <f>'数据-取费表'!B36</f>
        <v>0</v>
      </c>
      <c r="G25" s="2894"/>
      <c r="H25" s="2894"/>
      <c r="I25" s="2894"/>
      <c r="J25" s="2894"/>
      <c r="K25" s="2922"/>
    </row>
    <row r="26" spans="1:33" s="553" customFormat="1" ht="13.5" customHeight="1">
      <c r="A26" s="2891" t="s">
        <v>3380</v>
      </c>
      <c r="B26" s="2931" t="s">
        <v>3394</v>
      </c>
      <c r="C26" s="2904">
        <f ca="1">ROUND(C16*F26,0)</f>
        <v>0</v>
      </c>
      <c r="D26" s="554"/>
      <c r="E26" s="558"/>
      <c r="F26" s="2908">
        <f>'数据-取费表'!B37</f>
        <v>0</v>
      </c>
      <c r="G26" s="216" t="s">
        <v>1543</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1548</v>
      </c>
      <c r="C27" s="2900">
        <f ca="1">ROUND(C15*F27,0)</f>
        <v>0</v>
      </c>
      <c r="D27" s="177"/>
      <c r="E27" s="177"/>
      <c r="F27" s="2907">
        <f>'数据-取费表'!B38</f>
        <v>1.4999999999999999E-2</v>
      </c>
      <c r="G27" s="2915" t="s">
        <v>1549</v>
      </c>
      <c r="H27" s="2915"/>
      <c r="I27" s="2915"/>
      <c r="J27" s="2915"/>
      <c r="K27" s="2916"/>
    </row>
    <row r="28" spans="1:33" s="552" customFormat="1" ht="13.5" customHeight="1">
      <c r="A28" s="2727">
        <v>5</v>
      </c>
      <c r="B28" s="559" t="s">
        <v>1550</v>
      </c>
      <c r="C28" s="2900">
        <f ca="1">ROUND(C13*F28*F16,0)</f>
        <v>0</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0+0.0309V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1552</v>
      </c>
      <c r="C30" s="2905">
        <f ca="1">ROUND(IF('数据-取费表'!B22&lt;=1,(1+F14)*F29*'数据-取费表'!B24,(1+F14)*(POWER((1+F29),'数据-取费表'!B24)-1)),4)</f>
        <v>3.09E-2</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1534</v>
      </c>
      <c r="B31" s="2918" t="s">
        <v>3397</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1556</v>
      </c>
      <c r="C32" s="2923">
        <f>ROUND(C13*F32/(1+'数据-取费表'!C43),0)</f>
        <v>0</v>
      </c>
      <c r="D32" s="2915"/>
      <c r="E32" s="2927"/>
      <c r="F32" s="2924"/>
      <c r="G32" s="5032" t="s">
        <v>3387</v>
      </c>
      <c r="H32" s="5032"/>
      <c r="I32" s="5032"/>
      <c r="J32" s="5032"/>
      <c r="K32" s="5033"/>
    </row>
    <row r="33" spans="1:11" s="180" customFormat="1" ht="13.5" customHeight="1">
      <c r="A33" s="2727">
        <v>8</v>
      </c>
      <c r="B33" s="2896" t="s">
        <v>1553</v>
      </c>
      <c r="C33" s="2941" t="str">
        <f ca="1">C35&amp;"+"&amp;C34&amp;"V"</f>
        <v>1+0.1546V</v>
      </c>
      <c r="D33" s="176"/>
      <c r="E33" s="177"/>
      <c r="F33" s="2911">
        <f ca="1">IF(C1="",'数据-取费表'!Q16,INDIRECT("'数据-取费表'!q"&amp;$K$1))</f>
        <v>0.15</v>
      </c>
      <c r="G33" s="25"/>
      <c r="H33" s="25"/>
      <c r="I33" s="25"/>
      <c r="J33" s="25"/>
      <c r="K33" s="27"/>
    </row>
    <row r="34" spans="1:11" s="181" customFormat="1" ht="13.5" customHeight="1">
      <c r="A34" s="2937" t="s">
        <v>355</v>
      </c>
      <c r="B34" s="2918" t="s">
        <v>1554</v>
      </c>
      <c r="C34" s="2905">
        <f ca="1">ROUND((1+F14)*F33*'数据-取费表'!B24/'数据-取费表'!B22,4)</f>
        <v>0.15459999999999999</v>
      </c>
      <c r="D34" s="178"/>
      <c r="E34" s="554"/>
      <c r="F34" s="2910"/>
      <c r="G34" s="216" t="s">
        <v>1555</v>
      </c>
      <c r="H34" s="216"/>
      <c r="I34" s="216"/>
      <c r="J34" s="216"/>
      <c r="K34" s="2917"/>
    </row>
    <row r="35" spans="1:11" s="181" customFormat="1" ht="13.5" customHeight="1">
      <c r="A35" s="2937" t="s">
        <v>1534</v>
      </c>
      <c r="B35" s="2918" t="s">
        <v>3397</v>
      </c>
      <c r="C35" s="2906">
        <f ca="1">ROUND((C15+C27+C28)*F33,0)</f>
        <v>1</v>
      </c>
      <c r="D35" s="178"/>
      <c r="E35" s="554"/>
      <c r="F35" s="2910"/>
      <c r="G35" s="216"/>
      <c r="H35" s="216"/>
      <c r="I35" s="216"/>
      <c r="J35" s="216"/>
      <c r="K35" s="2917"/>
    </row>
    <row r="36" spans="1:11" s="550" customFormat="1" ht="15.6">
      <c r="A36" s="2727">
        <v>9</v>
      </c>
      <c r="B36" s="2914" t="s">
        <v>3386</v>
      </c>
      <c r="C36" s="2899">
        <f ca="1">ROUND((C13-C15-C27-C28-C31-C35-C32)/(1+F14+C30+C34),0)</f>
        <v>-7</v>
      </c>
      <c r="D36" s="2915"/>
      <c r="E36" s="2915"/>
      <c r="F36" s="176"/>
      <c r="G36" s="2948" t="s">
        <v>3398</v>
      </c>
      <c r="H36" s="2915"/>
      <c r="I36" s="2915"/>
      <c r="J36" s="2915"/>
      <c r="K36" s="2916"/>
    </row>
    <row r="37" spans="1:11" s="3025" customFormat="1" ht="15" thickBot="1">
      <c r="A37" s="2928">
        <v>10</v>
      </c>
      <c r="B37" s="2929" t="s">
        <v>3473</v>
      </c>
      <c r="C37" s="3022">
        <f ca="1">ROUND(C36*(1+F37),0)</f>
        <v>-8</v>
      </c>
      <c r="D37" s="3023"/>
      <c r="E37" s="3024"/>
      <c r="F37" s="2930">
        <v>0.09</v>
      </c>
      <c r="G37" s="2914" t="s">
        <v>3474</v>
      </c>
      <c r="H37" s="2915"/>
      <c r="I37" s="2915"/>
      <c r="J37" s="2915"/>
      <c r="K37" s="2916"/>
    </row>
    <row r="38" spans="1:11" ht="12.75" customHeight="1"/>
    <row r="44" spans="1:11" s="3468" customFormat="1" ht="18" thickBot="1">
      <c r="A44" s="3473" t="s">
        <v>3481</v>
      </c>
      <c r="B44" s="2020"/>
      <c r="C44" s="3474"/>
      <c r="D44" s="2020"/>
      <c r="E44" s="2020"/>
      <c r="F44" s="2020"/>
      <c r="G44" s="2020"/>
    </row>
    <row r="45" spans="1:11" s="3468" customFormat="1" ht="14.4">
      <c r="A45" s="3470" t="s">
        <v>3508</v>
      </c>
      <c r="B45" s="2912" t="s">
        <v>1536</v>
      </c>
      <c r="C45" s="2913" t="s">
        <v>1537</v>
      </c>
      <c r="D45" s="1239" t="s">
        <v>1538</v>
      </c>
      <c r="E45" s="1239" t="s">
        <v>1539</v>
      </c>
      <c r="F45" s="1239" t="s">
        <v>1540</v>
      </c>
      <c r="G45" s="2949" t="s">
        <v>3399</v>
      </c>
    </row>
    <row r="46" spans="1:11" s="3468" customFormat="1">
      <c r="A46" s="660">
        <v>1</v>
      </c>
      <c r="B46" s="2932" t="s">
        <v>3482</v>
      </c>
      <c r="C46" s="2903">
        <f>C13</f>
        <v>0</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8</v>
      </c>
      <c r="D49" s="660"/>
      <c r="E49" s="660"/>
      <c r="F49" s="660"/>
      <c r="G49" s="660"/>
    </row>
    <row r="50" spans="1:7" s="3468" customFormat="1">
      <c r="A50" s="3472" t="s">
        <v>3494</v>
      </c>
      <c r="B50" s="2932" t="s">
        <v>3498</v>
      </c>
      <c r="C50" s="2903">
        <f ca="1">C16</f>
        <v>0</v>
      </c>
      <c r="D50" s="660"/>
      <c r="E50" s="660"/>
      <c r="F50" s="660"/>
      <c r="G50" s="660"/>
    </row>
    <row r="51" spans="1:7" s="3468" customFormat="1">
      <c r="A51" s="3472" t="s">
        <v>3509</v>
      </c>
      <c r="B51" s="660" t="s">
        <v>3495</v>
      </c>
      <c r="C51" s="2903">
        <f t="shared" ref="C51:C53" ca="1" si="0">C17</f>
        <v>0</v>
      </c>
      <c r="D51" s="660"/>
      <c r="E51" s="660"/>
      <c r="F51" s="660"/>
      <c r="G51" s="660"/>
    </row>
    <row r="52" spans="1:7" s="3468" customFormat="1">
      <c r="A52" s="3472" t="s">
        <v>3510</v>
      </c>
      <c r="B52" s="660" t="s">
        <v>3496</v>
      </c>
      <c r="C52" s="2903">
        <f t="shared" ca="1" si="0"/>
        <v>0</v>
      </c>
      <c r="D52" s="660"/>
      <c r="E52" s="660"/>
      <c r="F52" s="660"/>
      <c r="G52" s="660"/>
    </row>
    <row r="53" spans="1:7" s="3468" customFormat="1">
      <c r="A53" s="3472" t="s">
        <v>3511</v>
      </c>
      <c r="B53" s="660" t="s">
        <v>3497</v>
      </c>
      <c r="C53" s="2903">
        <f t="shared" ca="1" si="0"/>
        <v>8</v>
      </c>
      <c r="D53" s="660"/>
      <c r="E53" s="660"/>
      <c r="F53" s="660"/>
      <c r="G53" s="660"/>
    </row>
    <row r="54" spans="1:7" s="3468" customFormat="1">
      <c r="A54" s="3668" t="s">
        <v>3384</v>
      </c>
      <c r="B54" s="3669" t="s">
        <v>3501</v>
      </c>
      <c r="C54" s="3670">
        <f ca="1">C20</f>
        <v>4</v>
      </c>
      <c r="D54" s="660"/>
      <c r="E54" s="660"/>
      <c r="F54" s="660"/>
      <c r="G54" s="660"/>
    </row>
    <row r="55" spans="1:7" s="3468" customFormat="1">
      <c r="A55" s="3668" t="s">
        <v>3385</v>
      </c>
      <c r="B55" s="3669" t="s">
        <v>3502</v>
      </c>
      <c r="C55" s="3670">
        <f ca="1">C23</f>
        <v>4</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0</v>
      </c>
      <c r="D57" s="660"/>
      <c r="E57" s="660"/>
      <c r="F57" s="660"/>
      <c r="G57" s="660"/>
    </row>
    <row r="58" spans="1:7" s="3468" customFormat="1">
      <c r="A58" s="3472" t="s">
        <v>3513</v>
      </c>
      <c r="B58" s="660" t="s">
        <v>3500</v>
      </c>
      <c r="C58" s="2903">
        <f ca="1">C26</f>
        <v>0</v>
      </c>
      <c r="D58" s="660"/>
      <c r="E58" s="660"/>
      <c r="F58" s="660"/>
      <c r="G58" s="660"/>
    </row>
    <row r="59" spans="1:7" s="3468" customFormat="1">
      <c r="A59" s="3471" t="s">
        <v>3492</v>
      </c>
      <c r="B59" s="2932" t="s">
        <v>3486</v>
      </c>
      <c r="C59" s="2903">
        <f ca="1">C27</f>
        <v>0</v>
      </c>
      <c r="D59" s="660"/>
      <c r="E59" s="660"/>
      <c r="F59" s="660"/>
      <c r="G59" s="660"/>
    </row>
    <row r="60" spans="1:7" s="3468" customFormat="1">
      <c r="A60" s="3471" t="s">
        <v>3504</v>
      </c>
      <c r="B60" s="2932" t="s">
        <v>3505</v>
      </c>
      <c r="C60" s="2903">
        <f ca="1">C61+C62</f>
        <v>0</v>
      </c>
      <c r="D60" s="660"/>
      <c r="E60" s="660"/>
      <c r="F60" s="660"/>
      <c r="G60" s="660"/>
    </row>
    <row r="61" spans="1:7" s="3468" customFormat="1">
      <c r="A61" s="3472" t="s">
        <v>3494</v>
      </c>
      <c r="B61" s="2932" t="s">
        <v>3489</v>
      </c>
      <c r="C61" s="2903">
        <f ca="1">C28</f>
        <v>0</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0+0.0309V</v>
      </c>
      <c r="D63" s="660"/>
      <c r="E63" s="660"/>
      <c r="F63" s="660"/>
      <c r="G63" s="660"/>
    </row>
    <row r="64" spans="1:7" s="3468" customFormat="1">
      <c r="A64" s="660">
        <v>4</v>
      </c>
      <c r="B64" s="2932" t="s">
        <v>3490</v>
      </c>
      <c r="C64" s="2903" t="str">
        <f ca="1">C33</f>
        <v>1+0.1546V</v>
      </c>
      <c r="D64" s="660"/>
      <c r="E64" s="660"/>
      <c r="F64" s="660"/>
      <c r="G64" s="660"/>
    </row>
    <row r="65" spans="1:7" s="3468" customFormat="1">
      <c r="A65" s="660">
        <v>5</v>
      </c>
      <c r="B65" s="2932" t="s">
        <v>3491</v>
      </c>
      <c r="C65" s="2903">
        <f ca="1">C36</f>
        <v>-7</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4" sqref="D44"/>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1987</v>
      </c>
      <c r="B1" s="1690"/>
      <c r="C1" s="1690"/>
      <c r="D1" s="1690"/>
      <c r="E1" s="1690"/>
      <c r="F1" s="2223"/>
      <c r="G1" s="2223"/>
      <c r="H1" s="2223"/>
      <c r="I1" s="2223"/>
      <c r="J1" s="2223"/>
      <c r="K1" s="2223"/>
      <c r="L1" s="2223"/>
      <c r="M1" s="2223"/>
      <c r="N1" s="2223"/>
      <c r="O1" s="2223"/>
      <c r="P1" s="2223"/>
    </row>
    <row r="2" spans="1:16" ht="15.6">
      <c r="A2" s="1688" t="s">
        <v>1979</v>
      </c>
      <c r="B2" s="3164">
        <f ca="1">SUMIF(B6:B13,"&lt;&gt;#ref!",B6:B13)</f>
        <v>359</v>
      </c>
      <c r="C2" s="1688" t="s">
        <v>1980</v>
      </c>
      <c r="D2" s="1688" t="s">
        <v>1981</v>
      </c>
      <c r="E2" s="3165">
        <f ca="1">SUMIF(E6:E13,"&lt;&gt;#ref!",E6:E13)</f>
        <v>262.77</v>
      </c>
      <c r="F2" s="2223"/>
      <c r="G2" s="2223"/>
      <c r="H2" s="2223"/>
      <c r="I2" s="2223"/>
      <c r="J2" s="2223"/>
      <c r="K2" s="2223"/>
      <c r="L2" s="2223"/>
      <c r="M2" s="2223"/>
      <c r="N2" s="2223"/>
      <c r="O2" s="2223"/>
      <c r="P2" s="2223"/>
    </row>
    <row r="3" spans="1:16" ht="15.6">
      <c r="A3" s="1688" t="s">
        <v>1982</v>
      </c>
      <c r="B3" s="3164">
        <f ca="1">ROUND(B2*10000/E2,0)</f>
        <v>13662</v>
      </c>
      <c r="C3" s="1688" t="s">
        <v>1988</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1983</v>
      </c>
      <c r="B5" s="2046" t="s">
        <v>1984</v>
      </c>
      <c r="C5" s="1689"/>
      <c r="D5" s="2223"/>
      <c r="E5" s="2047" t="s">
        <v>1985</v>
      </c>
      <c r="F5" s="2223"/>
      <c r="G5" s="2223"/>
      <c r="H5" s="2223"/>
      <c r="I5" s="2223"/>
      <c r="J5" s="2223"/>
      <c r="K5" s="2223"/>
      <c r="L5" s="2223"/>
      <c r="M5" s="2223"/>
      <c r="N5" s="2223"/>
      <c r="O5" s="2223"/>
      <c r="P5" s="2223"/>
    </row>
    <row r="6" spans="1:16" ht="15.6">
      <c r="A6" s="2045" t="s">
        <v>1986</v>
      </c>
      <c r="B6" s="3164">
        <f ca="1">SUMIF(INDIRECT("'"&amp;A6&amp;"'"&amp;"!A:A"),"总价",INDIRECT("'"&amp;A6&amp;"'"&amp;"!B:B"))</f>
        <v>359</v>
      </c>
      <c r="C6" s="1688" t="s">
        <v>1980</v>
      </c>
      <c r="D6" s="2223"/>
      <c r="E6" s="3165">
        <f ca="1">SUMIF(INDIRECT("'"&amp;A6&amp;"'"&amp;"!C:C"),"建筑面积",INDIRECT("'"&amp;A6&amp;"'"&amp;"!D:D"))</f>
        <v>262.77</v>
      </c>
      <c r="F6" s="2223"/>
      <c r="G6" s="2223"/>
      <c r="H6" s="2223"/>
      <c r="I6" s="2223"/>
      <c r="J6" s="2223"/>
      <c r="K6" s="2223"/>
      <c r="L6" s="2223"/>
      <c r="M6" s="2223"/>
      <c r="N6" s="2223"/>
      <c r="O6" s="2223"/>
      <c r="P6" s="2223"/>
    </row>
    <row r="7" spans="1:16" ht="15.6">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6">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6">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6">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6">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6">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6">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65"/>
      <c r="C2" s="4665"/>
      <c r="D2" s="4665"/>
      <c r="E2" s="4665"/>
    </row>
    <row r="3" spans="1:5" ht="17.399999999999999">
      <c r="A3" s="4666" t="str">
        <f>IF(项目基本情况!B9="房地产市场价值","估价结果一览表（市场价值不需“结果表-1”）","估价结果一览表")</f>
        <v>估价结果一览表（市场价值不需“结果表-1”）</v>
      </c>
      <c r="B3" s="4666"/>
      <c r="C3" s="4666"/>
      <c r="D3" s="4666"/>
      <c r="E3" s="4666"/>
    </row>
    <row r="4" spans="1:5" ht="18" thickBot="1">
      <c r="A4" s="1099"/>
      <c r="B4" s="4664" t="s">
        <v>901</v>
      </c>
      <c r="C4" s="4664"/>
      <c r="D4" s="4664"/>
      <c r="E4" s="1099"/>
    </row>
    <row r="5" spans="1:5" ht="16.2" thickTop="1">
      <c r="A5" s="1097"/>
      <c r="B5" s="4662" t="s">
        <v>893</v>
      </c>
      <c r="C5" s="1100" t="s">
        <v>894</v>
      </c>
      <c r="D5" s="573">
        <f ca="1">结果表!H101</f>
        <v>611.07159999999999</v>
      </c>
      <c r="E5" s="1097"/>
    </row>
    <row r="6" spans="1:5" ht="31.2">
      <c r="A6" s="1097"/>
      <c r="B6" s="4662"/>
      <c r="C6" s="1100" t="s">
        <v>895</v>
      </c>
      <c r="D6" s="573" t="str">
        <f ca="1">NUMBERSTRING(INT(D5*10000),2)&amp;"元整"</f>
        <v>陆佰壹拾壹万零柒佰壹拾陆元整</v>
      </c>
      <c r="E6" s="1097"/>
    </row>
    <row r="7" spans="1:5" ht="15.6">
      <c r="A7" s="1097"/>
      <c r="B7" s="4667"/>
      <c r="C7" s="1101" t="s">
        <v>896</v>
      </c>
      <c r="D7" s="574">
        <f ca="1">结果表!H102</f>
        <v>884994</v>
      </c>
      <c r="E7" s="1097"/>
    </row>
    <row r="8" spans="1:5" ht="15.6">
      <c r="A8" s="1097"/>
      <c r="B8" s="4668" t="str">
        <f>结果表!E103</f>
        <v>2.估价师知悉的法定优先受偿款</v>
      </c>
      <c r="C8" s="1102" t="s">
        <v>897</v>
      </c>
      <c r="D8" s="574">
        <f>结果表!H103</f>
        <v>0</v>
      </c>
      <c r="E8" s="1097"/>
    </row>
    <row r="9" spans="1:5" ht="15.6">
      <c r="A9" s="1097"/>
      <c r="B9" s="4670"/>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61" t="str">
        <f>结果表!E107</f>
        <v>3.房地产抵押价值</v>
      </c>
      <c r="C13" s="1105" t="s">
        <v>894</v>
      </c>
      <c r="D13" s="576">
        <f ca="1">结果表!H107</f>
        <v>611.07159999999999</v>
      </c>
      <c r="E13" s="1097"/>
    </row>
    <row r="14" spans="1:5" ht="31.2">
      <c r="A14" s="1097"/>
      <c r="B14" s="4662"/>
      <c r="C14" s="1100" t="s">
        <v>895</v>
      </c>
      <c r="D14" s="573" t="str">
        <f ca="1">NUMBERSTRING(INT(D13*10000),2)&amp;"元整"</f>
        <v>陆佰壹拾壹万零柒佰壹拾陆元整</v>
      </c>
      <c r="E14" s="1097"/>
    </row>
    <row r="15" spans="1:5" ht="15.6">
      <c r="A15" s="1097"/>
      <c r="B15" s="4667"/>
      <c r="C15" s="1101" t="s">
        <v>905</v>
      </c>
      <c r="D15" s="581">
        <f ca="1">结果表!H108</f>
        <v>884994</v>
      </c>
      <c r="E15" s="1097"/>
    </row>
    <row r="16" spans="1:5" ht="15.6">
      <c r="A16" s="1097"/>
      <c r="B16" s="4668" t="str">
        <f>结果表!E109</f>
        <v>——</v>
      </c>
      <c r="C16" s="1105" t="s">
        <v>906</v>
      </c>
      <c r="D16" s="1106" t="str">
        <f>结果表!H109</f>
        <v>——</v>
      </c>
      <c r="E16" s="1097"/>
    </row>
    <row r="17" spans="1:5" ht="15.6">
      <c r="A17" s="1097"/>
      <c r="B17" s="4669"/>
      <c r="C17" s="1100" t="s">
        <v>907</v>
      </c>
      <c r="D17" s="573" t="e">
        <f>NUMBERSTRING(INT(D16*10000),2)&amp;"元整"</f>
        <v>#VALUE!</v>
      </c>
      <c r="E17" s="1097"/>
    </row>
    <row r="18" spans="1:5" ht="15.6">
      <c r="A18" s="1097"/>
      <c r="B18" s="4670"/>
      <c r="C18" s="1101" t="s">
        <v>896</v>
      </c>
      <c r="D18" s="581" t="str">
        <f>结果表!H110</f>
        <v>——</v>
      </c>
      <c r="E18" s="1097"/>
    </row>
    <row r="19" spans="1:5" ht="15.6">
      <c r="A19" s="1097"/>
      <c r="B19" s="4661" t="str">
        <f>结果表!E111</f>
        <v>——</v>
      </c>
      <c r="C19" s="1105" t="s">
        <v>894</v>
      </c>
      <c r="D19" s="574" t="str">
        <f>结果表!H111</f>
        <v>——</v>
      </c>
      <c r="E19" s="1097"/>
    </row>
    <row r="20" spans="1:5" ht="15.6">
      <c r="A20" s="1097"/>
      <c r="B20" s="4662"/>
      <c r="C20" s="1100" t="s">
        <v>907</v>
      </c>
      <c r="D20" s="573" t="e">
        <f>NUMBERSTRING(INT(D19*10000),2)&amp;"元整"</f>
        <v>#VALUE!</v>
      </c>
      <c r="E20" s="1097"/>
    </row>
    <row r="21" spans="1:5" ht="16.2" thickBot="1">
      <c r="A21" s="1097"/>
      <c r="B21" s="4663"/>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E21" sqref="E21"/>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1832</v>
      </c>
      <c r="B1" s="96"/>
      <c r="C1" s="100" t="s">
        <v>1833</v>
      </c>
      <c r="D1" s="229">
        <f>SUM(D33:D34,D37:D42)</f>
        <v>262.77</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6">
      <c r="A2" s="100" t="s">
        <v>1840</v>
      </c>
      <c r="B2" s="2757">
        <f>C30</f>
        <v>359</v>
      </c>
      <c r="C2" s="1548" t="s">
        <v>1841</v>
      </c>
      <c r="D2" s="1549" t="s">
        <v>1842</v>
      </c>
      <c r="E2" s="2697" t="s">
        <v>3271</v>
      </c>
      <c r="F2" s="1549" t="s">
        <v>1843</v>
      </c>
      <c r="G2" s="3956" t="str">
        <f>IF(E2="商业",项目基本情况!B37,IF(E2="办公",项目基本情况!C37,IF(E2="住宅",项目基本情况!D37,IF(E2="工业",项目基本情况!E37,项目基本情况!F37))))</f>
        <v>七级</v>
      </c>
      <c r="H2" s="1549" t="s">
        <v>1844</v>
      </c>
      <c r="I2" s="3956" t="str">
        <f>IF(E2="商业",项目基本情况!B38,IF(E2="办公",项目基本情况!C38,IF(E2="住宅",项目基本情况!D38,IF(E2="工业",项目基本情况!E38,项目基本情况!F38))))</f>
        <v>Ⅶ-顺1</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1.5019</v>
      </c>
      <c r="T2" s="4541">
        <f t="shared" ref="T2:T16" si="0">ROUND($C$5*$C$22*$C$23*$C$24*S2*$C$28,0)</f>
        <v>16794</v>
      </c>
      <c r="U2" s="4542"/>
      <c r="V2" s="4541">
        <f>ROUND(T2*U2/10000,0)</f>
        <v>0</v>
      </c>
      <c r="W2" s="854"/>
      <c r="X2" s="854"/>
      <c r="Y2" s="854"/>
      <c r="Z2" s="854"/>
      <c r="AA2" s="854"/>
      <c r="AB2" s="854"/>
      <c r="AC2" s="855"/>
      <c r="AD2" s="856"/>
      <c r="AE2" s="856"/>
      <c r="AF2" s="856"/>
      <c r="AG2" s="856"/>
      <c r="AH2" s="856"/>
      <c r="AI2" s="856"/>
      <c r="AJ2" s="857"/>
    </row>
    <row r="3" spans="1:36" ht="15.6">
      <c r="A3" s="102" t="s">
        <v>1846</v>
      </c>
      <c r="B3" s="2757">
        <f>ROUND(B2*10000/D1,0)</f>
        <v>13662</v>
      </c>
      <c r="C3" s="1548" t="s">
        <v>1847</v>
      </c>
      <c r="D3" s="1549" t="s">
        <v>1848</v>
      </c>
      <c r="E3" s="2696" t="s">
        <v>3279</v>
      </c>
      <c r="F3" s="1552" t="s">
        <v>4020</v>
      </c>
      <c r="G3" s="4514">
        <f>IF(F3="宗地容积率",'数据-汇总表'!I4,IF(F3="估价对象容积率",'数据-汇总表'!I6,'数据-汇总表'!I7))</f>
        <v>1</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1.1838</v>
      </c>
      <c r="T3" s="4541">
        <f t="shared" si="0"/>
        <v>13237</v>
      </c>
      <c r="U3" s="4542"/>
      <c r="V3" s="4541">
        <f t="shared" ref="V3:V16" si="1">ROUND(T3*U3/10000,0)</f>
        <v>0</v>
      </c>
      <c r="W3" s="854"/>
      <c r="X3" s="854"/>
      <c r="Y3" s="854"/>
      <c r="Z3" s="854"/>
      <c r="AA3" s="854"/>
      <c r="AB3" s="854"/>
      <c r="AC3" s="855"/>
      <c r="AD3" s="856"/>
      <c r="AE3" s="856"/>
      <c r="AF3" s="856"/>
      <c r="AG3" s="856"/>
      <c r="AH3" s="856"/>
      <c r="AI3" s="856"/>
      <c r="AJ3" s="857"/>
    </row>
    <row r="4" spans="1:36" ht="15.6">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1.0004999999999999</v>
      </c>
      <c r="T4" s="4541">
        <f t="shared" si="0"/>
        <v>11187</v>
      </c>
      <c r="U4" s="4542"/>
      <c r="V4" s="4541">
        <f t="shared" si="1"/>
        <v>0</v>
      </c>
      <c r="W4" s="854"/>
      <c r="X4" s="854"/>
      <c r="Y4" s="854"/>
      <c r="Z4" s="854"/>
      <c r="AA4" s="854"/>
      <c r="AB4" s="854"/>
      <c r="AC4" s="855"/>
      <c r="AD4" s="856"/>
      <c r="AE4" s="856"/>
      <c r="AF4" s="856"/>
      <c r="AG4" s="856"/>
      <c r="AH4" s="856"/>
      <c r="AI4" s="856"/>
      <c r="AJ4" s="857"/>
    </row>
    <row r="5" spans="1:36" s="1562" customFormat="1" ht="15.6" thickBot="1">
      <c r="A5" s="1553" t="s">
        <v>356</v>
      </c>
      <c r="B5" s="1554" t="s">
        <v>1853</v>
      </c>
      <c r="C5" s="4505">
        <f>ROUND(IF(E2="商业",C6*C7*C17+C20,(IF(E2="住宅",C6*C13*C17+C20,IF(E2="办公",C6*C12*C17+C20,C6+C20)))),0)</f>
        <v>12310</v>
      </c>
      <c r="D5" s="3166">
        <f>ROUND(C6*C17+C20,0)</f>
        <v>12310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0.88239999999999996</v>
      </c>
      <c r="T5" s="4541">
        <f t="shared" si="0"/>
        <v>9867</v>
      </c>
      <c r="U5" s="4542"/>
      <c r="V5" s="4541">
        <f t="shared" si="1"/>
        <v>0</v>
      </c>
      <c r="W5" s="854"/>
      <c r="X5" s="854"/>
      <c r="Y5" s="854"/>
      <c r="Z5" s="854"/>
      <c r="AA5" s="854"/>
      <c r="AB5" s="854"/>
      <c r="AC5" s="1559"/>
      <c r="AD5" s="1560"/>
      <c r="AE5" s="1560"/>
      <c r="AF5" s="1560"/>
      <c r="AG5" s="1560"/>
      <c r="AH5" s="1560"/>
      <c r="AI5" s="1560"/>
      <c r="AJ5" s="1561"/>
    </row>
    <row r="6" spans="1:36" ht="15.6" thickBot="1">
      <c r="A6" s="1563" t="s">
        <v>1855</v>
      </c>
      <c r="B6" s="1564" t="s">
        <v>1856</v>
      </c>
      <c r="C6" s="4506">
        <f>SUMIF(L1:L12,G2,M1:M12)</f>
        <v>12330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0.84799999999999998</v>
      </c>
      <c r="T6" s="4541">
        <f t="shared" si="0"/>
        <v>9482</v>
      </c>
      <c r="U6" s="4542"/>
      <c r="V6" s="4541">
        <f t="shared" si="1"/>
        <v>0</v>
      </c>
      <c r="W6" s="854"/>
      <c r="X6" s="854"/>
      <c r="Y6" s="854"/>
      <c r="Z6" s="854"/>
      <c r="AA6" s="854"/>
      <c r="AB6" s="854"/>
      <c r="AC6" s="1559"/>
      <c r="AD6" s="1560"/>
      <c r="AE6" s="1560"/>
      <c r="AF6" s="1560"/>
      <c r="AG6" s="1560"/>
      <c r="AH6" s="1560"/>
      <c r="AI6" s="1560"/>
      <c r="AJ6" s="1561"/>
    </row>
    <row r="7" spans="1:36" ht="24.6" thickBot="1">
      <c r="A7" s="2618" t="s">
        <v>3125</v>
      </c>
      <c r="B7" s="1569" t="s">
        <v>1858</v>
      </c>
      <c r="C7" s="4507">
        <f>IF(C8="不临65条商业街",1,ROUND(1+(1.6*E8+1.2*E9+0.8*E10+0.4*E11)*C9,4))</f>
        <v>1</v>
      </c>
      <c r="D7" s="1570" t="s">
        <v>1859</v>
      </c>
      <c r="E7" s="4513"/>
      <c r="F7" s="1571"/>
      <c r="G7" s="1572"/>
      <c r="H7" s="1572"/>
      <c r="I7" s="1572"/>
      <c r="J7" s="1573"/>
      <c r="K7" s="991"/>
      <c r="L7" s="1551" t="s">
        <v>1860</v>
      </c>
      <c r="M7" s="585">
        <f>SUMPRODUCT((区片价!B190:B233=I2)*(区片价!C3:G3=E2)*(区片价!C190:G233))</f>
        <v>12330</v>
      </c>
      <c r="N7" s="587">
        <f>SUMPRODUCT((因素修正幅度!B190:B233=I2)*(因素修正幅度!C3:G3=E2)*(因素修正幅度!C190:G233))</f>
        <v>0.13</v>
      </c>
      <c r="O7" s="788"/>
      <c r="P7" s="788"/>
      <c r="Q7" s="788"/>
      <c r="R7" s="852">
        <v>6</v>
      </c>
      <c r="S7" s="4543"/>
      <c r="T7" s="4541">
        <f t="shared" si="0"/>
        <v>0</v>
      </c>
      <c r="U7" s="4542"/>
      <c r="V7" s="4541">
        <f t="shared" si="1"/>
        <v>0</v>
      </c>
      <c r="W7" s="965" t="s">
        <v>1861</v>
      </c>
      <c r="X7" s="4558" t="str">
        <f>G2</f>
        <v>七级</v>
      </c>
      <c r="Y7" s="853" t="s">
        <v>1862</v>
      </c>
      <c r="Z7" s="4560">
        <f>G3</f>
        <v>1</v>
      </c>
      <c r="AA7" s="854"/>
      <c r="AB7" s="854"/>
      <c r="AC7" s="855"/>
      <c r="AD7" s="856"/>
      <c r="AE7" s="856"/>
      <c r="AF7" s="856"/>
      <c r="AG7" s="856"/>
      <c r="AH7" s="856"/>
      <c r="AI7" s="856"/>
      <c r="AJ7" s="857"/>
    </row>
    <row r="8" spans="1:36" ht="26.4">
      <c r="A8" s="2613"/>
      <c r="B8" s="72" t="s">
        <v>1863</v>
      </c>
      <c r="C8" s="4508" t="s">
        <v>4007</v>
      </c>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f t="shared" si="0"/>
        <v>0</v>
      </c>
      <c r="U8" s="4542"/>
      <c r="V8" s="4541">
        <f t="shared" si="1"/>
        <v>0</v>
      </c>
      <c r="W8" s="5041" t="s">
        <v>1866</v>
      </c>
      <c r="X8" s="5042"/>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f t="shared" si="0"/>
        <v>0</v>
      </c>
      <c r="U9" s="4542"/>
      <c r="V9" s="4541">
        <f t="shared" si="1"/>
        <v>0</v>
      </c>
      <c r="W9" s="5043"/>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f t="shared" si="0"/>
        <v>0</v>
      </c>
      <c r="U10" s="4542"/>
      <c r="V10" s="4541">
        <f t="shared" si="1"/>
        <v>0</v>
      </c>
      <c r="W10" s="5043"/>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6"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f t="shared" si="0"/>
        <v>0</v>
      </c>
      <c r="U11" s="4542"/>
      <c r="V11" s="4541">
        <f t="shared" si="1"/>
        <v>0</v>
      </c>
      <c r="W11" s="854"/>
      <c r="X11" s="854"/>
      <c r="Y11" s="854"/>
      <c r="Z11" s="854"/>
      <c r="AA11" s="854"/>
      <c r="AB11" s="854"/>
      <c r="AC11" s="855"/>
      <c r="AD11" s="2219"/>
      <c r="AE11" s="2219"/>
      <c r="AF11" s="2219"/>
      <c r="AG11" s="2219"/>
      <c r="AH11" s="2219"/>
      <c r="AI11" s="2219"/>
      <c r="AJ11" s="2220"/>
    </row>
    <row r="12" spans="1:36" ht="25.8" thickBot="1">
      <c r="A12" s="2618" t="s">
        <v>3126</v>
      </c>
      <c r="B12" s="2619" t="s">
        <v>3127</v>
      </c>
      <c r="C12" s="4516">
        <v>1</v>
      </c>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f t="shared" si="0"/>
        <v>0</v>
      </c>
      <c r="U12" s="4542"/>
      <c r="V12" s="4541">
        <f t="shared" si="1"/>
        <v>0</v>
      </c>
      <c r="W12" s="854"/>
      <c r="X12" s="854"/>
      <c r="Y12" s="854"/>
      <c r="Z12" s="854"/>
      <c r="AA12" s="854"/>
      <c r="AB12" s="854"/>
      <c r="AC12" s="855"/>
      <c r="AD12" s="2219"/>
      <c r="AE12" s="2219"/>
      <c r="AF12" s="2219"/>
      <c r="AG12" s="2219"/>
      <c r="AH12" s="2219"/>
      <c r="AI12" s="2219"/>
      <c r="AJ12" s="2220"/>
    </row>
    <row r="13" spans="1:36" ht="24.6" thickBot="1">
      <c r="A13" s="2618" t="s">
        <v>3130</v>
      </c>
      <c r="B13" s="1582" t="s">
        <v>1888</v>
      </c>
      <c r="C13" s="4517">
        <f>ROUND(C16*D16*E16*F16*G16*H16*I16*J16,4)</f>
        <v>1</v>
      </c>
      <c r="D13" s="1583" t="s">
        <v>1889</v>
      </c>
      <c r="E13" s="1584"/>
      <c r="F13" s="1584"/>
      <c r="G13" s="1585"/>
      <c r="H13" s="1585"/>
      <c r="I13" s="1585"/>
      <c r="J13" s="1586"/>
      <c r="K13" s="788"/>
      <c r="L13" s="2614"/>
      <c r="M13" s="2615"/>
      <c r="N13" s="2616"/>
      <c r="O13" s="788"/>
      <c r="P13" s="788"/>
      <c r="Q13" s="788"/>
      <c r="R13" s="852">
        <v>12</v>
      </c>
      <c r="S13" s="4542"/>
      <c r="T13" s="4541">
        <f t="shared" si="0"/>
        <v>0</v>
      </c>
      <c r="U13" s="4542"/>
      <c r="V13" s="4541">
        <f t="shared" si="1"/>
        <v>0</v>
      </c>
      <c r="W13" s="854"/>
      <c r="X13" s="854"/>
      <c r="Y13" s="854"/>
      <c r="Z13" s="854"/>
      <c r="AA13" s="854"/>
      <c r="AB13" s="854"/>
      <c r="AC13" s="855"/>
      <c r="AD13" s="2219"/>
      <c r="AE13" s="2219"/>
      <c r="AF13" s="2219"/>
      <c r="AG13" s="2219"/>
      <c r="AH13" s="2219"/>
      <c r="AI13" s="2219"/>
      <c r="AJ13" s="2220"/>
    </row>
    <row r="14" spans="1:36" ht="24">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f t="shared" si="0"/>
        <v>0</v>
      </c>
      <c r="U14" s="4542"/>
      <c r="V14" s="4541">
        <f t="shared" si="1"/>
        <v>0</v>
      </c>
      <c r="W14" s="854"/>
      <c r="X14" s="854"/>
      <c r="Y14" s="854"/>
      <c r="Z14" s="854"/>
      <c r="AA14" s="854"/>
      <c r="AB14" s="854"/>
      <c r="AC14" s="855"/>
      <c r="AD14" s="2219"/>
      <c r="AE14" s="2219"/>
      <c r="AF14" s="2219"/>
      <c r="AG14" s="2219"/>
      <c r="AH14" s="2219"/>
      <c r="AI14" s="2219"/>
      <c r="AJ14" s="2220"/>
    </row>
    <row r="15" spans="1:36" ht="15">
      <c r="A15" s="2612"/>
      <c r="B15" s="1590"/>
      <c r="C15" s="1591" t="s">
        <v>4021</v>
      </c>
      <c r="D15" s="1592" t="s">
        <v>4021</v>
      </c>
      <c r="E15" s="1593" t="s">
        <v>4022</v>
      </c>
      <c r="F15" s="2626" t="s">
        <v>3132</v>
      </c>
      <c r="G15" s="2627"/>
      <c r="H15" s="2628"/>
      <c r="I15" s="2629"/>
      <c r="J15" s="2630"/>
      <c r="K15" s="788"/>
      <c r="L15" s="788"/>
      <c r="M15" s="788"/>
      <c r="N15" s="788"/>
      <c r="O15" s="788"/>
      <c r="P15" s="788"/>
      <c r="Q15" s="788"/>
      <c r="R15" s="852">
        <v>14</v>
      </c>
      <c r="S15" s="4542"/>
      <c r="T15" s="4541">
        <f t="shared" si="0"/>
        <v>0</v>
      </c>
      <c r="U15" s="4542"/>
      <c r="V15" s="4541">
        <f t="shared" si="1"/>
        <v>0</v>
      </c>
      <c r="W15" s="854"/>
      <c r="X15" s="854"/>
      <c r="Y15" s="854"/>
      <c r="Z15" s="854"/>
      <c r="AA15" s="854"/>
      <c r="AB15" s="854"/>
      <c r="AC15" s="855"/>
      <c r="AD15" s="2219"/>
      <c r="AE15" s="2219"/>
      <c r="AF15" s="2219"/>
      <c r="AG15" s="2219"/>
      <c r="AH15" s="2219"/>
      <c r="AI15" s="2219"/>
      <c r="AJ15" s="2220"/>
    </row>
    <row r="16" spans="1:36" ht="15.6" thickBot="1">
      <c r="A16" s="2612"/>
      <c r="B16" s="2631" t="s">
        <v>1895</v>
      </c>
      <c r="C16" s="4518">
        <v>1</v>
      </c>
      <c r="D16" s="4518">
        <v>1</v>
      </c>
      <c r="E16" s="4518">
        <v>1</v>
      </c>
      <c r="F16" s="4518">
        <v>1</v>
      </c>
      <c r="G16" s="4518">
        <v>1</v>
      </c>
      <c r="H16" s="4518">
        <v>1</v>
      </c>
      <c r="I16" s="4518">
        <v>1</v>
      </c>
      <c r="J16" s="4519">
        <v>1</v>
      </c>
      <c r="K16" s="788"/>
      <c r="L16" s="1546"/>
      <c r="M16" s="1546"/>
      <c r="N16" s="1546"/>
      <c r="O16" s="1546"/>
      <c r="P16" s="1546"/>
      <c r="Q16" s="788"/>
      <c r="R16" s="852">
        <v>15</v>
      </c>
      <c r="S16" s="4542"/>
      <c r="T16" s="4541">
        <f t="shared" si="0"/>
        <v>0</v>
      </c>
      <c r="U16" s="4542"/>
      <c r="V16" s="4541">
        <f t="shared" si="1"/>
        <v>0</v>
      </c>
      <c r="W16" s="854"/>
      <c r="X16" s="854"/>
      <c r="Y16" s="854"/>
      <c r="Z16" s="854"/>
      <c r="AA16" s="854"/>
      <c r="AB16" s="854"/>
      <c r="AC16" s="855"/>
      <c r="AD16" s="2219"/>
      <c r="AE16" s="2219"/>
      <c r="AF16" s="2219"/>
      <c r="AG16" s="2219"/>
      <c r="AH16" s="2219"/>
      <c r="AI16" s="2219"/>
      <c r="AJ16" s="2220"/>
    </row>
    <row r="17" spans="1:37" ht="24">
      <c r="A17" s="2639" t="s">
        <v>3133</v>
      </c>
      <c r="B17" s="2632" t="s">
        <v>3134</v>
      </c>
      <c r="C17" s="4520">
        <f>ROUND(IF(OR(E2="工业",E2="公共服务"),1,IF(AND(E18=0,E19=0),1,IF(AND(E18=J24,E19=G19),0.8,IF(E19=0,1+E17*(-0.2),1+E17*G17*(-0.2))))),4)</f>
        <v>1</v>
      </c>
      <c r="D17" s="2633" t="s">
        <v>3135</v>
      </c>
      <c r="E17" s="2640">
        <f>ROUND(G18/I18,2)</f>
        <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21"/>
      <c r="D18" s="2634" t="s">
        <v>3136</v>
      </c>
      <c r="E18" s="2827"/>
      <c r="F18" s="2635" t="s">
        <v>3139</v>
      </c>
      <c r="G18" s="2638">
        <f>ROUND(1-(1/(POWER(1+G24,E18))),4)</f>
        <v>0</v>
      </c>
      <c r="H18" s="2635" t="s">
        <v>3141</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44" t="s">
        <v>3142</v>
      </c>
      <c r="B20" s="70" t="s">
        <v>1900</v>
      </c>
      <c r="C20" s="4523">
        <f>ROUND(IF(F21="与级别开发程度一致",0,(G21-E21)/C21),0)</f>
        <v>-20</v>
      </c>
      <c r="D20" s="2649" t="s">
        <v>1904</v>
      </c>
      <c r="E20" s="2650"/>
      <c r="F20" s="5050" t="s">
        <v>1901</v>
      </c>
      <c r="G20" s="5051"/>
      <c r="H20" s="2636" t="s">
        <v>4009</v>
      </c>
      <c r="I20" s="2636" t="s">
        <v>4010</v>
      </c>
      <c r="J20" s="2637" t="s">
        <v>4011</v>
      </c>
      <c r="K20" s="1595" t="s">
        <v>4012</v>
      </c>
      <c r="L20" s="1595" t="s">
        <v>4013</v>
      </c>
      <c r="M20" s="1595" t="s">
        <v>4014</v>
      </c>
      <c r="N20" s="1595" t="s">
        <v>4015</v>
      </c>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45"/>
      <c r="B21" s="1704" t="s">
        <v>1903</v>
      </c>
      <c r="C21" s="4524">
        <f>IF(E3="M4科研用地",SUMPRODUCT((修正!A2:A7=E3)*(修正!B1:M1=G2)*(修正!B2:M7)),SUMPRODUCT((修正!A2:A7=E2)*(修正!B1:M1=G2)*(修正!B2:M7)))</f>
        <v>2.5</v>
      </c>
      <c r="D21" s="86" t="str">
        <f>IF(OR(G2="八级",G2="九级",G2="十级",G2="十一级",G2="十二级"),"五通一平","七通一平")</f>
        <v>七通一平</v>
      </c>
      <c r="E21" s="4544">
        <f>SUMPRODUCT((修正!B1:M1=G2)*(修正!B17:M17))</f>
        <v>315</v>
      </c>
      <c r="F21" s="1698" t="s">
        <v>4008</v>
      </c>
      <c r="G21" s="4551">
        <f>SUM(H21:O21)</f>
        <v>265</v>
      </c>
      <c r="H21" s="4552">
        <f>SUMPRODUCT((七通一平=H20)*(修正!B1:M1=G2)*(修正!B8:M16))</f>
        <v>70</v>
      </c>
      <c r="I21" s="4552">
        <f>SUMPRODUCT((七通一平=I20)*(修正!B1:M1=G2)*(修正!B8:M16))</f>
        <v>60</v>
      </c>
      <c r="J21" s="4553">
        <f>SUMPRODUCT((七通一平=J20)*(修正!B1:M1=G2)*(修正!B8:M16))</f>
        <v>15</v>
      </c>
      <c r="K21" s="4552">
        <f>SUMPRODUCT((七通一平=K20)*(修正!B1:M1=G2)*(修正!B8:M16))</f>
        <v>25</v>
      </c>
      <c r="L21" s="4552">
        <f>SUMPRODUCT((七通一平=L20)*(修正!B1:M1=G2)*(修正!B8:M16))</f>
        <v>40</v>
      </c>
      <c r="M21" s="4552">
        <f>SUMPRODUCT((七通一平=M20)*(修正!B1:M1=G2)*(修正!B8:M16))</f>
        <v>40</v>
      </c>
      <c r="N21" s="4552">
        <f>SUMPRODUCT((七通一平=N20)*(修正!B1:M1=G2)*(修正!B8:M16))</f>
        <v>15</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1906</v>
      </c>
      <c r="C22" s="4525">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1908</v>
      </c>
      <c r="E23" s="4546">
        <v>44197</v>
      </c>
      <c r="F23" s="1602" t="s">
        <v>1909</v>
      </c>
      <c r="G23" s="4547">
        <f>'数据-取费表'!B2</f>
        <v>46063</v>
      </c>
      <c r="H23" s="2651" t="s">
        <v>4016</v>
      </c>
      <c r="I23" s="2652" t="str">
        <f>IF(H23="季度增幅（自定义）",SUMIF(N25:N28,E2,O25:O28),"")</f>
        <v/>
      </c>
      <c r="J23" s="2713" t="s">
        <v>4017</v>
      </c>
      <c r="K23" s="794"/>
      <c r="L23" s="1603" t="s">
        <v>1910</v>
      </c>
      <c r="M23" s="940">
        <f>ROUND(SUMIF(地价!B2:G2,E2,地价!B16:G16),0)</f>
        <v>687</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1912</v>
      </c>
      <c r="C24" s="4527">
        <f>ROUND(POWER(1+G24,J24-I24)*(POWER(1+G24,I24)-1)/(POWER(1+G24,J24)-1),4)</f>
        <v>0.8669</v>
      </c>
      <c r="D24" s="1608" t="s">
        <v>1913</v>
      </c>
      <c r="E24" s="4545">
        <f>存贷款利率!E28/100</f>
        <v>4.3499999999999997E-2</v>
      </c>
      <c r="F24" s="1608" t="s">
        <v>1905</v>
      </c>
      <c r="G24" s="4548">
        <f>SUMIF(M30:Q30,E2,M33:Q33)</f>
        <v>0.05</v>
      </c>
      <c r="H24" s="1608" t="s">
        <v>1914</v>
      </c>
      <c r="I24" s="4549">
        <f>SUMIF('数据-取费表'!C6:C15,E2,'数据-取费表'!F6:F15)/COUNTIF('数据-取费表'!C6:C15,E2)</f>
        <v>37.36</v>
      </c>
      <c r="J24" s="4550">
        <f>IF(E2="住宅",70,IF(E2="商业",40,50))</f>
        <v>70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4018</v>
      </c>
      <c r="C25" s="4528">
        <f>IF(B25="容积率修正",IF(G3&lt;10,D26,J26),C27)</f>
        <v>1.222</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1920</v>
      </c>
      <c r="B26" s="1618" t="s">
        <v>1921</v>
      </c>
      <c r="C26" s="2653" t="s">
        <v>3143</v>
      </c>
      <c r="D26" s="4539">
        <f>IF(E26=G26,F26,IF(G3&lt;10,ROUND(F26+(H26-F26)*(G3-E26)/(G26-E26),4),"——"))</f>
        <v>1.222</v>
      </c>
      <c r="E26" s="4539">
        <f>ROUNDDOWN(G3,1)</f>
        <v>1</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4539">
        <f>ROUNDUP(G3,1)</f>
        <v>1</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1926</v>
      </c>
      <c r="C28" s="4530">
        <f>SUMIF(A47:A101,E2,B47:B101)</f>
        <v>1.0452999999999999</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1930</v>
      </c>
      <c r="C30" s="4531">
        <f>IF(B25="容积率修正",E33+SUM(I37:I42),SUM(V2:V16)+SUM(I37:I42))</f>
        <v>359</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1931</v>
      </c>
      <c r="C31" s="4532">
        <f>E34+SUM(I37:I42)</f>
        <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1936</v>
      </c>
      <c r="C33" s="4531">
        <f>ROUND(C5*C22*C23*C24*C25*C28,0)</f>
        <v>13664</v>
      </c>
      <c r="D33" s="4533">
        <f>'数据-汇总表'!F19</f>
        <v>262.77</v>
      </c>
      <c r="E33" s="2845">
        <f>ROUND(C33*D33/10000,0)</f>
        <v>359</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1937</v>
      </c>
      <c r="C34" s="4534">
        <f>ROUND(IF(E2="工业",C33*M42,IF(B25="楼层修正",SUM(V2:V16)*M41*10000/D34,C33*M41)),0)</f>
        <v>3416</v>
      </c>
      <c r="D34" s="4535"/>
      <c r="E34" s="2845">
        <f>ROUND(IF(B25="楼层修正",SUM(V2:V16)*M40,C34*D34/10000),0)</f>
        <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0.03</v>
      </c>
      <c r="M36" s="3170">
        <f ca="1">ROUND($L$36*(1+M31),3)</f>
        <v>3.7999999999999999E-2</v>
      </c>
      <c r="N36" s="3170">
        <f ca="1">ROUND($L$36*(1+N31),3)</f>
        <v>3.5999999999999997E-2</v>
      </c>
      <c r="O36" s="3170">
        <f ca="1">ROUND($L$36*(1+O31),3)</f>
        <v>3.5000000000000003E-2</v>
      </c>
      <c r="P36" s="3170">
        <f ca="1">ROUND($L$36*(1+P31),3)</f>
        <v>3.3000000000000002E-2</v>
      </c>
      <c r="Q36" s="3170">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48"/>
      <c r="B37" s="4561" t="s">
        <v>1942</v>
      </c>
      <c r="C37" s="4531">
        <f>ROUND(D5*C22*C23*C24*C28*F37,0)</f>
        <v>6709</v>
      </c>
      <c r="D37" s="4533"/>
      <c r="E37" s="3337">
        <f>ROUND(C37*D37/10000,0)</f>
        <v>0</v>
      </c>
      <c r="F37" s="3312">
        <f>SUMIF(修正!A59:A70,G2,修正!B59:B70)</f>
        <v>0.6</v>
      </c>
      <c r="G37" s="3337">
        <f>ROUND(IF(E2="工业",C37*$M$42,C37*$M$41),0)</f>
        <v>1677</v>
      </c>
      <c r="H37" s="3312">
        <f>D37</f>
        <v>0</v>
      </c>
      <c r="I37" s="3337">
        <f>ROUND(G37*H37/10000,0)</f>
        <v>0</v>
      </c>
      <c r="J37" s="2376"/>
      <c r="K37" s="2665" t="s">
        <v>3152</v>
      </c>
      <c r="L37" s="3171">
        <f ca="1">L36+K38</f>
        <v>3.4999999999999996E-2</v>
      </c>
      <c r="M37" s="3170">
        <f ca="1">ROUND($L$37*(1+M31),3)</f>
        <v>4.3999999999999997E-2</v>
      </c>
      <c r="N37" s="3170">
        <f t="shared" ref="N37:Q37" ca="1" si="3">ROUND($L$37*(1+N31),3)</f>
        <v>4.2000000000000003E-2</v>
      </c>
      <c r="O37" s="3170">
        <f t="shared" ca="1" si="3"/>
        <v>0.04</v>
      </c>
      <c r="P37" s="3170">
        <f t="shared" ca="1" si="3"/>
        <v>3.9E-2</v>
      </c>
      <c r="Q37" s="3170">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49"/>
      <c r="B38" s="3812" t="s">
        <v>1943</v>
      </c>
      <c r="C38" s="4531">
        <f>ROUND(D5*C22*C23*C24*C28*F38,0)</f>
        <v>3355</v>
      </c>
      <c r="D38" s="4533"/>
      <c r="E38" s="3337">
        <f t="shared" ref="E38:E42" si="4">ROUND(C38*D38/10000,0)</f>
        <v>0</v>
      </c>
      <c r="F38" s="3312">
        <f>SUMIF(修正!A59:A70,G2,修正!C59:C70)</f>
        <v>0.3</v>
      </c>
      <c r="G38" s="3337">
        <f>ROUND(IF(E2="工业",C38*$M$42,C38*$M$41),0)</f>
        <v>839</v>
      </c>
      <c r="H38" s="3312">
        <f t="shared" ref="H38:H42" si="5">D38</f>
        <v>0</v>
      </c>
      <c r="I38" s="3337">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49"/>
      <c r="B39" s="3812" t="s">
        <v>3145</v>
      </c>
      <c r="C39" s="4531">
        <f>ROUND(D5*C22*C23*C24*C28*F39,0)</f>
        <v>2795</v>
      </c>
      <c r="D39" s="4533"/>
      <c r="E39" s="3337">
        <f t="shared" si="4"/>
        <v>0</v>
      </c>
      <c r="F39" s="3312">
        <f>SUMIF(修正!A59:A70,G2,修正!D59:D70)</f>
        <v>0.25</v>
      </c>
      <c r="G39" s="3337">
        <f>ROUND(IF(E2="工业",C39*$M$42,C39*$M$41),0)</f>
        <v>699</v>
      </c>
      <c r="H39" s="3312">
        <f t="shared" si="5"/>
        <v>0</v>
      </c>
      <c r="I39" s="3337">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f>ROUND(D5*C22*C23*C24*C28*F40,0)</f>
        <v>2795</v>
      </c>
      <c r="D40" s="4533"/>
      <c r="E40" s="3337">
        <f t="shared" si="4"/>
        <v>0</v>
      </c>
      <c r="F40" s="4536">
        <f>SUMIF(修正!A59:A70,G2,修正!E59:E70)</f>
        <v>0.25</v>
      </c>
      <c r="G40" s="3337">
        <f>ROUND(IF(E2="工业",C40*$M$42,C40*$M$41),0)</f>
        <v>699</v>
      </c>
      <c r="H40" s="3312">
        <f t="shared" si="5"/>
        <v>0</v>
      </c>
      <c r="I40" s="3337">
        <f t="shared" si="6"/>
        <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f>ROUND(D5*C22*C23*C44*C28*F41,0)</f>
        <v>0</v>
      </c>
      <c r="D41" s="4533"/>
      <c r="E41" s="3337">
        <f t="shared" si="4"/>
        <v>0</v>
      </c>
      <c r="F41" s="4536">
        <f>SUMIF(修正!A59:A70,G2,修正!F59:F70)</f>
        <v>0.25</v>
      </c>
      <c r="G41" s="3337">
        <f>ROUND(IF(E2="工业",C41*$M$42,C41*$M$41),0)</f>
        <v>0</v>
      </c>
      <c r="H41" s="3312">
        <f t="shared" si="5"/>
        <v>0</v>
      </c>
      <c r="I41" s="3337">
        <f t="shared" si="6"/>
        <v>0</v>
      </c>
      <c r="J41" s="1658"/>
      <c r="L41" s="2666" t="s">
        <v>3153</v>
      </c>
      <c r="M41" s="1662">
        <v>0.25</v>
      </c>
      <c r="Z41" s="789"/>
      <c r="AA41" s="789"/>
      <c r="AB41" s="789"/>
      <c r="AC41" s="789"/>
      <c r="AD41" s="789"/>
      <c r="AE41" s="789"/>
      <c r="AF41" s="789"/>
      <c r="AG41" s="789"/>
      <c r="AH41" s="789"/>
      <c r="AI41" s="789"/>
      <c r="AJ41" s="789"/>
    </row>
    <row r="42" spans="1:37" s="788" customFormat="1" ht="13.8" thickBot="1">
      <c r="A42" s="1647"/>
      <c r="B42" s="4562" t="s">
        <v>1947</v>
      </c>
      <c r="C42" s="4534">
        <f>ROUND(D5*C22*C23*C44*C28*F42,0)</f>
        <v>0</v>
      </c>
      <c r="D42" s="4535"/>
      <c r="E42" s="4534">
        <f t="shared" si="4"/>
        <v>0</v>
      </c>
      <c r="F42" s="4537">
        <f>SUMIF(修正!A59:A70,G2,修正!G59:G70)</f>
        <v>0.15</v>
      </c>
      <c r="G42" s="4534">
        <f>ROUND(IF(E2="工业",C42*$M$42,C42*$M$41),0)</f>
        <v>0</v>
      </c>
      <c r="H42" s="4538">
        <f t="shared" si="5"/>
        <v>0</v>
      </c>
      <c r="I42" s="4534">
        <f t="shared" si="6"/>
        <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2025</v>
      </c>
      <c r="C44" s="229">
        <f>ROUND(POWER(1+E44,H44-G44)*(POWER(1+E44,G44)-1)/(POWER(1+E44,H44)-1),4)</f>
        <v>0</v>
      </c>
      <c r="D44" s="73" t="s">
        <v>1905</v>
      </c>
      <c r="E44" s="1696">
        <f>G24</f>
        <v>0.05</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1950</v>
      </c>
      <c r="B49" s="959" t="s">
        <v>1951</v>
      </c>
      <c r="C49" s="959" t="s">
        <v>1952</v>
      </c>
      <c r="D49" s="959" t="s">
        <v>1953</v>
      </c>
      <c r="E49" s="531" t="s">
        <v>1954</v>
      </c>
      <c r="F49" s="1674" t="s">
        <v>1955</v>
      </c>
      <c r="G49" s="959" t="s">
        <v>308</v>
      </c>
      <c r="H49" s="1675" t="s">
        <v>1956</v>
      </c>
      <c r="I49" s="959" t="s">
        <v>1957</v>
      </c>
      <c r="J49" s="402" t="s">
        <v>1627</v>
      </c>
      <c r="K49" s="402" t="s">
        <v>1628</v>
      </c>
      <c r="L49" s="402" t="s">
        <v>1629</v>
      </c>
      <c r="M49" s="402" t="s">
        <v>1630</v>
      </c>
      <c r="N49" s="402" t="s">
        <v>1631</v>
      </c>
      <c r="AA49" s="789"/>
      <c r="AB49" s="789"/>
      <c r="AC49" s="789"/>
      <c r="AD49" s="789"/>
      <c r="AE49" s="789"/>
      <c r="AF49" s="789"/>
      <c r="AG49" s="789"/>
      <c r="AH49" s="789"/>
      <c r="AI49" s="789"/>
      <c r="AJ49" s="789"/>
      <c r="AK49" s="789"/>
    </row>
    <row r="50" spans="1:37" s="788" customFormat="1" ht="39.6">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52.8">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48">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7.200000000000003">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36">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6.4">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6.4">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40.200000000000003"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4.4">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1950</v>
      </c>
      <c r="B60" s="959"/>
      <c r="C60" s="959" t="s">
        <v>1952</v>
      </c>
      <c r="D60" s="959" t="s">
        <v>1953</v>
      </c>
      <c r="E60" s="531" t="s">
        <v>1954</v>
      </c>
      <c r="F60" s="1674" t="s">
        <v>1969</v>
      </c>
      <c r="G60" s="959" t="s">
        <v>308</v>
      </c>
      <c r="H60" s="1675" t="s">
        <v>1956</v>
      </c>
      <c r="I60" s="959" t="s">
        <v>1957</v>
      </c>
      <c r="J60" s="402" t="s">
        <v>1627</v>
      </c>
      <c r="K60" s="402" t="s">
        <v>1628</v>
      </c>
      <c r="L60" s="402" t="s">
        <v>1629</v>
      </c>
      <c r="M60" s="402" t="s">
        <v>1630</v>
      </c>
      <c r="N60" s="402" t="s">
        <v>1631</v>
      </c>
      <c r="AA60" s="789"/>
      <c r="AB60" s="789"/>
      <c r="AC60" s="789"/>
      <c r="AD60" s="789"/>
      <c r="AE60" s="789"/>
      <c r="AF60" s="789"/>
      <c r="AG60" s="789"/>
      <c r="AH60" s="789"/>
      <c r="AI60" s="789"/>
      <c r="AJ60" s="789"/>
      <c r="AK60" s="789"/>
    </row>
    <row r="61" spans="1:37" s="788" customFormat="1" ht="39.6">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52.8">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48">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7.200000000000003">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36">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6.4">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6.4">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40.200000000000003"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4.4">
      <c r="A70" s="1669" t="s">
        <v>1971</v>
      </c>
      <c r="B70" s="1670">
        <f>1+E72</f>
        <v>1.0452999999999999</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1950</v>
      </c>
      <c r="B71" s="959"/>
      <c r="C71" s="959" t="s">
        <v>1952</v>
      </c>
      <c r="D71" s="959" t="s">
        <v>1953</v>
      </c>
      <c r="E71" s="531" t="s">
        <v>1954</v>
      </c>
      <c r="F71" s="1674" t="s">
        <v>1969</v>
      </c>
      <c r="G71" s="959" t="s">
        <v>308</v>
      </c>
      <c r="H71" s="1675" t="s">
        <v>1956</v>
      </c>
      <c r="I71" s="959" t="s">
        <v>1957</v>
      </c>
      <c r="J71" s="402" t="s">
        <v>1627</v>
      </c>
      <c r="K71" s="402" t="s">
        <v>1628</v>
      </c>
      <c r="L71" s="402" t="s">
        <v>1629</v>
      </c>
      <c r="M71" s="402" t="s">
        <v>1630</v>
      </c>
      <c r="N71" s="402" t="s">
        <v>1631</v>
      </c>
      <c r="AA71" s="789"/>
      <c r="AB71" s="789"/>
      <c r="AC71" s="789"/>
      <c r="AD71" s="789"/>
      <c r="AE71" s="789"/>
      <c r="AF71" s="789"/>
      <c r="AG71" s="789"/>
      <c r="AH71" s="789"/>
      <c r="AI71" s="789"/>
      <c r="AJ71" s="789"/>
      <c r="AK71" s="789"/>
    </row>
    <row r="72" spans="1:37" s="788" customFormat="1" ht="52.8">
      <c r="A72" s="1673" t="s">
        <v>1972</v>
      </c>
      <c r="B72" s="1676" t="str">
        <f>估价对象房地状况!C15</f>
        <v>估价对象周边居住用地比例、居住小区规模和社区发展完善程度，综合评价居住社区成熟度一般</v>
      </c>
      <c r="C72" s="1592" t="s">
        <v>3611</v>
      </c>
      <c r="D72" s="4564">
        <f t="shared" ref="D72:D80" si="17">SUMIF($J$71:$N$71,C72,J72:N72)</f>
        <v>1.2999999999999999E-2</v>
      </c>
      <c r="E72" s="4565">
        <f>ROUND(SUM(D72:D80),4)</f>
        <v>4.53E-2</v>
      </c>
      <c r="F72" s="4573">
        <f>IF(E2="住宅",SUMIF(L1:L12,G2,N1:N12),"——")</f>
        <v>0.13</v>
      </c>
      <c r="G72" s="4568">
        <v>1.2999999999999999E-2</v>
      </c>
      <c r="H72" s="4569">
        <f t="shared" ref="H72:H80" si="18">IFERROR(ROUNDDOWN($F$72*I72/2,4),"——")</f>
        <v>1.2999999999999999E-2</v>
      </c>
      <c r="I72" s="4570">
        <v>0.2</v>
      </c>
      <c r="J72" s="4571">
        <f t="shared" ref="J72:J80" si="19">K72+$G72</f>
        <v>2.5999999999999999E-2</v>
      </c>
      <c r="K72" s="4571">
        <f t="shared" ref="K72:K80" si="20">$L72+$G72</f>
        <v>1.2999999999999999E-2</v>
      </c>
      <c r="L72" s="4571">
        <v>0</v>
      </c>
      <c r="M72" s="4571">
        <f t="shared" ref="M72:N80" si="21">L72-$G72</f>
        <v>-1.2999999999999999E-2</v>
      </c>
      <c r="N72" s="4571">
        <f t="shared" si="21"/>
        <v>-2.5999999999999999E-2</v>
      </c>
      <c r="AA72" s="789"/>
      <c r="AB72" s="789"/>
      <c r="AC72" s="789"/>
      <c r="AD72" s="789"/>
      <c r="AE72" s="789"/>
      <c r="AF72" s="789"/>
      <c r="AG72" s="789"/>
      <c r="AH72" s="789"/>
      <c r="AI72" s="789"/>
      <c r="AJ72" s="789"/>
      <c r="AK72" s="789"/>
    </row>
    <row r="73" spans="1:37" s="788" customFormat="1" ht="52.8">
      <c r="A73" s="1673" t="s">
        <v>1959</v>
      </c>
      <c r="B73" s="1677" t="str">
        <f>估价对象房地状况!C18</f>
        <v>估价对象周边道路状况、公共交通通达情况、停车便捷程度，综合评价交通便捷度较好</v>
      </c>
      <c r="C73" s="1592" t="s">
        <v>3610</v>
      </c>
      <c r="D73" s="4564">
        <f t="shared" si="17"/>
        <v>0</v>
      </c>
      <c r="E73" s="4566"/>
      <c r="F73" s="4573"/>
      <c r="G73" s="4568">
        <v>1.6899999999999998E-2</v>
      </c>
      <c r="H73" s="4569">
        <f t="shared" si="18"/>
        <v>1.6899999999999998E-2</v>
      </c>
      <c r="I73" s="4570">
        <v>0.26</v>
      </c>
      <c r="J73" s="4571">
        <f t="shared" si="19"/>
        <v>3.3799999999999997E-2</v>
      </c>
      <c r="K73" s="4571">
        <f t="shared" si="20"/>
        <v>1.6899999999999998E-2</v>
      </c>
      <c r="L73" s="4571">
        <v>0</v>
      </c>
      <c r="M73" s="4571">
        <f t="shared" si="21"/>
        <v>-1.6899999999999998E-2</v>
      </c>
      <c r="N73" s="4571">
        <f t="shared" si="21"/>
        <v>-3.3799999999999997E-2</v>
      </c>
      <c r="AA73" s="789"/>
      <c r="AB73" s="789"/>
      <c r="AC73" s="789"/>
      <c r="AD73" s="789"/>
      <c r="AE73" s="789"/>
      <c r="AF73" s="789"/>
      <c r="AG73" s="789"/>
      <c r="AH73" s="789"/>
      <c r="AI73" s="789"/>
      <c r="AJ73" s="789"/>
      <c r="AK73" s="789"/>
    </row>
    <row r="74" spans="1:37" s="1546" customFormat="1" ht="48">
      <c r="A74" s="2669" t="s">
        <v>3155</v>
      </c>
      <c r="B74" s="1677">
        <f>估价对象房地状况!C19</f>
        <v>0</v>
      </c>
      <c r="C74" s="1592" t="s">
        <v>3611</v>
      </c>
      <c r="D74" s="4564">
        <f t="shared" si="17"/>
        <v>6.4999999999999997E-3</v>
      </c>
      <c r="E74" s="4566"/>
      <c r="F74" s="4573"/>
      <c r="G74" s="4568">
        <v>6.4999999999999997E-3</v>
      </c>
      <c r="H74" s="4569">
        <f t="shared" si="18"/>
        <v>6.4999999999999997E-3</v>
      </c>
      <c r="I74" s="4570">
        <v>0.1</v>
      </c>
      <c r="J74" s="4571">
        <f t="shared" si="19"/>
        <v>1.2999999999999999E-2</v>
      </c>
      <c r="K74" s="4571">
        <f t="shared" si="20"/>
        <v>6.4999999999999997E-3</v>
      </c>
      <c r="L74" s="4571">
        <v>0</v>
      </c>
      <c r="M74" s="4571">
        <f t="shared" si="21"/>
        <v>-6.4999999999999997E-3</v>
      </c>
      <c r="N74" s="4571">
        <f t="shared" si="21"/>
        <v>-1.2999999999999999E-2</v>
      </c>
      <c r="O74" s="788"/>
      <c r="P74" s="788"/>
      <c r="Q74" s="788"/>
      <c r="AA74" s="1684"/>
      <c r="AB74" s="789"/>
      <c r="AC74" s="789"/>
      <c r="AD74" s="789"/>
      <c r="AE74" s="789"/>
      <c r="AF74" s="789"/>
      <c r="AG74" s="789"/>
      <c r="AH74" s="1684"/>
      <c r="AI74" s="1684"/>
      <c r="AJ74" s="1684"/>
      <c r="AK74" s="1684"/>
    </row>
    <row r="75" spans="1:37" ht="13.8">
      <c r="A75" s="1673" t="s">
        <v>1973</v>
      </c>
      <c r="B75" s="1677">
        <f>估价对象房地状况!C24</f>
        <v>0</v>
      </c>
      <c r="C75" s="1592" t="s">
        <v>3610</v>
      </c>
      <c r="D75" s="4564">
        <f t="shared" si="17"/>
        <v>0</v>
      </c>
      <c r="E75" s="4566"/>
      <c r="F75" s="4573"/>
      <c r="G75" s="4568">
        <v>3.2000000000000002E-3</v>
      </c>
      <c r="H75" s="4569">
        <f t="shared" si="18"/>
        <v>3.2000000000000002E-3</v>
      </c>
      <c r="I75" s="4570">
        <v>0.05</v>
      </c>
      <c r="J75" s="4571">
        <f t="shared" si="19"/>
        <v>6.4000000000000003E-3</v>
      </c>
      <c r="K75" s="4571">
        <f t="shared" si="20"/>
        <v>3.2000000000000002E-3</v>
      </c>
      <c r="L75" s="4571">
        <v>0</v>
      </c>
      <c r="M75" s="4571">
        <f t="shared" si="21"/>
        <v>-3.2000000000000002E-3</v>
      </c>
      <c r="N75" s="4571">
        <f t="shared" si="21"/>
        <v>-6.4000000000000003E-3</v>
      </c>
      <c r="O75" s="788"/>
      <c r="P75" s="788"/>
      <c r="Q75" s="1546"/>
      <c r="Z75" s="1547"/>
      <c r="AA75" s="1601"/>
      <c r="AG75" s="790"/>
      <c r="AK75" s="1601"/>
    </row>
    <row r="76" spans="1:37" ht="26.4">
      <c r="A76" s="1673" t="s">
        <v>1965</v>
      </c>
      <c r="B76" s="938" t="str">
        <f>估价对象房地状况!C21</f>
        <v>估价对象所在区域公共配套设施齐备情况</v>
      </c>
      <c r="C76" s="1592" t="s">
        <v>3610</v>
      </c>
      <c r="D76" s="4564">
        <f t="shared" si="17"/>
        <v>0</v>
      </c>
      <c r="E76" s="4566"/>
      <c r="F76" s="4573"/>
      <c r="G76" s="4568">
        <v>5.1999999999999998E-3</v>
      </c>
      <c r="H76" s="4569">
        <f t="shared" si="18"/>
        <v>5.1999999999999998E-3</v>
      </c>
      <c r="I76" s="4570">
        <v>0.08</v>
      </c>
      <c r="J76" s="4571">
        <f t="shared" si="19"/>
        <v>1.04E-2</v>
      </c>
      <c r="K76" s="4571">
        <f t="shared" si="20"/>
        <v>5.1999999999999998E-3</v>
      </c>
      <c r="L76" s="4571">
        <v>0</v>
      </c>
      <c r="M76" s="4571">
        <f t="shared" si="21"/>
        <v>-5.1999999999999998E-3</v>
      </c>
      <c r="N76" s="4571">
        <f t="shared" si="21"/>
        <v>-1.04E-2</v>
      </c>
      <c r="O76" s="788"/>
      <c r="P76" s="788"/>
      <c r="Z76" s="1547"/>
      <c r="AA76" s="1601"/>
      <c r="AG76" s="790"/>
      <c r="AK76" s="1601"/>
    </row>
    <row r="77" spans="1:37" ht="26.4">
      <c r="A77" s="1673" t="s">
        <v>1966</v>
      </c>
      <c r="B77" s="938" t="str">
        <f>估价对象房地状况!C22</f>
        <v>估价对象所在区域基础设施水平</v>
      </c>
      <c r="C77" s="1592" t="s">
        <v>4019</v>
      </c>
      <c r="D77" s="4564">
        <f t="shared" si="17"/>
        <v>1.1599999999999999E-2</v>
      </c>
      <c r="E77" s="4566"/>
      <c r="F77" s="4573"/>
      <c r="G77" s="4568">
        <v>5.7999999999999996E-3</v>
      </c>
      <c r="H77" s="4569">
        <f t="shared" si="18"/>
        <v>5.7999999999999996E-3</v>
      </c>
      <c r="I77" s="4570">
        <v>0.09</v>
      </c>
      <c r="J77" s="4571">
        <f t="shared" si="19"/>
        <v>1.1599999999999999E-2</v>
      </c>
      <c r="K77" s="4571">
        <f t="shared" si="20"/>
        <v>5.7999999999999996E-3</v>
      </c>
      <c r="L77" s="4571">
        <v>0</v>
      </c>
      <c r="M77" s="4571">
        <f t="shared" si="21"/>
        <v>-5.7999999999999996E-3</v>
      </c>
      <c r="N77" s="4571">
        <f t="shared" si="21"/>
        <v>-1.1599999999999999E-2</v>
      </c>
      <c r="O77" s="788"/>
      <c r="P77" s="788"/>
      <c r="Z77" s="1547"/>
      <c r="AA77" s="1601"/>
      <c r="AG77" s="790"/>
      <c r="AK77" s="1601"/>
    </row>
    <row r="78" spans="1:37" ht="36">
      <c r="A78" s="1673" t="s">
        <v>1963</v>
      </c>
      <c r="B78" s="1679" t="s">
        <v>1964</v>
      </c>
      <c r="C78" s="1592" t="s">
        <v>3611</v>
      </c>
      <c r="D78" s="4564">
        <f t="shared" si="17"/>
        <v>3.2000000000000002E-3</v>
      </c>
      <c r="E78" s="4566"/>
      <c r="F78" s="4573"/>
      <c r="G78" s="4568">
        <v>3.2000000000000002E-3</v>
      </c>
      <c r="H78" s="4569">
        <f t="shared" si="18"/>
        <v>3.2000000000000002E-3</v>
      </c>
      <c r="I78" s="4570">
        <v>0.05</v>
      </c>
      <c r="J78" s="4571">
        <f t="shared" si="19"/>
        <v>6.4000000000000003E-3</v>
      </c>
      <c r="K78" s="4571">
        <f t="shared" si="20"/>
        <v>3.2000000000000002E-3</v>
      </c>
      <c r="L78" s="4571">
        <v>0</v>
      </c>
      <c r="M78" s="4571">
        <f t="shared" si="21"/>
        <v>-3.2000000000000002E-3</v>
      </c>
      <c r="N78" s="4571">
        <f t="shared" si="21"/>
        <v>-6.4000000000000003E-3</v>
      </c>
      <c r="O78" s="1546"/>
      <c r="P78" s="1546"/>
      <c r="Z78" s="1547"/>
      <c r="AA78" s="1601"/>
      <c r="AG78" s="790"/>
      <c r="AK78" s="1601"/>
    </row>
    <row r="79" spans="1:37" ht="39.6">
      <c r="A79" s="1673" t="s">
        <v>1967</v>
      </c>
      <c r="B79" s="1676" t="str">
        <f>估价对象房地状况!C20</f>
        <v>区域自然环境：；人文环境；综合评价环境状况一般</v>
      </c>
      <c r="C79" s="1592" t="s">
        <v>3611</v>
      </c>
      <c r="D79" s="4564">
        <f t="shared" si="17"/>
        <v>7.7999999999999996E-3</v>
      </c>
      <c r="E79" s="4566"/>
      <c r="F79" s="4573"/>
      <c r="G79" s="4568">
        <v>7.7999999999999996E-3</v>
      </c>
      <c r="H79" s="4569">
        <f t="shared" si="18"/>
        <v>7.7999999999999996E-3</v>
      </c>
      <c r="I79" s="4570">
        <v>0.12</v>
      </c>
      <c r="J79" s="4571">
        <f t="shared" si="19"/>
        <v>1.5599999999999999E-2</v>
      </c>
      <c r="K79" s="4571">
        <f t="shared" si="20"/>
        <v>7.7999999999999996E-3</v>
      </c>
      <c r="L79" s="4571">
        <v>0</v>
      </c>
      <c r="M79" s="4571">
        <f t="shared" si="21"/>
        <v>-7.7999999999999996E-3</v>
      </c>
      <c r="N79" s="4571">
        <f t="shared" si="21"/>
        <v>-1.5599999999999999E-2</v>
      </c>
      <c r="Z79" s="1547"/>
      <c r="AA79" s="1601"/>
      <c r="AG79" s="790"/>
      <c r="AK79" s="1601"/>
    </row>
    <row r="80" spans="1:37" ht="36.6" thickBot="1">
      <c r="A80" s="1681" t="s">
        <v>1974</v>
      </c>
      <c r="B80" s="1685"/>
      <c r="C80" s="1592" t="s">
        <v>3611</v>
      </c>
      <c r="D80" s="4564">
        <f t="shared" si="17"/>
        <v>3.2000000000000002E-3</v>
      </c>
      <c r="E80" s="4567"/>
      <c r="F80" s="4573"/>
      <c r="G80" s="4568">
        <v>3.2000000000000002E-3</v>
      </c>
      <c r="H80" s="4569">
        <f t="shared" si="18"/>
        <v>3.2000000000000002E-3</v>
      </c>
      <c r="I80" s="4572">
        <v>0.05</v>
      </c>
      <c r="J80" s="4571">
        <f t="shared" si="19"/>
        <v>6.4000000000000003E-3</v>
      </c>
      <c r="K80" s="4571">
        <f t="shared" si="20"/>
        <v>3.2000000000000002E-3</v>
      </c>
      <c r="L80" s="4571">
        <v>0</v>
      </c>
      <c r="M80" s="4571">
        <f t="shared" si="21"/>
        <v>-3.2000000000000002E-3</v>
      </c>
      <c r="N80" s="4571">
        <f t="shared" si="21"/>
        <v>-6.4000000000000003E-3</v>
      </c>
      <c r="Z80" s="1547"/>
      <c r="AA80" s="1601"/>
      <c r="AG80" s="790"/>
      <c r="AK80" s="1601"/>
    </row>
    <row r="81" spans="1:37" ht="14.4">
      <c r="A81" s="1669" t="s">
        <v>1975</v>
      </c>
      <c r="B81" s="1670">
        <f>1+E83</f>
        <v>1</v>
      </c>
      <c r="C81" s="529"/>
      <c r="D81" s="529"/>
      <c r="E81" s="530"/>
      <c r="F81" s="1672"/>
      <c r="G81" s="3"/>
      <c r="H81" s="3"/>
      <c r="I81" s="3"/>
      <c r="J81" s="4"/>
      <c r="K81" s="4"/>
      <c r="L81" s="4"/>
      <c r="M81" s="4"/>
      <c r="N81" s="4"/>
      <c r="Z81" s="1547"/>
      <c r="AA81" s="1601"/>
      <c r="AG81" s="790"/>
      <c r="AK81" s="1601"/>
    </row>
    <row r="82" spans="1:37" ht="25.2">
      <c r="A82" s="1673" t="s">
        <v>1950</v>
      </c>
      <c r="B82" s="959"/>
      <c r="C82" s="959" t="s">
        <v>1952</v>
      </c>
      <c r="D82" s="959" t="s">
        <v>1953</v>
      </c>
      <c r="E82" s="531" t="s">
        <v>1954</v>
      </c>
      <c r="F82" s="1674" t="s">
        <v>1969</v>
      </c>
      <c r="G82" s="959" t="s">
        <v>308</v>
      </c>
      <c r="H82" s="1675" t="s">
        <v>1956</v>
      </c>
      <c r="I82" s="959" t="s">
        <v>1957</v>
      </c>
      <c r="J82" s="402" t="s">
        <v>1627</v>
      </c>
      <c r="K82" s="402" t="s">
        <v>1628</v>
      </c>
      <c r="L82" s="402" t="s">
        <v>1629</v>
      </c>
      <c r="M82" s="402" t="s">
        <v>1630</v>
      </c>
      <c r="N82" s="402" t="s">
        <v>1631</v>
      </c>
      <c r="Z82" s="1547"/>
      <c r="AA82" s="1601"/>
      <c r="AG82" s="790"/>
      <c r="AK82" s="1601"/>
    </row>
    <row r="83" spans="1:37" ht="39.6">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52.8">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48">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3.8">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6.4">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6.4">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36">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40.200000000000003"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3.8">
      <c r="A91" s="2677" t="s">
        <v>2500</v>
      </c>
      <c r="B91" s="2678">
        <f>1+E93</f>
        <v>1</v>
      </c>
      <c r="C91" s="2671"/>
      <c r="D91" s="2672"/>
      <c r="E91" s="1397"/>
      <c r="F91" s="1397"/>
      <c r="G91" s="2673"/>
      <c r="H91" s="2674"/>
      <c r="I91" s="2675"/>
      <c r="J91" s="2676"/>
      <c r="K91" s="2676"/>
      <c r="L91" s="2676"/>
      <c r="M91" s="2676"/>
      <c r="N91" s="2676"/>
    </row>
    <row r="92" spans="1:37" ht="25.2">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52.8">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48">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7.200000000000003">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36">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6.4">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6.4">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40.200000000000003"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46" t="s">
        <v>3180</v>
      </c>
      <c r="B103" s="5046"/>
      <c r="C103" s="5046"/>
      <c r="D103" s="5046"/>
      <c r="E103" s="5046"/>
      <c r="F103" s="5046"/>
      <c r="G103" s="5046"/>
      <c r="H103" s="5046"/>
      <c r="I103" s="5046"/>
      <c r="J103" s="5046"/>
      <c r="K103" s="2687"/>
      <c r="L103" s="2687"/>
      <c r="M103" s="2687"/>
      <c r="N103" s="2687"/>
    </row>
    <row r="104" spans="1:14">
      <c r="A104" s="5047" t="s">
        <v>3181</v>
      </c>
      <c r="B104" s="5047" t="s">
        <v>3182</v>
      </c>
      <c r="C104" s="4597" t="s">
        <v>3183</v>
      </c>
      <c r="D104" s="4598"/>
      <c r="E104" s="4598"/>
      <c r="F104" s="4598"/>
      <c r="G104" s="4598"/>
      <c r="H104" s="4598"/>
      <c r="I104" s="4598"/>
      <c r="J104" s="4598"/>
      <c r="K104" s="4598"/>
      <c r="L104" s="4598"/>
      <c r="M104" s="4598"/>
      <c r="N104" s="4599"/>
    </row>
    <row r="105" spans="1:14">
      <c r="A105" s="5047"/>
      <c r="B105" s="5047"/>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5037"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5038"/>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5038"/>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5038"/>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5038"/>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5038"/>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5039"/>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5040" t="s">
        <v>3197</v>
      </c>
      <c r="B113" s="5040"/>
      <c r="C113" s="5040"/>
      <c r="D113" s="5040"/>
      <c r="E113" s="5040"/>
      <c r="F113" s="5040"/>
      <c r="G113" s="5040"/>
      <c r="H113" s="5040"/>
      <c r="I113" s="5040"/>
      <c r="J113" s="5040"/>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91" t="s">
        <v>3198</v>
      </c>
      <c r="B116" s="4595">
        <f>G3</f>
        <v>1</v>
      </c>
      <c r="C116" s="4592" t="s">
        <v>3199</v>
      </c>
      <c r="D116" s="4596">
        <f>SUMPRODUCT((A118:A122=F116)*(B117:M117=H116)*B118:M122)</f>
        <v>0.92249999999999999</v>
      </c>
      <c r="E116" s="4592" t="s">
        <v>3200</v>
      </c>
      <c r="F116" s="4593" t="str">
        <f>E2</f>
        <v>住宅</v>
      </c>
      <c r="G116" s="4592" t="s">
        <v>3201</v>
      </c>
      <c r="H116" s="4593" t="str">
        <f>G2</f>
        <v>七级</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0.98580000000000001</v>
      </c>
      <c r="C118" s="4583">
        <f>B118</f>
        <v>0.98580000000000001</v>
      </c>
      <c r="D118" s="4583">
        <f>ROUND(0.949-0.014*B116,4)</f>
        <v>0.93500000000000005</v>
      </c>
      <c r="E118" s="4583">
        <f>D118</f>
        <v>0.93500000000000005</v>
      </c>
      <c r="F118" s="4583">
        <f>E118</f>
        <v>0.93500000000000005</v>
      </c>
      <c r="G118" s="4583">
        <f>F118</f>
        <v>0.93500000000000005</v>
      </c>
      <c r="H118" s="4583">
        <f>G118</f>
        <v>0.93500000000000005</v>
      </c>
      <c r="I118" s="4583">
        <f>ROUND(0.8486-0.018*B116,4)</f>
        <v>0.8306</v>
      </c>
      <c r="J118" s="4583">
        <f t="shared" ref="J118:M122" si="35">I118</f>
        <v>0.8306</v>
      </c>
      <c r="K118" s="4583">
        <f t="shared" si="35"/>
        <v>0.8306</v>
      </c>
      <c r="L118" s="4583">
        <f t="shared" si="35"/>
        <v>0.8306</v>
      </c>
      <c r="M118" s="4584">
        <f t="shared" si="35"/>
        <v>0.8306</v>
      </c>
      <c r="N118" s="2690"/>
    </row>
    <row r="119" spans="1:14">
      <c r="A119" s="2693" t="s">
        <v>3215</v>
      </c>
      <c r="B119" s="4583">
        <f>ROUND(0.993-0.0112*B116,4)</f>
        <v>0.98180000000000001</v>
      </c>
      <c r="C119" s="4583">
        <f>B119</f>
        <v>0.98180000000000001</v>
      </c>
      <c r="D119" s="4583">
        <f>ROUND(0.9415-0.0142*B116,4)</f>
        <v>0.92730000000000001</v>
      </c>
      <c r="E119" s="4583">
        <f t="shared" ref="E119:H120" si="36">D119</f>
        <v>0.92730000000000001</v>
      </c>
      <c r="F119" s="4583">
        <f t="shared" si="36"/>
        <v>0.92730000000000001</v>
      </c>
      <c r="G119" s="4583">
        <f t="shared" si="36"/>
        <v>0.92730000000000001</v>
      </c>
      <c r="H119" s="4583">
        <f t="shared" si="36"/>
        <v>0.92730000000000001</v>
      </c>
      <c r="I119" s="4583">
        <f>ROUND(0.838-0.0182*B116,4)</f>
        <v>0.81979999999999997</v>
      </c>
      <c r="J119" s="4583">
        <f t="shared" si="35"/>
        <v>0.81979999999999997</v>
      </c>
      <c r="K119" s="4583">
        <f t="shared" si="35"/>
        <v>0.81979999999999997</v>
      </c>
      <c r="L119" s="4583">
        <f t="shared" si="35"/>
        <v>0.81979999999999997</v>
      </c>
      <c r="M119" s="4584">
        <f t="shared" si="35"/>
        <v>0.81979999999999997</v>
      </c>
      <c r="N119" s="2690"/>
    </row>
    <row r="120" spans="1:14">
      <c r="A120" s="2693" t="s">
        <v>3216</v>
      </c>
      <c r="B120" s="4583">
        <f>ROUND(0.9448-0.0115*B116,4)</f>
        <v>0.93330000000000002</v>
      </c>
      <c r="C120" s="4583">
        <f>B120</f>
        <v>0.93330000000000002</v>
      </c>
      <c r="D120" s="4583">
        <f>ROUND(0.937-0.0145*B116,4)</f>
        <v>0.92249999999999999</v>
      </c>
      <c r="E120" s="4583">
        <f t="shared" si="36"/>
        <v>0.92249999999999999</v>
      </c>
      <c r="F120" s="4583">
        <f t="shared" si="36"/>
        <v>0.92249999999999999</v>
      </c>
      <c r="G120" s="4583">
        <f t="shared" si="36"/>
        <v>0.92249999999999999</v>
      </c>
      <c r="H120" s="4583">
        <f t="shared" si="36"/>
        <v>0.92249999999999999</v>
      </c>
      <c r="I120" s="4583">
        <f>ROUND(0.7965-0.0185*B116,4)</f>
        <v>0.77800000000000002</v>
      </c>
      <c r="J120" s="4583">
        <f t="shared" si="35"/>
        <v>0.77800000000000002</v>
      </c>
      <c r="K120" s="4583">
        <f t="shared" si="35"/>
        <v>0.77800000000000002</v>
      </c>
      <c r="L120" s="4583">
        <f t="shared" si="35"/>
        <v>0.77800000000000002</v>
      </c>
      <c r="M120" s="4584">
        <f t="shared" si="35"/>
        <v>0.77800000000000002</v>
      </c>
      <c r="N120" s="2690"/>
    </row>
    <row r="121" spans="1:14">
      <c r="A121" s="2693" t="s">
        <v>3217</v>
      </c>
      <c r="B121" s="4583">
        <f>ROUND(0.7836-0.012*B116,4)</f>
        <v>0.77159999999999995</v>
      </c>
      <c r="C121" s="4583">
        <f>B121</f>
        <v>0.77159999999999995</v>
      </c>
      <c r="D121" s="4583">
        <f>ROUND(0.753-0.015*B116,4)</f>
        <v>0.73799999999999999</v>
      </c>
      <c r="E121" s="4583">
        <f>D121</f>
        <v>0.73799999999999999</v>
      </c>
      <c r="F121" s="4583">
        <f>E121</f>
        <v>0.73799999999999999</v>
      </c>
      <c r="G121" s="4583">
        <f>ROUND(0.6612-0.018*B116,4)</f>
        <v>0.64319999999999999</v>
      </c>
      <c r="H121" s="4583">
        <f>G121</f>
        <v>0.64319999999999999</v>
      </c>
      <c r="I121" s="4583">
        <f>ROUND(0.5905-0.019*B116,4)</f>
        <v>0.57150000000000001</v>
      </c>
      <c r="J121" s="4583">
        <f t="shared" si="35"/>
        <v>0.57150000000000001</v>
      </c>
      <c r="K121" s="4583">
        <f t="shared" si="35"/>
        <v>0.57150000000000001</v>
      </c>
      <c r="L121" s="4583">
        <f t="shared" si="35"/>
        <v>0.57150000000000001</v>
      </c>
      <c r="M121" s="4584">
        <f t="shared" si="35"/>
        <v>0.57150000000000001</v>
      </c>
      <c r="N121" s="2690"/>
    </row>
    <row r="122" spans="1:14" ht="13.8" thickBot="1">
      <c r="A122" s="4590" t="s">
        <v>2500</v>
      </c>
      <c r="B122" s="4585">
        <f>ROUND(0.9404-0.0106*B116,4)</f>
        <v>0.92979999999999996</v>
      </c>
      <c r="C122" s="4585">
        <f>B122</f>
        <v>0.92979999999999996</v>
      </c>
      <c r="D122" s="4585">
        <f>ROUND(0.8955-0.0135*B116,4)</f>
        <v>0.88200000000000001</v>
      </c>
      <c r="E122" s="4585">
        <f t="shared" ref="E122:H122" si="37">D122</f>
        <v>0.88200000000000001</v>
      </c>
      <c r="F122" s="4585">
        <f t="shared" si="37"/>
        <v>0.88200000000000001</v>
      </c>
      <c r="G122" s="4585">
        <f t="shared" si="37"/>
        <v>0.88200000000000001</v>
      </c>
      <c r="H122" s="4585">
        <f t="shared" si="37"/>
        <v>0.88200000000000001</v>
      </c>
      <c r="I122" s="4585">
        <f>ROUND(0.7632-0.0166*B116,4)</f>
        <v>0.74660000000000004</v>
      </c>
      <c r="J122" s="4585">
        <f t="shared" si="35"/>
        <v>0.74660000000000004</v>
      </c>
      <c r="K122" s="4585">
        <f t="shared" si="35"/>
        <v>0.74660000000000004</v>
      </c>
      <c r="L122" s="4585">
        <f t="shared" si="35"/>
        <v>0.74660000000000004</v>
      </c>
      <c r="M122" s="4586">
        <f t="shared" si="35"/>
        <v>0.74660000000000004</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5" t="s">
        <v>3514</v>
      </c>
      <c r="B1" s="832"/>
      <c r="C1" s="833"/>
      <c r="D1" s="831"/>
      <c r="E1" s="2225"/>
      <c r="F1" s="2225"/>
      <c r="G1" s="2104"/>
      <c r="H1" s="2225"/>
      <c r="I1" s="2225"/>
      <c r="J1" s="2225"/>
      <c r="K1" s="2226">
        <f>MATCH(C1,'数据-取费表'!A6:A16,0)+5</f>
        <v>7</v>
      </c>
    </row>
    <row r="2" spans="1:33" ht="18" customHeight="1">
      <c r="A2" s="100" t="s">
        <v>1430</v>
      </c>
      <c r="B2" s="2757">
        <f ca="1">C34</f>
        <v>-81</v>
      </c>
      <c r="C2" s="175" t="s">
        <v>1530</v>
      </c>
      <c r="D2" s="175"/>
      <c r="E2" s="2225"/>
      <c r="F2" s="2225"/>
      <c r="G2" s="2225"/>
      <c r="H2" s="2225"/>
      <c r="I2" s="2225"/>
      <c r="J2" s="2225"/>
      <c r="K2" s="2225"/>
    </row>
    <row r="3" spans="1:33" ht="18" customHeight="1">
      <c r="A3" s="102" t="s">
        <v>1432</v>
      </c>
      <c r="B3" s="2757">
        <f ca="1">ROUND(B2*10000/IF(C1="",'数据-汇总表'!E3,INDIRECT("'数据-取费表'!K"&amp;$K$1)),0)</f>
        <v>-3083</v>
      </c>
      <c r="C3" s="175" t="s">
        <v>1531</v>
      </c>
      <c r="D3" s="175"/>
      <c r="E3" s="2225"/>
      <c r="F3" s="2225"/>
      <c r="G3" s="2225"/>
      <c r="H3" s="2225"/>
      <c r="I3" s="2225"/>
      <c r="J3" s="2225"/>
      <c r="K3" s="2225"/>
    </row>
    <row r="4" spans="1:33" ht="18" customHeight="1">
      <c r="A4" s="3648" t="s">
        <v>3629</v>
      </c>
      <c r="B4" s="2756">
        <f ca="1">ROUND(B2*10000/IF(C1="",'数据-汇总表'!D3,INDIRECT("'数据-取费表'!R"&amp;$K$1)),0)</f>
        <v>-1299</v>
      </c>
      <c r="C4" s="1435" t="s">
        <v>3631</v>
      </c>
      <c r="D4" s="175"/>
      <c r="E4" s="2225"/>
      <c r="F4" s="2225"/>
      <c r="G4" s="2225"/>
      <c r="H4" s="2225"/>
      <c r="I4" s="2225"/>
      <c r="J4" s="2225"/>
      <c r="K4" s="2225"/>
    </row>
    <row r="5" spans="1:33" ht="18" customHeight="1" thickBot="1">
      <c r="A5" s="98"/>
      <c r="B5" s="3657">
        <f ca="1">ROUND(B2/(IF(C1="",'数据-汇总表'!D3,INDIRECT("'数据-取费表'!R"&amp;$K$1))/666.67),0)</f>
        <v>-87</v>
      </c>
      <c r="C5" s="3651" t="s">
        <v>3630</v>
      </c>
      <c r="D5" s="175"/>
      <c r="E5" s="2225"/>
      <c r="F5" s="2225"/>
      <c r="G5" s="2225"/>
      <c r="H5" s="2225"/>
      <c r="I5" s="2225"/>
      <c r="J5" s="2225"/>
      <c r="K5" s="2225"/>
    </row>
    <row r="6" spans="1:33" s="542" customFormat="1" ht="16.5" customHeight="1">
      <c r="A6" s="2890" t="s">
        <v>3518</v>
      </c>
      <c r="B6" s="2889"/>
      <c r="C6" s="5030" t="s">
        <v>3375</v>
      </c>
      <c r="D6" s="5030"/>
      <c r="E6" s="5030"/>
      <c r="F6" s="5030"/>
      <c r="G6" s="5030"/>
      <c r="H6" s="5030"/>
      <c r="I6" s="5030"/>
      <c r="J6" s="5030"/>
      <c r="K6" s="5031"/>
    </row>
    <row r="7" spans="1:33" s="545" customFormat="1" ht="14.4">
      <c r="A7" s="3457" t="s">
        <v>1532</v>
      </c>
      <c r="B7" s="2897" t="s">
        <v>1533</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1534</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52" t="s">
        <v>3519</v>
      </c>
      <c r="B11" s="5053"/>
      <c r="C11" s="5053"/>
      <c r="D11" s="5053"/>
      <c r="E11" s="5053"/>
      <c r="F11" s="5053"/>
      <c r="G11" s="5053"/>
      <c r="H11" s="5053"/>
      <c r="I11" s="5053"/>
      <c r="J11" s="5053"/>
      <c r="K11" s="5054"/>
    </row>
    <row r="12" spans="1:33" s="4439" customFormat="1" ht="13.5" customHeight="1">
      <c r="A12" s="3470" t="s">
        <v>3508</v>
      </c>
      <c r="B12" s="4436" t="s">
        <v>1536</v>
      </c>
      <c r="C12" s="4440" t="s">
        <v>3955</v>
      </c>
      <c r="D12" s="4436" t="s">
        <v>1538</v>
      </c>
      <c r="E12" s="4436" t="s">
        <v>1539</v>
      </c>
      <c r="F12" s="4436" t="s">
        <v>1540</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81</v>
      </c>
      <c r="D15" s="559"/>
      <c r="E15" s="177"/>
      <c r="F15" s="3486"/>
      <c r="G15" s="3613" t="s">
        <v>3538</v>
      </c>
      <c r="H15" s="555"/>
      <c r="I15" s="555"/>
      <c r="J15" s="555"/>
      <c r="K15" s="556"/>
    </row>
    <row r="16" spans="1:33" s="552" customFormat="1" ht="13.5" customHeight="1">
      <c r="A16" s="3624" t="s">
        <v>3588</v>
      </c>
      <c r="B16" s="3490" t="s">
        <v>3521</v>
      </c>
      <c r="C16" s="3491">
        <f ca="1">SUM(C17:C22)</f>
        <v>66</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53</v>
      </c>
      <c r="D17" s="3493"/>
      <c r="E17" s="3494"/>
      <c r="F17" s="3506"/>
      <c r="G17" s="3614"/>
      <c r="H17" s="3611"/>
      <c r="I17" s="3611"/>
      <c r="J17" s="3611"/>
      <c r="K17" s="3623"/>
    </row>
    <row r="18" spans="1:33" s="552" customFormat="1" ht="13.5" customHeight="1">
      <c r="A18" s="3625" t="s">
        <v>3527</v>
      </c>
      <c r="B18" s="3477" t="s">
        <v>3528</v>
      </c>
      <c r="C18" s="2735">
        <f ca="1">ROUND(C17*F18,0)</f>
        <v>3</v>
      </c>
      <c r="D18" s="3490"/>
      <c r="E18" s="3490"/>
      <c r="F18" s="3507">
        <f>'数据-取费表'!B33</f>
        <v>0.05</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1</v>
      </c>
      <c r="D19" s="3495"/>
      <c r="E19" s="3495"/>
      <c r="F19" s="3507">
        <f>'数据-取费表'!B34</f>
        <v>0.02</v>
      </c>
      <c r="G19" s="2731"/>
      <c r="H19" s="3611"/>
      <c r="I19" s="3611"/>
      <c r="J19" s="3611"/>
      <c r="K19" s="3623"/>
    </row>
    <row r="20" spans="1:33" s="552" customFormat="1" ht="13.5" customHeight="1">
      <c r="A20" s="3625" t="s">
        <v>3541</v>
      </c>
      <c r="B20" s="3478" t="s">
        <v>3549</v>
      </c>
      <c r="C20" s="2735">
        <f ca="1">ROUND(D20*E20/10000,0)</f>
        <v>9</v>
      </c>
      <c r="D20" s="3488">
        <f ca="1">IF(C1="",'数据-汇总表'!E3,INDIRECT("'数据-取费表'!K"&amp;$K$1)+INDIRECT("'数据-取费表'!S"&amp;$K$1))</f>
        <v>262.77</v>
      </c>
      <c r="E20" s="3489">
        <f>'数据-取费表'!B35</f>
        <v>360</v>
      </c>
      <c r="F20" s="3488"/>
      <c r="G20" s="2731"/>
      <c r="H20" s="3611"/>
      <c r="I20" s="3611"/>
      <c r="J20" s="555"/>
      <c r="K20" s="556"/>
    </row>
    <row r="21" spans="1:33" s="552" customFormat="1" ht="13.5" customHeight="1">
      <c r="A21" s="3625" t="s">
        <v>3542</v>
      </c>
      <c r="B21" s="3479" t="s">
        <v>3499</v>
      </c>
      <c r="C21" s="2735">
        <f ca="1">ROUND(C17*F21,0)</f>
        <v>0</v>
      </c>
      <c r="D21" s="3495"/>
      <c r="E21" s="3495"/>
      <c r="F21" s="3507">
        <f>'数据-取费表'!B36</f>
        <v>0</v>
      </c>
      <c r="G21" s="2731"/>
      <c r="H21" s="3466"/>
      <c r="I21" s="3466"/>
      <c r="J21" s="3466"/>
      <c r="K21" s="3626"/>
    </row>
    <row r="22" spans="1:33" s="552" customFormat="1" ht="13.5" customHeight="1">
      <c r="A22" s="3625" t="s">
        <v>3543</v>
      </c>
      <c r="B22" s="3479" t="s">
        <v>3550</v>
      </c>
      <c r="C22" s="2735">
        <f ca="1">ROUND(C17*F22,0)</f>
        <v>0</v>
      </c>
      <c r="D22" s="3495"/>
      <c r="E22" s="3495"/>
      <c r="F22" s="3507">
        <f>'数据-取费表'!B37</f>
        <v>0</v>
      </c>
      <c r="G22" s="2731"/>
      <c r="H22" s="3466"/>
      <c r="I22" s="3466"/>
      <c r="J22" s="3466"/>
      <c r="K22" s="3626"/>
    </row>
    <row r="23" spans="1:33" s="553" customFormat="1" ht="13.5" customHeight="1">
      <c r="A23" s="3624" t="s">
        <v>3589</v>
      </c>
      <c r="B23" s="3490" t="s">
        <v>3485</v>
      </c>
      <c r="C23" s="2740">
        <f ca="1">ROUND(C16*F23,0)</f>
        <v>1</v>
      </c>
      <c r="D23" s="3496"/>
      <c r="E23" s="3496"/>
      <c r="F23" s="3508">
        <f>'数据-取费表'!B38</f>
        <v>1.4999999999999999E-2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4" t="s">
        <v>3591</v>
      </c>
      <c r="B25" s="3490" t="s">
        <v>3416</v>
      </c>
      <c r="C25" s="3497" t="str">
        <f ca="1">C26&amp;"+"&amp;C27&amp;"V建"</f>
        <v>1+0.0005V建</v>
      </c>
      <c r="D25" s="3498"/>
      <c r="E25" s="3498"/>
      <c r="F25" s="3507">
        <f ca="1">'数据-取费表'!B41</f>
        <v>0.03</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 ca="1">ROUND(IF('数据-取费表'!B20&lt;=1,F24*F25*'数据-取费表'!B20/2,F24*(POWER((1+F23),'数据-取费表'!B20/2)-1)),4)</f>
        <v>5.0000000000000001E-4</v>
      </c>
      <c r="D27" s="3467"/>
      <c r="E27" s="3467"/>
      <c r="F27" s="3506"/>
      <c r="G27" s="3617"/>
      <c r="H27" s="3611"/>
      <c r="I27" s="3611"/>
      <c r="J27" s="3611"/>
      <c r="K27" s="3623"/>
    </row>
    <row r="28" spans="1:33" s="552" customFormat="1" ht="13.5" customHeight="1">
      <c r="A28" s="3624" t="s">
        <v>3534</v>
      </c>
      <c r="B28" s="3490" t="s">
        <v>3551</v>
      </c>
      <c r="C28" s="2887" t="str">
        <f ca="1">C29&amp;"+"&amp;C30&amp;"V建"</f>
        <v>10+0.0045V建</v>
      </c>
      <c r="D28" s="1070"/>
      <c r="E28" s="1070"/>
      <c r="F28" s="3509">
        <f ca="1">IF(C1="",'数据-取费表'!Q16,INDIRECT("'数据-取费表'!q"&amp;$K$1))</f>
        <v>0.15</v>
      </c>
      <c r="G28" s="5055" t="s">
        <v>3535</v>
      </c>
      <c r="H28" s="3611"/>
      <c r="I28" s="3611"/>
      <c r="J28" s="3611"/>
      <c r="K28" s="3623"/>
    </row>
    <row r="29" spans="1:33" s="552" customFormat="1" ht="13.5" customHeight="1">
      <c r="A29" s="3625" t="s">
        <v>3547</v>
      </c>
      <c r="B29" s="3479" t="s">
        <v>3552</v>
      </c>
      <c r="C29" s="2888">
        <f ca="1">ROUND((C16+C23)*F28,0)</f>
        <v>10</v>
      </c>
      <c r="D29" s="1070"/>
      <c r="E29" s="1070"/>
      <c r="F29" s="2957"/>
      <c r="G29" s="5055"/>
      <c r="H29" s="3618"/>
      <c r="I29" s="3618"/>
      <c r="J29" s="3618"/>
      <c r="K29" s="3628"/>
    </row>
    <row r="30" spans="1:33" s="560" customFormat="1" ht="13.5" customHeight="1">
      <c r="A30" s="3625" t="s">
        <v>3548</v>
      </c>
      <c r="B30" s="3479" t="s">
        <v>3553</v>
      </c>
      <c r="C30" s="2735">
        <f ca="1">ROUND(F24*F28,4)</f>
        <v>4.4999999999999997E-3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81</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6.2" thickBot="1">
      <c r="A34" s="3630">
        <v>4</v>
      </c>
      <c r="B34" s="3631" t="s">
        <v>3594</v>
      </c>
      <c r="C34" s="3632">
        <f ca="1">C13-C15</f>
        <v>-81</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7" s="99" customFormat="1" ht="21">
      <c r="A1" s="3475" t="s">
        <v>3515</v>
      </c>
      <c r="B1" s="3483"/>
      <c r="C1" s="3070"/>
      <c r="D1" s="97"/>
      <c r="E1" s="97"/>
      <c r="F1" s="97"/>
      <c r="G1" s="795">
        <f>MATCH(C1,'数据-取费表'!A6:A16,0)+5</f>
        <v>7</v>
      </c>
    </row>
    <row r="2" spans="1:7" s="99" customFormat="1" ht="15.6">
      <c r="A2" s="100" t="s">
        <v>1430</v>
      </c>
      <c r="B2" s="2756" t="e">
        <f ca="1">C34</f>
        <v>#DIV/0!</v>
      </c>
      <c r="C2" s="98" t="s">
        <v>1431</v>
      </c>
      <c r="D2" s="98"/>
      <c r="E2" s="2744"/>
      <c r="F2" s="98"/>
      <c r="G2" s="98"/>
    </row>
    <row r="3" spans="1:7" s="99" customFormat="1" ht="15.6">
      <c r="A3" s="102" t="s">
        <v>1432</v>
      </c>
      <c r="B3" s="2757" t="e">
        <f ca="1">ROUND(B2*10000/(IF(C1="",'数据-汇总表'!E3,INDIRECT("'数据-取费表'!k"&amp;$G$1))),0)</f>
        <v>#DIV/0!</v>
      </c>
      <c r="C3" s="98" t="s">
        <v>1433</v>
      </c>
      <c r="D3" s="98"/>
      <c r="E3" s="2744"/>
      <c r="F3" s="98"/>
      <c r="G3" s="98"/>
    </row>
    <row r="4" spans="1:7" s="99" customFormat="1" ht="15.6">
      <c r="A4" s="3648" t="s">
        <v>3629</v>
      </c>
      <c r="B4" s="2756" t="e">
        <f ca="1">ROUND(B2*10000/'数据-汇总表'!D3,0)</f>
        <v>#DIV/0!</v>
      </c>
      <c r="C4" s="100" t="s">
        <v>3631</v>
      </c>
      <c r="D4" s="98"/>
      <c r="E4" s="2744"/>
      <c r="F4" s="98"/>
      <c r="G4" s="98"/>
    </row>
    <row r="5" spans="1:7" s="99" customFormat="1" ht="16.2" thickBot="1">
      <c r="A5" s="98"/>
      <c r="B5" s="3657" t="e">
        <f ca="1">ROUND(B2/('数据-汇总表'!D3/666.67),0)</f>
        <v>#DIV/0!</v>
      </c>
      <c r="C5" s="3642" t="s">
        <v>3630</v>
      </c>
      <c r="D5" s="98"/>
      <c r="E5" s="2744"/>
      <c r="F5" s="98"/>
      <c r="G5" s="98"/>
    </row>
    <row r="6" spans="1:7" s="99" customFormat="1" ht="15.6">
      <c r="A6" s="3529" t="s">
        <v>3328</v>
      </c>
      <c r="B6" s="3530" t="s">
        <v>3329</v>
      </c>
      <c r="C6" s="3531" t="s">
        <v>3952</v>
      </c>
      <c r="D6" s="3532" t="s">
        <v>3334</v>
      </c>
      <c r="E6" s="3533" t="s">
        <v>3335</v>
      </c>
      <c r="F6" s="3533" t="s">
        <v>3336</v>
      </c>
      <c r="G6" s="3534" t="s">
        <v>3330</v>
      </c>
    </row>
    <row r="7" spans="1:7" s="107" customFormat="1" ht="15.6">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1450</v>
      </c>
      <c r="B9" s="3522" t="s">
        <v>3557</v>
      </c>
      <c r="C9" s="3671">
        <f>ROUND(D9*E9/10000,0)</f>
        <v>0</v>
      </c>
      <c r="D9" s="3512"/>
      <c r="E9" s="3512"/>
      <c r="F9" s="3481"/>
      <c r="G9" s="3537"/>
    </row>
    <row r="10" spans="1:7" s="113" customFormat="1">
      <c r="A10" s="2815" t="s">
        <v>1452</v>
      </c>
      <c r="B10" s="3522" t="s">
        <v>3558</v>
      </c>
      <c r="C10" s="3671">
        <f>ROUND(D10*E10/10000,0)</f>
        <v>0</v>
      </c>
      <c r="D10" s="3512"/>
      <c r="E10" s="3512"/>
      <c r="F10" s="3481"/>
      <c r="G10" s="3537"/>
    </row>
    <row r="11" spans="1:7" s="113" customFormat="1" ht="14.4">
      <c r="A11" s="3482" t="s">
        <v>3580</v>
      </c>
      <c r="B11" s="3588" t="s">
        <v>3570</v>
      </c>
      <c r="C11" s="140">
        <f>C12+C15+C16</f>
        <v>0</v>
      </c>
      <c r="D11" s="3481"/>
      <c r="E11" s="3481"/>
      <c r="F11" s="3481"/>
      <c r="G11" s="3537"/>
    </row>
    <row r="12" spans="1:7" s="113" customFormat="1">
      <c r="A12" s="2815" t="s">
        <v>1450</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1452</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4.4">
      <c r="A17" s="3482" t="s">
        <v>337</v>
      </c>
      <c r="B17" s="3524" t="s">
        <v>3571</v>
      </c>
      <c r="C17" s="2755">
        <f>C18+C19</f>
        <v>0</v>
      </c>
      <c r="D17" s="3595"/>
      <c r="E17" s="3596"/>
      <c r="F17" s="2787"/>
      <c r="G17" s="3604"/>
    </row>
    <row r="18" spans="1:9" s="113" customFormat="1">
      <c r="A18" s="3480" t="s">
        <v>347</v>
      </c>
      <c r="B18" s="3525" t="s">
        <v>1441</v>
      </c>
      <c r="C18" s="3264"/>
      <c r="D18" s="3597"/>
      <c r="E18" s="3596"/>
      <c r="F18" s="2786"/>
      <c r="G18" s="3673" t="s">
        <v>3663</v>
      </c>
    </row>
    <row r="19" spans="1:9" s="113" customFormat="1">
      <c r="A19" s="3480" t="s">
        <v>1442</v>
      </c>
      <c r="B19" s="3525" t="s">
        <v>1443</v>
      </c>
      <c r="C19" s="2755">
        <f>ROUND(C18*F19,0)</f>
        <v>0</v>
      </c>
      <c r="D19" s="3595"/>
      <c r="E19" s="3596"/>
      <c r="F19" s="2787">
        <f>IF(项目基本情况!B8="出让",0,'数据-取费表'!B49+'数据-取费表'!B50)</f>
        <v>3.0499999999999999E-2</v>
      </c>
      <c r="G19" s="3604"/>
    </row>
    <row r="20" spans="1:9" s="2767" customFormat="1" ht="15.6">
      <c r="A20" s="3535" t="s">
        <v>3599</v>
      </c>
      <c r="B20" s="2737" t="s">
        <v>3572</v>
      </c>
      <c r="C20" s="2768">
        <f ca="1">C21+C24+C25</f>
        <v>16</v>
      </c>
      <c r="D20" s="3598"/>
      <c r="E20" s="3599"/>
      <c r="F20" s="2791"/>
      <c r="G20" s="3605"/>
    </row>
    <row r="21" spans="1:9" s="122" customFormat="1" ht="14.4">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1446</v>
      </c>
      <c r="C22" s="2795">
        <f ca="1">ROUND(D22*E22/10000,0)</f>
        <v>4</v>
      </c>
      <c r="D22" s="3510">
        <f ca="1">IF(C1="",'数据-汇总表'!E5,IF(INDIRECT("'数据-取费表'!c"&amp;$G$1)="住宅",INDIRECT("'数据-取费表'!k"&amp;$G$1),0))</f>
        <v>262.77</v>
      </c>
      <c r="E22" s="3510">
        <f>'数据-取费表'!B27</f>
        <v>160</v>
      </c>
      <c r="F22" s="2787"/>
      <c r="G22" s="1438"/>
      <c r="H22" s="803"/>
      <c r="I22" s="1439" t="s">
        <v>1447</v>
      </c>
    </row>
    <row r="23" spans="1:9" s="113" customFormat="1">
      <c r="A23" s="2739" t="s">
        <v>3579</v>
      </c>
      <c r="B23" s="3518" t="s">
        <v>1448</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4.4">
      <c r="A24" s="3482" t="s">
        <v>3580</v>
      </c>
      <c r="B24" s="3519" t="s">
        <v>3596</v>
      </c>
      <c r="C24" s="2796">
        <f ca="1">IF(G24="已包含在土地取得成本中","0",ROUND(D24*E24/10000,0))</f>
        <v>7</v>
      </c>
      <c r="D24" s="3511">
        <f ca="1">D22+D23</f>
        <v>262.77</v>
      </c>
      <c r="E24" s="3511">
        <f>'数据-取费表'!B31</f>
        <v>265</v>
      </c>
      <c r="F24" s="3520"/>
      <c r="G24" s="1437"/>
    </row>
    <row r="25" spans="1:9" s="113" customFormat="1" ht="14.4">
      <c r="A25" s="3482" t="s">
        <v>337</v>
      </c>
      <c r="B25" s="3519" t="s">
        <v>3597</v>
      </c>
      <c r="C25" s="2796">
        <f ca="1">ROUND(E25*D25/10000,0)</f>
        <v>9</v>
      </c>
      <c r="D25" s="3511">
        <f ca="1">D24</f>
        <v>262.77</v>
      </c>
      <c r="E25" s="3511">
        <f>'数据-取费表'!B35</f>
        <v>360</v>
      </c>
      <c r="F25" s="3513"/>
      <c r="G25" s="3607"/>
    </row>
    <row r="26" spans="1:9" s="107" customFormat="1" ht="15.6">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6">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0.03</v>
      </c>
      <c r="G29" s="3609" t="str">
        <f>IF('数据-取费表'!B19&lt;=1,"单利计息","复利计息")</f>
        <v>单利计息</v>
      </c>
    </row>
    <row r="30" spans="1:9" s="2767" customFormat="1" ht="15.6">
      <c r="A30" s="3535" t="s">
        <v>3604</v>
      </c>
      <c r="B30" s="2737" t="s">
        <v>3605</v>
      </c>
      <c r="C30" s="2774">
        <f ca="1">ROUND((C7+C20+C26)*F30,0)</f>
        <v>2</v>
      </c>
      <c r="D30" s="2772"/>
      <c r="E30" s="302"/>
      <c r="F30" s="3526">
        <f ca="1">IF(C1="",'数据-取费表'!Q16,INDIRECT("'数据-取费表'!q"&amp;$G$1))</f>
        <v>0.15</v>
      </c>
      <c r="G30" s="3609"/>
    </row>
    <row r="31" spans="1:9" s="113" customFormat="1" ht="15.6">
      <c r="A31" s="2738" t="s">
        <v>3585</v>
      </c>
      <c r="B31" s="2737" t="s">
        <v>3577</v>
      </c>
      <c r="C31" s="2759">
        <f ca="1">C7+C20+C29+C30</f>
        <v>18</v>
      </c>
      <c r="D31" s="2750"/>
      <c r="E31" s="2750"/>
      <c r="F31" s="2749"/>
      <c r="G31" s="2751" t="s">
        <v>3608</v>
      </c>
    </row>
    <row r="32" spans="1:9" s="113" customFormat="1" ht="15.6">
      <c r="A32" s="2738" t="s">
        <v>3576</v>
      </c>
      <c r="B32" s="2737" t="s">
        <v>3575</v>
      </c>
      <c r="C32" s="3592">
        <f ca="1">ROUND(C31*F32,0)</f>
        <v>2</v>
      </c>
      <c r="D32" s="134"/>
      <c r="E32" s="135"/>
      <c r="F32" s="3527">
        <v>0.1</v>
      </c>
      <c r="G32" s="3610"/>
    </row>
    <row r="33" spans="1:7" s="113" customFormat="1" ht="15.6">
      <c r="A33" s="3591">
        <v>8</v>
      </c>
      <c r="B33" s="2737" t="s">
        <v>3587</v>
      </c>
      <c r="C33" s="2759">
        <f ca="1">C31+C32</f>
        <v>20</v>
      </c>
      <c r="D33" s="2750"/>
      <c r="E33" s="2750"/>
      <c r="F33" s="3528"/>
      <c r="G33" s="2751" t="s">
        <v>3607</v>
      </c>
    </row>
    <row r="34" spans="1:7" s="122" customFormat="1" ht="16.2" thickBot="1">
      <c r="A34" s="3542">
        <v>9</v>
      </c>
      <c r="B34" s="3543" t="s">
        <v>3586</v>
      </c>
      <c r="C34" s="2759" t="e">
        <f ca="1">ROUND(C33*F34,0)</f>
        <v>#DIV/0!</v>
      </c>
      <c r="D34" s="3544"/>
      <c r="E34" s="3544"/>
      <c r="F34" s="3594" t="e">
        <f>'数据-取费表'!AS16</f>
        <v>#DIV/0!</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66" t="s">
        <v>2495</v>
      </c>
      <c r="B20" s="5056" t="s">
        <v>2516</v>
      </c>
      <c r="C20" s="2724" t="s">
        <v>2327</v>
      </c>
      <c r="D20" s="2724"/>
      <c r="E20" s="3304">
        <v>1</v>
      </c>
      <c r="F20" s="2440" t="s">
        <v>2328</v>
      </c>
      <c r="G20" s="2440"/>
    </row>
    <row r="21" spans="1:13" ht="19.5" customHeight="1">
      <c r="A21" s="5067"/>
      <c r="B21" s="5057"/>
      <c r="C21" s="2717" t="s">
        <v>2329</v>
      </c>
      <c r="D21" s="2717"/>
      <c r="E21" s="3305">
        <v>1</v>
      </c>
      <c r="F21" s="2440" t="s">
        <v>2330</v>
      </c>
      <c r="G21" s="2440"/>
    </row>
    <row r="22" spans="1:13" ht="19.5" customHeight="1">
      <c r="A22" s="5067"/>
      <c r="B22" s="5057"/>
      <c r="C22" s="2717" t="s">
        <v>2331</v>
      </c>
      <c r="D22" s="2717"/>
      <c r="E22" s="3305">
        <v>0.9</v>
      </c>
      <c r="F22" s="2440" t="s">
        <v>2332</v>
      </c>
      <c r="G22" s="2440"/>
    </row>
    <row r="23" spans="1:13" ht="19.5" customHeight="1">
      <c r="A23" s="5067"/>
      <c r="B23" s="5057"/>
      <c r="C23" s="2717" t="s">
        <v>2333</v>
      </c>
      <c r="D23" s="2717"/>
      <c r="E23" s="3305">
        <v>0.9</v>
      </c>
      <c r="F23" s="2440" t="s">
        <v>2334</v>
      </c>
      <c r="G23" s="2440"/>
    </row>
    <row r="24" spans="1:13" ht="19.5" customHeight="1">
      <c r="A24" s="5067"/>
      <c r="B24" s="5057"/>
      <c r="C24" s="2717" t="s">
        <v>2335</v>
      </c>
      <c r="D24" s="2717"/>
      <c r="E24" s="3305">
        <v>0.8</v>
      </c>
      <c r="F24" s="2440" t="s">
        <v>2336</v>
      </c>
      <c r="G24" s="2440"/>
    </row>
    <row r="25" spans="1:13" ht="19.5" customHeight="1">
      <c r="A25" s="5067"/>
      <c r="B25" s="5057"/>
      <c r="C25" s="2717" t="s">
        <v>2337</v>
      </c>
      <c r="D25" s="2717"/>
      <c r="E25" s="3305">
        <v>0.8</v>
      </c>
      <c r="F25" s="2440"/>
      <c r="G25" s="2440"/>
    </row>
    <row r="26" spans="1:13" ht="19.5" customHeight="1">
      <c r="A26" s="5067"/>
      <c r="B26" s="5057"/>
      <c r="C26" s="2720" t="s">
        <v>3276</v>
      </c>
      <c r="D26" s="2720"/>
      <c r="E26" s="3305">
        <v>0.43</v>
      </c>
      <c r="F26" s="2440"/>
      <c r="G26" s="2440"/>
    </row>
    <row r="27" spans="1:13" ht="19.5" customHeight="1" thickBot="1">
      <c r="A27" s="5068"/>
      <c r="B27" s="5058"/>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59" t="s">
        <v>2519</v>
      </c>
      <c r="B29" s="5062" t="s">
        <v>2500</v>
      </c>
      <c r="C29" s="2438" t="s">
        <v>2340</v>
      </c>
      <c r="D29" s="2439"/>
      <c r="E29" s="3304">
        <v>1</v>
      </c>
      <c r="F29" s="2440" t="s">
        <v>2341</v>
      </c>
      <c r="G29" s="2440"/>
    </row>
    <row r="30" spans="1:13" ht="19.5" customHeight="1">
      <c r="A30" s="5060"/>
      <c r="B30" s="5063"/>
      <c r="C30" s="2441" t="s">
        <v>2342</v>
      </c>
      <c r="D30" s="2442"/>
      <c r="E30" s="3305">
        <v>1</v>
      </c>
      <c r="F30" s="2440" t="s">
        <v>2343</v>
      </c>
      <c r="G30" s="2440"/>
    </row>
    <row r="31" spans="1:13" ht="19.5" customHeight="1">
      <c r="A31" s="5060"/>
      <c r="B31" s="5063"/>
      <c r="C31" s="2441" t="s">
        <v>2344</v>
      </c>
      <c r="D31" s="2442"/>
      <c r="E31" s="3305">
        <v>0.8</v>
      </c>
      <c r="F31" s="2440" t="s">
        <v>2345</v>
      </c>
      <c r="G31" s="2440"/>
    </row>
    <row r="32" spans="1:13" ht="19.5" customHeight="1">
      <c r="A32" s="5060"/>
      <c r="B32" s="5063"/>
      <c r="C32" s="2441" t="s">
        <v>2346</v>
      </c>
      <c r="D32" s="2442"/>
      <c r="E32" s="3305">
        <v>0.8</v>
      </c>
      <c r="F32" s="2440" t="s">
        <v>2347</v>
      </c>
      <c r="G32" s="2440"/>
    </row>
    <row r="33" spans="1:7" ht="19.5" customHeight="1">
      <c r="A33" s="5060"/>
      <c r="B33" s="5063"/>
      <c r="C33" s="2441" t="s">
        <v>2348</v>
      </c>
      <c r="D33" s="2442"/>
      <c r="E33" s="3305">
        <v>0.8</v>
      </c>
      <c r="F33" s="2440" t="s">
        <v>2349</v>
      </c>
      <c r="G33" s="2440"/>
    </row>
    <row r="34" spans="1:7" ht="19.5" customHeight="1">
      <c r="A34" s="5060"/>
      <c r="B34" s="5063"/>
      <c r="C34" s="2441" t="s">
        <v>2350</v>
      </c>
      <c r="D34" s="2442"/>
      <c r="E34" s="3305">
        <v>0.7</v>
      </c>
      <c r="F34" s="2440" t="s">
        <v>2351</v>
      </c>
      <c r="G34" s="2440"/>
    </row>
    <row r="35" spans="1:7" ht="19.5" customHeight="1">
      <c r="A35" s="5060"/>
      <c r="B35" s="5063"/>
      <c r="C35" s="2441" t="s">
        <v>2352</v>
      </c>
      <c r="D35" s="2442"/>
      <c r="E35" s="3305">
        <v>0.8</v>
      </c>
      <c r="F35" s="2440" t="s">
        <v>2353</v>
      </c>
      <c r="G35" s="2440"/>
    </row>
    <row r="36" spans="1:7" ht="19.5" customHeight="1">
      <c r="A36" s="5060"/>
      <c r="B36" s="5063"/>
      <c r="C36" s="2441" t="s">
        <v>2354</v>
      </c>
      <c r="D36" s="2442"/>
      <c r="E36" s="3305">
        <v>0.6</v>
      </c>
      <c r="F36" s="2440" t="s">
        <v>2355</v>
      </c>
      <c r="G36" s="2440"/>
    </row>
    <row r="37" spans="1:7" ht="19.5" customHeight="1">
      <c r="A37" s="5060"/>
      <c r="B37" s="5063"/>
      <c r="C37" s="2441" t="s">
        <v>2356</v>
      </c>
      <c r="D37" s="2442"/>
      <c r="E37" s="3305">
        <v>0.2</v>
      </c>
      <c r="F37" s="2440" t="s">
        <v>2357</v>
      </c>
      <c r="G37" s="2440"/>
    </row>
    <row r="38" spans="1:7" ht="19.5" customHeight="1">
      <c r="A38" s="5060"/>
      <c r="B38" s="5063"/>
      <c r="C38" s="2441" t="s">
        <v>2358</v>
      </c>
      <c r="D38" s="2442"/>
      <c r="E38" s="3305">
        <v>0.2</v>
      </c>
      <c r="F38" s="2440" t="s">
        <v>2359</v>
      </c>
      <c r="G38" s="2440"/>
    </row>
    <row r="39" spans="1:7" ht="19.5" customHeight="1">
      <c r="A39" s="5060"/>
      <c r="B39" s="5064" t="s">
        <v>2520</v>
      </c>
      <c r="C39" s="2441" t="s">
        <v>2360</v>
      </c>
      <c r="D39" s="2442"/>
      <c r="E39" s="3305">
        <v>0.6</v>
      </c>
      <c r="F39" s="2440" t="s">
        <v>2361</v>
      </c>
      <c r="G39" s="2440"/>
    </row>
    <row r="40" spans="1:7" ht="19.5" customHeight="1">
      <c r="A40" s="5060"/>
      <c r="B40" s="5063"/>
      <c r="C40" s="2441" t="s">
        <v>2362</v>
      </c>
      <c r="D40" s="2442"/>
      <c r="E40" s="3305">
        <v>0.6</v>
      </c>
      <c r="F40" s="2440" t="s">
        <v>2363</v>
      </c>
      <c r="G40" s="2440"/>
    </row>
    <row r="41" spans="1:7" ht="19.5" customHeight="1" thickBot="1">
      <c r="A41" s="5061"/>
      <c r="B41" s="5065"/>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66" t="s">
        <v>2498</v>
      </c>
      <c r="B43" s="5062" t="s">
        <v>2522</v>
      </c>
      <c r="C43" s="2438" t="s">
        <v>2367</v>
      </c>
      <c r="D43" s="2439"/>
      <c r="E43" s="3304">
        <v>1</v>
      </c>
      <c r="F43" s="2440" t="s">
        <v>2368</v>
      </c>
      <c r="G43" s="2440"/>
    </row>
    <row r="44" spans="1:7" ht="19.5" customHeight="1">
      <c r="A44" s="5067"/>
      <c r="B44" s="5063"/>
      <c r="C44" s="2441" t="s">
        <v>2369</v>
      </c>
      <c r="D44" s="2442"/>
      <c r="E44" s="3305">
        <v>1</v>
      </c>
      <c r="F44" s="2440" t="s">
        <v>2370</v>
      </c>
      <c r="G44" s="2440"/>
    </row>
    <row r="45" spans="1:7" ht="19.5" customHeight="1">
      <c r="A45" s="5067"/>
      <c r="B45" s="5069"/>
      <c r="C45" s="2441" t="s">
        <v>2371</v>
      </c>
      <c r="D45" s="2442"/>
      <c r="E45" s="3305">
        <v>1.5</v>
      </c>
      <c r="F45" s="2440" t="s">
        <v>2372</v>
      </c>
      <c r="G45" s="2440"/>
    </row>
    <row r="46" spans="1:7" ht="19.5" customHeight="1">
      <c r="A46" s="5067"/>
      <c r="B46" s="2449" t="s">
        <v>2523</v>
      </c>
      <c r="C46" s="2441" t="s">
        <v>2524</v>
      </c>
      <c r="D46" s="2442"/>
      <c r="E46" s="3305">
        <v>2</v>
      </c>
      <c r="F46" s="2440" t="s">
        <v>2373</v>
      </c>
      <c r="G46" s="2440"/>
    </row>
    <row r="47" spans="1:7" ht="19.5" customHeight="1">
      <c r="A47" s="5067"/>
      <c r="B47" s="5064" t="s">
        <v>2525</v>
      </c>
      <c r="C47" s="2441" t="s">
        <v>2374</v>
      </c>
      <c r="D47" s="2442"/>
      <c r="E47" s="3305">
        <v>1</v>
      </c>
      <c r="F47" s="2440" t="s">
        <v>2375</v>
      </c>
      <c r="G47" s="2440"/>
    </row>
    <row r="48" spans="1:7" ht="19.5" customHeight="1">
      <c r="A48" s="5067"/>
      <c r="B48" s="5063"/>
      <c r="C48" s="2441" t="s">
        <v>2376</v>
      </c>
      <c r="D48" s="2442"/>
      <c r="E48" s="3305">
        <v>1</v>
      </c>
      <c r="F48" s="2440" t="s">
        <v>2377</v>
      </c>
      <c r="G48" s="2440"/>
    </row>
    <row r="49" spans="1:7" ht="19.5" customHeight="1">
      <c r="A49" s="5067"/>
      <c r="B49" s="5063"/>
      <c r="C49" s="2441" t="s">
        <v>2378</v>
      </c>
      <c r="D49" s="2442"/>
      <c r="E49" s="3305">
        <v>1</v>
      </c>
      <c r="F49" s="2440" t="s">
        <v>2379</v>
      </c>
      <c r="G49" s="2440"/>
    </row>
    <row r="50" spans="1:7" ht="19.5" customHeight="1">
      <c r="A50" s="5067"/>
      <c r="B50" s="5063"/>
      <c r="C50" s="2441" t="s">
        <v>2380</v>
      </c>
      <c r="D50" s="2442"/>
      <c r="E50" s="3305">
        <v>1</v>
      </c>
      <c r="F50" s="2440" t="s">
        <v>2381</v>
      </c>
      <c r="G50" s="2440"/>
    </row>
    <row r="51" spans="1:7" ht="19.5" customHeight="1">
      <c r="A51" s="5067"/>
      <c r="B51" s="5063"/>
      <c r="C51" s="2441" t="s">
        <v>2382</v>
      </c>
      <c r="D51" s="2442"/>
      <c r="E51" s="3305">
        <v>1</v>
      </c>
      <c r="F51" s="2440" t="s">
        <v>2383</v>
      </c>
      <c r="G51" s="2440"/>
    </row>
    <row r="52" spans="1:7" ht="19.5" customHeight="1">
      <c r="A52" s="5067"/>
      <c r="B52" s="5063"/>
      <c r="C52" s="2441" t="s">
        <v>2384</v>
      </c>
      <c r="D52" s="2442"/>
      <c r="E52" s="3305">
        <v>1</v>
      </c>
      <c r="F52" s="2440" t="s">
        <v>2385</v>
      </c>
      <c r="G52" s="2440"/>
    </row>
    <row r="53" spans="1:7" ht="19.5" customHeight="1" thickBot="1">
      <c r="A53" s="5068"/>
      <c r="B53" s="5065"/>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4.4">
      <c r="A74" s="2449"/>
      <c r="B74" s="2449"/>
      <c r="C74" s="2449" t="s">
        <v>2538</v>
      </c>
      <c r="D74" s="2449"/>
      <c r="E74" s="2449" t="s">
        <v>2509</v>
      </c>
      <c r="F74" s="2449" t="s">
        <v>2509</v>
      </c>
    </row>
    <row r="75" spans="1:7" ht="14.4">
      <c r="A75" s="2449">
        <v>1</v>
      </c>
      <c r="B75" s="5064" t="s">
        <v>2539</v>
      </c>
      <c r="C75" s="2429" t="s">
        <v>2540</v>
      </c>
      <c r="D75" s="2429" t="s">
        <v>2541</v>
      </c>
      <c r="E75" s="3310">
        <v>0.2</v>
      </c>
      <c r="F75" s="3311">
        <v>25</v>
      </c>
    </row>
    <row r="76" spans="1:7" ht="24">
      <c r="A76" s="2449">
        <v>2</v>
      </c>
      <c r="B76" s="5063"/>
      <c r="C76" s="2429" t="s">
        <v>2542</v>
      </c>
      <c r="D76" s="2429" t="s">
        <v>2543</v>
      </c>
      <c r="E76" s="3310">
        <v>0.2</v>
      </c>
      <c r="F76" s="3311">
        <v>25</v>
      </c>
    </row>
    <row r="77" spans="1:7" ht="24">
      <c r="A77" s="2449">
        <v>3</v>
      </c>
      <c r="B77" s="5063"/>
      <c r="C77" s="2429" t="s">
        <v>2544</v>
      </c>
      <c r="D77" s="2429" t="s">
        <v>2545</v>
      </c>
      <c r="E77" s="3310">
        <v>0.2</v>
      </c>
      <c r="F77" s="3311">
        <v>25</v>
      </c>
    </row>
    <row r="78" spans="1:7" ht="14.4">
      <c r="A78" s="2449">
        <v>4</v>
      </c>
      <c r="B78" s="5063"/>
      <c r="C78" s="2429" t="s">
        <v>2546</v>
      </c>
      <c r="D78" s="2429" t="s">
        <v>2547</v>
      </c>
      <c r="E78" s="3310">
        <v>0.15</v>
      </c>
      <c r="F78" s="3311">
        <v>20</v>
      </c>
    </row>
    <row r="79" spans="1:7" ht="24">
      <c r="A79" s="2449">
        <v>5</v>
      </c>
      <c r="B79" s="5063"/>
      <c r="C79" s="2429" t="s">
        <v>2548</v>
      </c>
      <c r="D79" s="2429" t="s">
        <v>2549</v>
      </c>
      <c r="E79" s="3310">
        <v>0.15</v>
      </c>
      <c r="F79" s="3311">
        <v>20</v>
      </c>
    </row>
    <row r="80" spans="1:7" ht="24">
      <c r="A80" s="2449">
        <v>6</v>
      </c>
      <c r="B80" s="5063"/>
      <c r="C80" s="2429" t="s">
        <v>2550</v>
      </c>
      <c r="D80" s="2429" t="s">
        <v>2551</v>
      </c>
      <c r="E80" s="3310">
        <v>0.15</v>
      </c>
      <c r="F80" s="3311">
        <v>20</v>
      </c>
    </row>
    <row r="81" spans="1:6" ht="24">
      <c r="A81" s="2449">
        <v>7</v>
      </c>
      <c r="B81" s="5063"/>
      <c r="C81" s="2429" t="s">
        <v>2552</v>
      </c>
      <c r="D81" s="2429" t="s">
        <v>2553</v>
      </c>
      <c r="E81" s="3310">
        <v>0.15</v>
      </c>
      <c r="F81" s="3311">
        <v>20</v>
      </c>
    </row>
    <row r="82" spans="1:6" ht="24">
      <c r="A82" s="2449">
        <v>8</v>
      </c>
      <c r="B82" s="5063"/>
      <c r="C82" s="2429" t="s">
        <v>2554</v>
      </c>
      <c r="D82" s="2429" t="s">
        <v>2555</v>
      </c>
      <c r="E82" s="3310">
        <v>0.1</v>
      </c>
      <c r="F82" s="3311">
        <v>15</v>
      </c>
    </row>
    <row r="83" spans="1:6" ht="24">
      <c r="A83" s="2449">
        <v>9</v>
      </c>
      <c r="B83" s="5063"/>
      <c r="C83" s="2429" t="s">
        <v>2556</v>
      </c>
      <c r="D83" s="2429" t="s">
        <v>2557</v>
      </c>
      <c r="E83" s="3310">
        <v>0.1</v>
      </c>
      <c r="F83" s="3311">
        <v>15</v>
      </c>
    </row>
    <row r="84" spans="1:6" ht="24">
      <c r="A84" s="2449">
        <v>10</v>
      </c>
      <c r="B84" s="5063"/>
      <c r="C84" s="2429" t="s">
        <v>2558</v>
      </c>
      <c r="D84" s="2429" t="s">
        <v>2559</v>
      </c>
      <c r="E84" s="3310">
        <v>0.1</v>
      </c>
      <c r="F84" s="3311">
        <v>15</v>
      </c>
    </row>
    <row r="85" spans="1:6" ht="24">
      <c r="A85" s="2449">
        <v>11</v>
      </c>
      <c r="B85" s="5063"/>
      <c r="C85" s="2429" t="s">
        <v>2560</v>
      </c>
      <c r="D85" s="2429" t="s">
        <v>2561</v>
      </c>
      <c r="E85" s="3310">
        <v>0.1</v>
      </c>
      <c r="F85" s="3311">
        <v>15</v>
      </c>
    </row>
    <row r="86" spans="1:6" ht="24">
      <c r="A86" s="2449">
        <v>12</v>
      </c>
      <c r="B86" s="5063"/>
      <c r="C86" s="2429" t="s">
        <v>2562</v>
      </c>
      <c r="D86" s="2429" t="s">
        <v>2563</v>
      </c>
      <c r="E86" s="3310">
        <v>0.1</v>
      </c>
      <c r="F86" s="3311">
        <v>15</v>
      </c>
    </row>
    <row r="87" spans="1:6" ht="24">
      <c r="A87" s="2449">
        <v>13</v>
      </c>
      <c r="B87" s="5063"/>
      <c r="C87" s="2429" t="s">
        <v>2564</v>
      </c>
      <c r="D87" s="2429" t="s">
        <v>2565</v>
      </c>
      <c r="E87" s="3310">
        <v>0.1</v>
      </c>
      <c r="F87" s="3311">
        <v>15</v>
      </c>
    </row>
    <row r="88" spans="1:6" ht="24">
      <c r="A88" s="2449">
        <v>14</v>
      </c>
      <c r="B88" s="5063"/>
      <c r="C88" s="2429" t="s">
        <v>2566</v>
      </c>
      <c r="D88" s="2429" t="s">
        <v>2567</v>
      </c>
      <c r="E88" s="3310">
        <v>0.1</v>
      </c>
      <c r="F88" s="3311">
        <v>15</v>
      </c>
    </row>
    <row r="89" spans="1:6" ht="24">
      <c r="A89" s="2449">
        <v>15</v>
      </c>
      <c r="B89" s="5063"/>
      <c r="C89" s="2429" t="s">
        <v>2568</v>
      </c>
      <c r="D89" s="2429" t="s">
        <v>2569</v>
      </c>
      <c r="E89" s="3310">
        <v>0.1</v>
      </c>
      <c r="F89" s="3311">
        <v>15</v>
      </c>
    </row>
    <row r="90" spans="1:6" ht="24">
      <c r="A90" s="2449">
        <v>16</v>
      </c>
      <c r="B90" s="5063"/>
      <c r="C90" s="2429" t="s">
        <v>2570</v>
      </c>
      <c r="D90" s="2429" t="s">
        <v>2571</v>
      </c>
      <c r="E90" s="3310">
        <v>0.1</v>
      </c>
      <c r="F90" s="3311">
        <v>15</v>
      </c>
    </row>
    <row r="91" spans="1:6" ht="24">
      <c r="A91" s="2449">
        <v>17</v>
      </c>
      <c r="B91" s="5069"/>
      <c r="C91" s="2429" t="s">
        <v>2572</v>
      </c>
      <c r="D91" s="2429" t="s">
        <v>2573</v>
      </c>
      <c r="E91" s="3310">
        <v>0.1</v>
      </c>
      <c r="F91" s="3311">
        <v>15</v>
      </c>
    </row>
    <row r="92" spans="1:6" ht="14.4">
      <c r="A92" s="2449">
        <v>18</v>
      </c>
      <c r="B92" s="5064" t="s">
        <v>2574</v>
      </c>
      <c r="C92" s="2429" t="s">
        <v>2575</v>
      </c>
      <c r="D92" s="2429" t="s">
        <v>2576</v>
      </c>
      <c r="E92" s="3310">
        <v>0.2</v>
      </c>
      <c r="F92" s="3311">
        <v>25</v>
      </c>
    </row>
    <row r="93" spans="1:6" ht="24">
      <c r="A93" s="2449">
        <v>19</v>
      </c>
      <c r="B93" s="5063"/>
      <c r="C93" s="2429" t="s">
        <v>2577</v>
      </c>
      <c r="D93" s="2429" t="s">
        <v>2578</v>
      </c>
      <c r="E93" s="3310">
        <v>0.2</v>
      </c>
      <c r="F93" s="3311">
        <v>25</v>
      </c>
    </row>
    <row r="94" spans="1:6" ht="14.4">
      <c r="A94" s="2449">
        <v>20</v>
      </c>
      <c r="B94" s="5063"/>
      <c r="C94" s="2429" t="s">
        <v>2579</v>
      </c>
      <c r="D94" s="2429" t="s">
        <v>2580</v>
      </c>
      <c r="E94" s="3310">
        <v>0.15</v>
      </c>
      <c r="F94" s="3311">
        <v>20</v>
      </c>
    </row>
    <row r="95" spans="1:6" ht="24">
      <c r="A95" s="2449">
        <v>21</v>
      </c>
      <c r="B95" s="5063"/>
      <c r="C95" s="2429" t="s">
        <v>2581</v>
      </c>
      <c r="D95" s="2429" t="s">
        <v>2582</v>
      </c>
      <c r="E95" s="3310">
        <v>0.15</v>
      </c>
      <c r="F95" s="3311">
        <v>20</v>
      </c>
    </row>
    <row r="96" spans="1:6" ht="24">
      <c r="A96" s="2449">
        <v>22</v>
      </c>
      <c r="B96" s="5063"/>
      <c r="C96" s="2429" t="s">
        <v>2583</v>
      </c>
      <c r="D96" s="2429" t="s">
        <v>2584</v>
      </c>
      <c r="E96" s="3310">
        <v>0.15</v>
      </c>
      <c r="F96" s="3311">
        <v>20</v>
      </c>
    </row>
    <row r="97" spans="1:6" ht="36">
      <c r="A97" s="2449">
        <v>23</v>
      </c>
      <c r="B97" s="5063"/>
      <c r="C97" s="2429" t="s">
        <v>2585</v>
      </c>
      <c r="D97" s="2429" t="s">
        <v>2586</v>
      </c>
      <c r="E97" s="3310">
        <v>0.15</v>
      </c>
      <c r="F97" s="3311">
        <v>20</v>
      </c>
    </row>
    <row r="98" spans="1:6" ht="24">
      <c r="A98" s="2449">
        <v>24</v>
      </c>
      <c r="B98" s="5063"/>
      <c r="C98" s="2429" t="s">
        <v>2587</v>
      </c>
      <c r="D98" s="2429" t="s">
        <v>2588</v>
      </c>
      <c r="E98" s="3310">
        <v>0.1</v>
      </c>
      <c r="F98" s="3311">
        <v>15</v>
      </c>
    </row>
    <row r="99" spans="1:6" ht="24">
      <c r="A99" s="2449">
        <v>25</v>
      </c>
      <c r="B99" s="5063"/>
      <c r="C99" s="2429" t="s">
        <v>2589</v>
      </c>
      <c r="D99" s="2429" t="s">
        <v>2590</v>
      </c>
      <c r="E99" s="3310">
        <v>0.1</v>
      </c>
      <c r="F99" s="3311">
        <v>15</v>
      </c>
    </row>
    <row r="100" spans="1:6" ht="24">
      <c r="A100" s="2449">
        <v>26</v>
      </c>
      <c r="B100" s="5063"/>
      <c r="C100" s="2429" t="s">
        <v>2591</v>
      </c>
      <c r="D100" s="2429" t="s">
        <v>2592</v>
      </c>
      <c r="E100" s="3310">
        <v>0.1</v>
      </c>
      <c r="F100" s="3311">
        <v>15</v>
      </c>
    </row>
    <row r="101" spans="1:6" ht="24">
      <c r="A101" s="2449">
        <v>27</v>
      </c>
      <c r="B101" s="5063"/>
      <c r="C101" s="2429" t="s">
        <v>2593</v>
      </c>
      <c r="D101" s="2429" t="s">
        <v>2594</v>
      </c>
      <c r="E101" s="3310">
        <v>0.1</v>
      </c>
      <c r="F101" s="3311">
        <v>15</v>
      </c>
    </row>
    <row r="102" spans="1:6" ht="24">
      <c r="A102" s="2449">
        <v>28</v>
      </c>
      <c r="B102" s="5063"/>
      <c r="C102" s="2429" t="s">
        <v>2595</v>
      </c>
      <c r="D102" s="2429" t="s">
        <v>2596</v>
      </c>
      <c r="E102" s="3310">
        <v>0.1</v>
      </c>
      <c r="F102" s="3311">
        <v>15</v>
      </c>
    </row>
    <row r="103" spans="1:6" ht="24">
      <c r="A103" s="2449">
        <v>29</v>
      </c>
      <c r="B103" s="5063"/>
      <c r="C103" s="2429" t="s">
        <v>2597</v>
      </c>
      <c r="D103" s="2429" t="s">
        <v>2598</v>
      </c>
      <c r="E103" s="3310">
        <v>0.1</v>
      </c>
      <c r="F103" s="3311">
        <v>15</v>
      </c>
    </row>
    <row r="104" spans="1:6" ht="24">
      <c r="A104" s="2449">
        <v>30</v>
      </c>
      <c r="B104" s="5063"/>
      <c r="C104" s="2429" t="s">
        <v>2599</v>
      </c>
      <c r="D104" s="2429" t="s">
        <v>2600</v>
      </c>
      <c r="E104" s="3310">
        <v>0.1</v>
      </c>
      <c r="F104" s="3311">
        <v>15</v>
      </c>
    </row>
    <row r="105" spans="1:6" ht="24">
      <c r="A105" s="2449">
        <v>31</v>
      </c>
      <c r="B105" s="5063"/>
      <c r="C105" s="2429" t="s">
        <v>2601</v>
      </c>
      <c r="D105" s="2429" t="s">
        <v>2602</v>
      </c>
      <c r="E105" s="3310">
        <v>0.1</v>
      </c>
      <c r="F105" s="3311">
        <v>15</v>
      </c>
    </row>
    <row r="106" spans="1:6" ht="24">
      <c r="A106" s="2449">
        <v>32</v>
      </c>
      <c r="B106" s="5063"/>
      <c r="C106" s="2429" t="s">
        <v>2603</v>
      </c>
      <c r="D106" s="2429" t="s">
        <v>2604</v>
      </c>
      <c r="E106" s="3310">
        <v>0.1</v>
      </c>
      <c r="F106" s="3311">
        <v>15</v>
      </c>
    </row>
    <row r="107" spans="1:6" ht="24">
      <c r="A107" s="2449">
        <v>33</v>
      </c>
      <c r="B107" s="5063"/>
      <c r="C107" s="2429" t="s">
        <v>2605</v>
      </c>
      <c r="D107" s="2429" t="s">
        <v>2606</v>
      </c>
      <c r="E107" s="3310">
        <v>0.1</v>
      </c>
      <c r="F107" s="3311">
        <v>15</v>
      </c>
    </row>
    <row r="108" spans="1:6" ht="24">
      <c r="A108" s="2449">
        <v>34</v>
      </c>
      <c r="B108" s="5069"/>
      <c r="C108" s="2429" t="s">
        <v>2607</v>
      </c>
      <c r="D108" s="2429" t="s">
        <v>2608</v>
      </c>
      <c r="E108" s="3310">
        <v>0.1</v>
      </c>
      <c r="F108" s="3311">
        <v>15</v>
      </c>
    </row>
    <row r="109" spans="1:6" ht="36">
      <c r="A109" s="2449">
        <v>35</v>
      </c>
      <c r="B109" s="5064" t="s">
        <v>2609</v>
      </c>
      <c r="C109" s="2449" t="s">
        <v>2610</v>
      </c>
      <c r="D109" s="2429" t="s">
        <v>2611</v>
      </c>
      <c r="E109" s="3310">
        <v>0.15</v>
      </c>
      <c r="F109" s="3311">
        <v>20</v>
      </c>
    </row>
    <row r="110" spans="1:6" ht="24">
      <c r="A110" s="2449">
        <v>36</v>
      </c>
      <c r="B110" s="5063"/>
      <c r="C110" s="2449" t="s">
        <v>2612</v>
      </c>
      <c r="D110" s="2429" t="s">
        <v>2613</v>
      </c>
      <c r="E110" s="3310">
        <v>0.15</v>
      </c>
      <c r="F110" s="3311">
        <v>20</v>
      </c>
    </row>
    <row r="111" spans="1:6" ht="24">
      <c r="A111" s="2449">
        <v>37</v>
      </c>
      <c r="B111" s="5063"/>
      <c r="C111" s="2449" t="s">
        <v>2614</v>
      </c>
      <c r="D111" s="2429" t="s">
        <v>2615</v>
      </c>
      <c r="E111" s="3310">
        <v>0.15</v>
      </c>
      <c r="F111" s="3311">
        <v>20</v>
      </c>
    </row>
    <row r="112" spans="1:6" ht="24">
      <c r="A112" s="2449">
        <v>38</v>
      </c>
      <c r="B112" s="5063"/>
      <c r="C112" s="2449" t="s">
        <v>2616</v>
      </c>
      <c r="D112" s="2429" t="s">
        <v>2617</v>
      </c>
      <c r="E112" s="3310">
        <v>0.1</v>
      </c>
      <c r="F112" s="3311">
        <v>15</v>
      </c>
    </row>
    <row r="113" spans="1:6" ht="24">
      <c r="A113" s="2449">
        <v>39</v>
      </c>
      <c r="B113" s="5063"/>
      <c r="C113" s="2449" t="s">
        <v>2618</v>
      </c>
      <c r="D113" s="2429" t="s">
        <v>2619</v>
      </c>
      <c r="E113" s="3310">
        <v>0.1</v>
      </c>
      <c r="F113" s="3311">
        <v>15</v>
      </c>
    </row>
    <row r="114" spans="1:6" ht="24">
      <c r="A114" s="2449">
        <v>40</v>
      </c>
      <c r="B114" s="5069"/>
      <c r="C114" s="2449" t="s">
        <v>2620</v>
      </c>
      <c r="D114" s="2429" t="s">
        <v>2621</v>
      </c>
      <c r="E114" s="3310">
        <v>0.1</v>
      </c>
      <c r="F114" s="3311">
        <v>15</v>
      </c>
    </row>
    <row r="115" spans="1:6" ht="24">
      <c r="A115" s="2449">
        <v>41</v>
      </c>
      <c r="B115" s="5057" t="s">
        <v>2622</v>
      </c>
      <c r="C115" s="2449" t="s">
        <v>2623</v>
      </c>
      <c r="D115" s="2429" t="s">
        <v>2624</v>
      </c>
      <c r="E115" s="3310">
        <v>0.1</v>
      </c>
      <c r="F115" s="3311">
        <v>15</v>
      </c>
    </row>
    <row r="116" spans="1:6" ht="24">
      <c r="A116" s="2449">
        <v>42</v>
      </c>
      <c r="B116" s="5057"/>
      <c r="C116" s="2449" t="s">
        <v>2625</v>
      </c>
      <c r="D116" s="2429" t="s">
        <v>2626</v>
      </c>
      <c r="E116" s="3310">
        <v>0.1</v>
      </c>
      <c r="F116" s="3311">
        <v>15</v>
      </c>
    </row>
    <row r="117" spans="1:6" ht="24">
      <c r="A117" s="2449">
        <v>43</v>
      </c>
      <c r="B117" s="5057"/>
      <c r="C117" s="2449" t="s">
        <v>2627</v>
      </c>
      <c r="D117" s="2429" t="s">
        <v>2628</v>
      </c>
      <c r="E117" s="3310">
        <v>0.1</v>
      </c>
      <c r="F117" s="3311">
        <v>15</v>
      </c>
    </row>
    <row r="118" spans="1:6" ht="24">
      <c r="A118" s="2449">
        <v>44</v>
      </c>
      <c r="B118" s="5064" t="s">
        <v>2629</v>
      </c>
      <c r="C118" s="2449" t="s">
        <v>2630</v>
      </c>
      <c r="D118" s="2429" t="s">
        <v>2631</v>
      </c>
      <c r="E118" s="3310">
        <v>0.1</v>
      </c>
      <c r="F118" s="3311">
        <v>15</v>
      </c>
    </row>
    <row r="119" spans="1:6" ht="24">
      <c r="A119" s="2449">
        <v>45</v>
      </c>
      <c r="B119" s="5069"/>
      <c r="C119" s="2429" t="s">
        <v>2632</v>
      </c>
      <c r="D119" s="2429" t="s">
        <v>2633</v>
      </c>
      <c r="E119" s="3310">
        <v>0.1</v>
      </c>
      <c r="F119" s="3311">
        <v>15</v>
      </c>
    </row>
    <row r="120" spans="1:6" ht="24">
      <c r="A120" s="2449">
        <v>46</v>
      </c>
      <c r="B120" s="5064" t="s">
        <v>2634</v>
      </c>
      <c r="C120" s="2449" t="s">
        <v>2635</v>
      </c>
      <c r="D120" s="2429" t="s">
        <v>2636</v>
      </c>
      <c r="E120" s="3310">
        <v>0.1</v>
      </c>
      <c r="F120" s="3311">
        <v>15</v>
      </c>
    </row>
    <row r="121" spans="1:6" ht="24">
      <c r="A121" s="2449">
        <v>47</v>
      </c>
      <c r="B121" s="5069"/>
      <c r="C121" s="2449" t="s">
        <v>2637</v>
      </c>
      <c r="D121" s="2429" t="s">
        <v>2638</v>
      </c>
      <c r="E121" s="3310">
        <v>0.1</v>
      </c>
      <c r="F121" s="3311">
        <v>15</v>
      </c>
    </row>
    <row r="122" spans="1:6" ht="24">
      <c r="A122" s="2449">
        <v>48</v>
      </c>
      <c r="B122" s="5064" t="s">
        <v>2639</v>
      </c>
      <c r="C122" s="2449" t="s">
        <v>2640</v>
      </c>
      <c r="D122" s="2429" t="s">
        <v>2641</v>
      </c>
      <c r="E122" s="3310">
        <v>0.1</v>
      </c>
      <c r="F122" s="3311">
        <v>15</v>
      </c>
    </row>
    <row r="123" spans="1:6" ht="24">
      <c r="A123" s="2449">
        <v>49</v>
      </c>
      <c r="B123" s="5069"/>
      <c r="C123" s="2449" t="s">
        <v>2642</v>
      </c>
      <c r="D123" s="2429" t="s">
        <v>2643</v>
      </c>
      <c r="E123" s="3310">
        <v>0.1</v>
      </c>
      <c r="F123" s="3311">
        <v>15</v>
      </c>
    </row>
    <row r="124" spans="1:6" ht="24">
      <c r="A124" s="2449">
        <v>50</v>
      </c>
      <c r="B124" s="5057" t="s">
        <v>2644</v>
      </c>
      <c r="C124" s="2449" t="s">
        <v>2645</v>
      </c>
      <c r="D124" s="2429" t="s">
        <v>2646</v>
      </c>
      <c r="E124" s="3310">
        <v>0.1</v>
      </c>
      <c r="F124" s="3311">
        <v>15</v>
      </c>
    </row>
    <row r="125" spans="1:6" ht="24">
      <c r="A125" s="2449">
        <v>51</v>
      </c>
      <c r="B125" s="5057"/>
      <c r="C125" s="2449" t="s">
        <v>2647</v>
      </c>
      <c r="D125" s="2429" t="s">
        <v>2648</v>
      </c>
      <c r="E125" s="3310">
        <v>0.1</v>
      </c>
      <c r="F125" s="3311">
        <v>15</v>
      </c>
    </row>
    <row r="126" spans="1:6" ht="24">
      <c r="A126" s="2449">
        <v>52</v>
      </c>
      <c r="B126" s="5057" t="s">
        <v>2649</v>
      </c>
      <c r="C126" s="2449" t="s">
        <v>2650</v>
      </c>
      <c r="D126" s="2429" t="s">
        <v>2651</v>
      </c>
      <c r="E126" s="3310">
        <v>0.1</v>
      </c>
      <c r="F126" s="3311">
        <v>15</v>
      </c>
    </row>
    <row r="127" spans="1:6" ht="24">
      <c r="A127" s="2449">
        <v>53</v>
      </c>
      <c r="B127" s="5057"/>
      <c r="C127" s="2449" t="s">
        <v>2652</v>
      </c>
      <c r="D127" s="2429" t="s">
        <v>2653</v>
      </c>
      <c r="E127" s="3310">
        <v>0.1</v>
      </c>
      <c r="F127" s="3311">
        <v>15</v>
      </c>
    </row>
    <row r="128" spans="1:6" ht="24">
      <c r="A128" s="2449">
        <v>54</v>
      </c>
      <c r="B128" s="2449" t="s">
        <v>2654</v>
      </c>
      <c r="C128" s="2449" t="s">
        <v>2655</v>
      </c>
      <c r="D128" s="2429" t="s">
        <v>2656</v>
      </c>
      <c r="E128" s="3310">
        <v>0.1</v>
      </c>
      <c r="F128" s="3311">
        <v>15</v>
      </c>
    </row>
    <row r="129" spans="1:6" ht="24">
      <c r="A129" s="2449">
        <v>55</v>
      </c>
      <c r="B129" s="5057" t="s">
        <v>2657</v>
      </c>
      <c r="C129" s="2449" t="s">
        <v>2658</v>
      </c>
      <c r="D129" s="2429" t="s">
        <v>2659</v>
      </c>
      <c r="E129" s="3310">
        <v>0.1</v>
      </c>
      <c r="F129" s="3311">
        <v>15</v>
      </c>
    </row>
    <row r="130" spans="1:6" ht="24">
      <c r="A130" s="2449">
        <v>56</v>
      </c>
      <c r="B130" s="5057"/>
      <c r="C130" s="2449" t="s">
        <v>2660</v>
      </c>
      <c r="D130" s="2429" t="s">
        <v>2661</v>
      </c>
      <c r="E130" s="3310">
        <v>0.1</v>
      </c>
      <c r="F130" s="3311">
        <v>15</v>
      </c>
    </row>
    <row r="131" spans="1:6" ht="24">
      <c r="A131" s="2449">
        <v>57</v>
      </c>
      <c r="B131" s="5057"/>
      <c r="C131" s="2449" t="s">
        <v>2662</v>
      </c>
      <c r="D131" s="2429" t="s">
        <v>2663</v>
      </c>
      <c r="E131" s="3310">
        <v>0.1</v>
      </c>
      <c r="F131" s="3311">
        <v>15</v>
      </c>
    </row>
    <row r="132" spans="1:6" ht="24">
      <c r="A132" s="2449">
        <v>58</v>
      </c>
      <c r="B132" s="5057" t="s">
        <v>2664</v>
      </c>
      <c r="C132" s="2449" t="s">
        <v>2665</v>
      </c>
      <c r="D132" s="2429" t="s">
        <v>2666</v>
      </c>
      <c r="E132" s="3310">
        <v>0.1</v>
      </c>
      <c r="F132" s="3311">
        <v>15</v>
      </c>
    </row>
    <row r="133" spans="1:6" ht="24">
      <c r="A133" s="2449">
        <v>59</v>
      </c>
      <c r="B133" s="5057"/>
      <c r="C133" s="2449" t="s">
        <v>2667</v>
      </c>
      <c r="D133" s="2429" t="s">
        <v>2668</v>
      </c>
      <c r="E133" s="3310">
        <v>0.1</v>
      </c>
      <c r="F133" s="3311">
        <v>15</v>
      </c>
    </row>
    <row r="134" spans="1:6" ht="24">
      <c r="A134" s="2449">
        <v>60</v>
      </c>
      <c r="B134" s="5064" t="s">
        <v>2669</v>
      </c>
      <c r="C134" s="2449" t="s">
        <v>2670</v>
      </c>
      <c r="D134" s="2429" t="s">
        <v>2671</v>
      </c>
      <c r="E134" s="3310">
        <v>0.1</v>
      </c>
      <c r="F134" s="3311">
        <v>15</v>
      </c>
    </row>
    <row r="135" spans="1:6" ht="24">
      <c r="A135" s="2449">
        <v>61</v>
      </c>
      <c r="B135" s="5069"/>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24">
      <c r="A137" s="2449">
        <v>63</v>
      </c>
      <c r="B137" s="5057" t="s">
        <v>2677</v>
      </c>
      <c r="C137" s="2449" t="s">
        <v>2678</v>
      </c>
      <c r="D137" s="2429" t="s">
        <v>2679</v>
      </c>
      <c r="E137" s="3310">
        <v>0.1</v>
      </c>
      <c r="F137" s="3311">
        <v>15</v>
      </c>
    </row>
    <row r="138" spans="1:6" ht="24">
      <c r="A138" s="2449">
        <v>64</v>
      </c>
      <c r="B138" s="5057"/>
      <c r="C138" s="2449" t="s">
        <v>2680</v>
      </c>
      <c r="D138" s="2429" t="s">
        <v>2681</v>
      </c>
      <c r="E138" s="3310">
        <v>0.1</v>
      </c>
      <c r="F138" s="3311">
        <v>15</v>
      </c>
    </row>
    <row r="139" spans="1:6" ht="24">
      <c r="A139" s="2449">
        <v>65</v>
      </c>
      <c r="B139" s="2449" t="s">
        <v>2682</v>
      </c>
      <c r="C139" s="2449" t="s">
        <v>2683</v>
      </c>
      <c r="D139" s="2429" t="s">
        <v>2684</v>
      </c>
      <c r="E139" s="3310">
        <v>0.1</v>
      </c>
      <c r="F139" s="3311">
        <v>15</v>
      </c>
    </row>
    <row r="140" spans="1:6" ht="14.4">
      <c r="A140" s="2449"/>
      <c r="B140" s="2449"/>
      <c r="C140" s="2449"/>
      <c r="D140" s="2449"/>
      <c r="E140" s="2449" t="s">
        <v>2685</v>
      </c>
      <c r="F140" s="2449" t="s">
        <v>2685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08" zoomScale="90" zoomScaleNormal="90" workbookViewId="0">
      <selection activeCell="J214" sqref="J214"/>
    </sheetView>
  </sheetViews>
  <sheetFormatPr defaultColWidth="9" defaultRowHeight="14.4"/>
  <cols>
    <col min="1" max="13" width="9" style="2472"/>
    <col min="14" max="16384" width="9" style="533"/>
  </cols>
  <sheetData>
    <row r="1" spans="1:20" ht="16.2"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1.2158</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1.1565000000000001</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21580</v>
      </c>
      <c r="C2" s="2" t="s">
        <v>104</v>
      </c>
      <c r="D2" s="98"/>
      <c r="E2" s="98"/>
      <c r="F2" s="98"/>
      <c r="G2" s="98"/>
    </row>
    <row r="3" spans="1:7" s="99" customFormat="1" ht="18" customHeight="1" thickBot="1">
      <c r="A3" s="102" t="s">
        <v>56</v>
      </c>
      <c r="B3" s="103">
        <f ca="1">ROUND(B2*10000/'数据-汇总表'!E3,0)</f>
        <v>821251</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v>
      </c>
      <c r="D9" s="568">
        <f>'数据-汇总表'!E5</f>
        <v>262.77</v>
      </c>
      <c r="E9" s="124">
        <f>'数据-取费表'!B27</f>
        <v>160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7</v>
      </c>
      <c r="D19" s="572">
        <f>'数据-汇总表'!E3</f>
        <v>262.77</v>
      </c>
      <c r="E19" s="110">
        <f>'数据-取费表'!B31</f>
        <v>265</v>
      </c>
      <c r="F19" s="130"/>
      <c r="G19" s="1" t="s">
        <v>430</v>
      </c>
    </row>
    <row r="20" spans="1:7" s="113" customFormat="1" ht="13.5" customHeight="1">
      <c r="A20" s="537" t="s">
        <v>413</v>
      </c>
      <c r="B20" s="109" t="s">
        <v>75</v>
      </c>
      <c r="C20" s="131">
        <f>ROUND((C5+C19)*F20,0)</f>
        <v>309</v>
      </c>
      <c r="D20" s="131"/>
      <c r="E20" s="131"/>
      <c r="F20" s="132">
        <f>'数据-取费表'!B38</f>
        <v>1.4999999999999999E-2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0</v>
      </c>
      <c r="D22" s="134">
        <f ca="1">C26</f>
        <v>0</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0</v>
      </c>
      <c r="D25" s="137"/>
      <c r="E25" s="140"/>
      <c r="F25" s="138"/>
      <c r="G25" s="141" t="s">
        <v>81</v>
      </c>
    </row>
    <row r="26" spans="1:7" s="113" customFormat="1">
      <c r="A26" s="540" t="s">
        <v>348</v>
      </c>
      <c r="B26" s="114" t="s">
        <v>416</v>
      </c>
      <c r="C26" s="137">
        <f ca="1">ROUND(IF('数据-取费表'!B22&lt;=1,F21*F22*'数据-取费表'!B23/2,F21*(POWER((1+F22),'数据-取费表'!B23/2)-1)),4)</f>
        <v>0</v>
      </c>
      <c r="D26" s="137"/>
      <c r="E26" s="140"/>
      <c r="F26" s="138"/>
      <c r="G26" s="142"/>
    </row>
    <row r="27" spans="1:7" s="113" customFormat="1" ht="26.4">
      <c r="A27" s="537" t="s">
        <v>340</v>
      </c>
      <c r="B27" s="143" t="s">
        <v>83</v>
      </c>
      <c r="C27" s="144">
        <f>C28</f>
        <v>0</v>
      </c>
      <c r="D27" s="134">
        <f>C29</f>
        <v>0</v>
      </c>
      <c r="E27" s="135" t="s">
        <v>97</v>
      </c>
      <c r="F27" s="145">
        <f>'数据-取费表'!Q16</f>
        <v>0.15</v>
      </c>
      <c r="G27" s="146" t="s">
        <v>425</v>
      </c>
    </row>
    <row r="28" spans="1:7" s="113" customFormat="1" ht="13.5" customHeight="1">
      <c r="A28" s="540" t="s">
        <v>347</v>
      </c>
      <c r="B28" s="147" t="s">
        <v>418</v>
      </c>
      <c r="C28" s="148">
        <f>ROUND((C5+C19+C20)*F27*'数据-取费表'!B21/'数据-取费表'!B20,0)</f>
        <v>0</v>
      </c>
      <c r="D28" s="134"/>
      <c r="E28" s="135"/>
      <c r="F28" s="145"/>
      <c r="G28" s="146"/>
    </row>
    <row r="29" spans="1:7" s="113" customFormat="1" ht="13.5" customHeight="1">
      <c r="A29" s="540" t="s">
        <v>345</v>
      </c>
      <c r="B29" s="147" t="s">
        <v>419</v>
      </c>
      <c r="C29" s="137">
        <f>ROUND(C21*F27*'数据-取费表'!B21/'数据-取费表'!B20,4)</f>
        <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21573</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0.6</v>
      </c>
      <c r="G34" s="118" t="s">
        <v>87</v>
      </c>
    </row>
    <row r="35" spans="1:7" ht="13.5" customHeight="1">
      <c r="A35" s="540" t="s">
        <v>349</v>
      </c>
      <c r="B35" s="114" t="s">
        <v>31</v>
      </c>
      <c r="C35" s="119">
        <f>ROUND(C34*F35,0)</f>
        <v>0</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0.02</v>
      </c>
      <c r="G36" s="159" t="s">
        <v>33</v>
      </c>
    </row>
    <row r="37" spans="1:7" s="157" customFormat="1" ht="13.5" customHeight="1">
      <c r="A37" s="540" t="s">
        <v>351</v>
      </c>
      <c r="B37" s="114" t="s">
        <v>89</v>
      </c>
      <c r="C37" s="148">
        <f>ROUND(E37*D37*F34/10000,0)</f>
        <v>6</v>
      </c>
      <c r="D37" s="116">
        <f>'数据-汇总表'!E3</f>
        <v>262.77</v>
      </c>
      <c r="E37" s="148">
        <f>'数据-取费表'!B35</f>
        <v>360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0</v>
      </c>
      <c r="D41" s="134">
        <f ca="1">C44</f>
        <v>0</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72" t="s">
        <v>92</v>
      </c>
    </row>
    <row r="43" spans="1:7" ht="13.5" customHeight="1">
      <c r="A43" s="540" t="s">
        <v>345</v>
      </c>
      <c r="B43" s="114" t="s">
        <v>420</v>
      </c>
      <c r="C43" s="137">
        <f ca="1">ROUND(IF('数据-取费表'!B22&lt;=1,C39*F22*'数据-取费表'!B21/2,C39*(POWER((1+F22),'数据-取费表'!B21/2)-1)),0)</f>
        <v>0</v>
      </c>
      <c r="D43" s="137"/>
      <c r="E43" s="137"/>
      <c r="F43" s="138"/>
      <c r="G43" s="4874"/>
    </row>
    <row r="44" spans="1:7" ht="13.5" customHeight="1">
      <c r="A44" s="540" t="s">
        <v>346</v>
      </c>
      <c r="B44" s="114" t="s">
        <v>422</v>
      </c>
      <c r="C44" s="137">
        <f ca="1">ROUND(IF('数据-取费表'!B22&lt;=1,C40*F22*'数据-取费表'!B21/2,C40*(POWER((1+F22),'数据-取费表'!B21/2)-1)),4)</f>
        <v>0</v>
      </c>
      <c r="D44" s="137"/>
      <c r="E44" s="137"/>
      <c r="F44" s="138"/>
      <c r="G44" s="4873"/>
    </row>
    <row r="45" spans="1:7" s="113" customFormat="1" ht="13.5" customHeight="1">
      <c r="A45" s="537" t="s">
        <v>339</v>
      </c>
      <c r="B45" s="143" t="s">
        <v>83</v>
      </c>
      <c r="C45" s="144">
        <f>C46</f>
        <v>1</v>
      </c>
      <c r="D45" s="134">
        <f>C47</f>
        <v>4.4999999999999997E-3</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4.4999999999999997E-3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7</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7</v>
      </c>
      <c r="D51" s="131"/>
      <c r="E51" s="131"/>
      <c r="F51" s="163"/>
      <c r="G51" s="133" t="s">
        <v>35</v>
      </c>
    </row>
    <row r="52" spans="1:7" s="107" customFormat="1" ht="16.8" thickBot="1">
      <c r="A52" s="164" t="s">
        <v>36</v>
      </c>
      <c r="B52" s="165"/>
      <c r="C52" s="166">
        <f ca="1">C31+C51</f>
        <v>21580</v>
      </c>
      <c r="D52" s="165"/>
      <c r="E52" s="165"/>
      <c r="F52" s="165"/>
      <c r="G52" s="167"/>
    </row>
    <row r="55" spans="1:7" ht="15">
      <c r="B55" s="169" t="s">
        <v>37</v>
      </c>
      <c r="C55" s="170"/>
    </row>
    <row r="56" spans="1:7">
      <c r="B56" s="172" t="s">
        <v>38</v>
      </c>
      <c r="C56" s="173">
        <f ca="1">ROUND(C51/C52,3)</f>
        <v>0</v>
      </c>
    </row>
    <row r="57" spans="1:7">
      <c r="B57" s="172" t="s">
        <v>39</v>
      </c>
      <c r="C57" s="174">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0" t="s">
        <v>3069</v>
      </c>
      <c r="B1" s="5070"/>
    </row>
    <row r="2" spans="1:7" ht="15" thickBot="1">
      <c r="A2" s="2569"/>
      <c r="B2" s="2569"/>
    </row>
    <row r="3" spans="1:7" ht="15" thickBot="1">
      <c r="A3" s="2569"/>
      <c r="B3" s="2569"/>
      <c r="C3" s="2570" t="s">
        <v>2699</v>
      </c>
      <c r="D3" s="2570" t="s">
        <v>2755</v>
      </c>
      <c r="E3" s="2570" t="s">
        <v>2701</v>
      </c>
      <c r="F3" s="2570" t="s">
        <v>2756</v>
      </c>
      <c r="G3" s="2570" t="s">
        <v>2519</v>
      </c>
    </row>
    <row r="4" spans="1:7" ht="1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1" t="s">
        <v>3120</v>
      </c>
      <c r="B1" s="5071"/>
      <c r="C1" s="5071"/>
      <c r="D1" s="5071"/>
      <c r="E1" s="5071"/>
      <c r="F1" s="5072"/>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28" zoomScale="90" zoomScaleNormal="90" workbookViewId="0">
      <selection activeCell="N41" sqref="N41"/>
    </sheetView>
  </sheetViews>
  <sheetFormatPr defaultRowHeight="14.4"/>
  <cols>
    <col min="1" max="1" width="13.88671875" customWidth="1"/>
    <col min="11" max="17" width="9" customWidth="1"/>
    <col min="25" max="30" width="0" hidden="1" customWidth="1"/>
  </cols>
  <sheetData>
    <row r="1" spans="1:44">
      <c r="A1" s="2539">
        <f>基准地价修正!G23</f>
        <v>46063</v>
      </c>
      <c r="B1" s="2528" t="s">
        <v>3263</v>
      </c>
      <c r="C1" s="2529"/>
      <c r="D1" s="2529"/>
      <c r="E1" s="2529"/>
      <c r="F1" s="2529"/>
      <c r="G1" s="2529"/>
      <c r="H1" s="2529"/>
      <c r="I1" s="2529"/>
      <c r="J1" s="2495"/>
      <c r="K1" s="2529" t="s">
        <v>448</v>
      </c>
      <c r="L1" s="2529"/>
      <c r="M1" s="2529"/>
      <c r="N1" s="2529"/>
      <c r="O1" s="2529"/>
      <c r="P1" s="2529"/>
      <c r="Q1" s="2495"/>
      <c r="R1" s="5073" t="s">
        <v>450</v>
      </c>
      <c r="S1" s="5074"/>
      <c r="T1" s="5074"/>
      <c r="U1" s="5074"/>
      <c r="V1" s="5074"/>
      <c r="W1" s="5074"/>
      <c r="X1" s="2495"/>
      <c r="Y1" s="5073" t="s">
        <v>451</v>
      </c>
      <c r="Z1" s="5074"/>
      <c r="AA1" s="5074"/>
      <c r="AB1" s="5074"/>
      <c r="AC1" s="5074"/>
      <c r="AD1" s="5074"/>
    </row>
    <row r="2" spans="1:44" s="2474" customFormat="1" ht="1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3.2">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3.2">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3.2">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3.2">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3.2">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3.2">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3.2">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3.2">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3.2">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3.2">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3.2">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3.2">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3.2">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3.2">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3.2">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3.2">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3.2">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3.2">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3.2">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3.2">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3.2">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3.2">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3.2">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5" thickTop="1"/>
    <row r="30" spans="1:44" s="2373" customFormat="1">
      <c r="A30" s="2715" t="s">
        <v>3266</v>
      </c>
    </row>
    <row r="31" spans="1:44" s="2373" customFormat="1">
      <c r="I31" s="2526" t="s">
        <v>2713</v>
      </c>
    </row>
    <row r="32" spans="1:44" s="2373" customFormat="1"/>
    <row r="33" spans="1:44" s="2527" customFormat="1" ht="13.2">
      <c r="B33" s="2528" t="s">
        <v>3264</v>
      </c>
      <c r="C33" s="2529"/>
      <c r="D33" s="2529"/>
      <c r="E33" s="2529"/>
      <c r="F33" s="2529"/>
      <c r="G33" s="2529"/>
      <c r="H33" s="2529"/>
      <c r="I33" s="2529"/>
      <c r="J33" s="2495"/>
      <c r="K33" s="2529" t="s">
        <v>2714</v>
      </c>
      <c r="L33" s="2529"/>
      <c r="M33" s="2529"/>
      <c r="N33" s="2529"/>
      <c r="O33" s="2529"/>
      <c r="P33" s="2529"/>
      <c r="Q33" s="2495"/>
      <c r="R33" s="5073" t="s">
        <v>2715</v>
      </c>
      <c r="S33" s="5074"/>
      <c r="T33" s="5074"/>
      <c r="U33" s="5074"/>
      <c r="V33" s="5074"/>
      <c r="W33" s="5074"/>
      <c r="X33" s="2495"/>
      <c r="Y33" s="5073" t="s">
        <v>2716</v>
      </c>
      <c r="Z33" s="5074"/>
      <c r="AA33" s="5074"/>
      <c r="AB33" s="5074"/>
      <c r="AC33" s="5074"/>
      <c r="AD33" s="5074"/>
    </row>
    <row r="34" spans="1:44" s="2474" customFormat="1" ht="1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3.2">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3.2">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3.2">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3.2">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3.2">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3.2">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3.2">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3.2">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3.2">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3.2">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3.2">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3.2">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3.2">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3.2">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3.2">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3.2">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3.2">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3.2">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3.2">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3.2">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3.2">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3.2">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3.2">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0" t="s">
        <v>446</v>
      </c>
      <c r="C1" s="5080"/>
      <c r="D1" s="5080"/>
      <c r="E1" s="5080"/>
      <c r="F1" s="5080"/>
      <c r="G1" s="5076" t="s">
        <v>447</v>
      </c>
      <c r="H1" s="5076"/>
      <c r="I1" s="5076"/>
      <c r="J1" s="5076"/>
      <c r="K1" s="5076"/>
      <c r="L1" s="5076"/>
      <c r="N1" s="5076" t="s">
        <v>448</v>
      </c>
      <c r="O1" s="5076"/>
      <c r="P1" s="5076"/>
      <c r="Q1" s="5076"/>
      <c r="S1" s="5076" t="s">
        <v>449</v>
      </c>
      <c r="T1" s="5076"/>
      <c r="U1" s="5076"/>
      <c r="V1" s="5076"/>
      <c r="X1" s="5075" t="s">
        <v>450</v>
      </c>
      <c r="Y1" s="5076"/>
      <c r="Z1" s="5076"/>
      <c r="AA1" s="5076"/>
      <c r="AB1" s="5076"/>
      <c r="AD1" s="5075" t="s">
        <v>451</v>
      </c>
      <c r="AE1" s="5076"/>
      <c r="AF1" s="5076"/>
      <c r="AG1" s="5076"/>
      <c r="AH1" s="5076"/>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8">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8"/>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8"/>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5"/>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81">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8"/>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8"/>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5"/>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1">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8"/>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8"/>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9"/>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7">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8"/>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8"/>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9"/>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7">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8"/>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8"/>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9"/>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2">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3"/>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3"/>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4"/>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7">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8"/>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8"/>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79"/>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7">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8">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8">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9">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7">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8">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8">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9">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7">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8">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8">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9">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7">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8">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8">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9">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7">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8">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8">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9">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7">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8">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8">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9">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7">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8">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8">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9">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7">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8">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8">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9">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7">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8">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8">
        <v>2003</v>
      </c>
      <c r="H83" s="3210">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79">
        <v>2003</v>
      </c>
      <c r="H84" s="3218">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7">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8">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8">
        <v>2002</v>
      </c>
      <c r="H87" s="3210">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79">
        <v>2002</v>
      </c>
      <c r="H88" s="3219">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71" t="str">
        <f>IF(项目基本情况!B9="房地产市场价值","估价结果一览表","结果表-2")</f>
        <v>估价结果一览表</v>
      </c>
      <c r="B1" s="4671"/>
      <c r="C1" s="4671"/>
      <c r="D1" s="4671"/>
      <c r="E1" s="4671"/>
      <c r="F1" s="4671"/>
      <c r="G1" s="4671"/>
      <c r="H1" s="4671"/>
      <c r="I1" s="4671"/>
    </row>
    <row r="2" spans="1:9" ht="30" customHeight="1" thickTop="1">
      <c r="A2" s="4672" t="s">
        <v>912</v>
      </c>
      <c r="B2" s="4672" t="s">
        <v>913</v>
      </c>
      <c r="C2" s="4672" t="s">
        <v>914</v>
      </c>
      <c r="D2" s="4672" t="str">
        <f>结果表!D116</f>
        <v>出让国有建设用地使用权价值</v>
      </c>
      <c r="E2" s="4672"/>
      <c r="F2" s="4672">
        <f>结果表!F116</f>
        <v>0</v>
      </c>
      <c r="G2" s="4672"/>
      <c r="H2" s="4672" t="str">
        <f>IF(项目基本情况!B9="房地产市场价值","房地产市场价值","房地产价值")</f>
        <v>房地产市场价值</v>
      </c>
      <c r="I2" s="4672"/>
    </row>
    <row r="3" spans="1:9" ht="15.6">
      <c r="A3" s="4673"/>
      <c r="B3" s="4673"/>
      <c r="C3" s="4673"/>
      <c r="D3" s="577" t="s">
        <v>909</v>
      </c>
      <c r="E3" s="577" t="s">
        <v>915</v>
      </c>
      <c r="F3" s="577" t="s">
        <v>909</v>
      </c>
      <c r="G3" s="577" t="s">
        <v>910</v>
      </c>
      <c r="H3" s="577" t="s">
        <v>909</v>
      </c>
      <c r="I3" s="577" t="s">
        <v>910</v>
      </c>
    </row>
    <row r="4" spans="1:9" ht="15">
      <c r="A4" s="1111" t="str">
        <f>项目基本情况!S2</f>
        <v>北京市房地产</v>
      </c>
      <c r="B4" s="577">
        <f>项目基本情况!C17</f>
        <v>262.77</v>
      </c>
      <c r="C4" s="577">
        <f>项目基本情况!C18</f>
        <v>623.5</v>
      </c>
      <c r="D4" s="577" t="e">
        <f ca="1">结果表!D118</f>
        <v>#REF!</v>
      </c>
      <c r="E4" s="577" t="e">
        <f ca="1">结果表!E118</f>
        <v>#REF!</v>
      </c>
      <c r="F4" s="577" t="e">
        <f ca="1">结果表!F118</f>
        <v>#REF!</v>
      </c>
      <c r="G4" s="577" t="e">
        <f ca="1">结果表!G118</f>
        <v>#REF!</v>
      </c>
      <c r="H4" s="577">
        <f ca="1">结果表!H118</f>
        <v>611.07159999999999</v>
      </c>
      <c r="I4" s="577">
        <f ca="1">结果表!I118</f>
        <v>884994</v>
      </c>
    </row>
    <row r="5" spans="1:9" ht="30" customHeight="1">
      <c r="A5" s="4673" t="s">
        <v>911</v>
      </c>
      <c r="B5" s="4673"/>
      <c r="C5" s="4673"/>
      <c r="D5" s="4673" t="e">
        <f ca="1">结果表!D119</f>
        <v>#REF!</v>
      </c>
      <c r="E5" s="4673"/>
      <c r="F5" s="4673" t="e">
        <f ca="1">结果表!F119</f>
        <v>#REF!</v>
      </c>
      <c r="G5" s="4673"/>
      <c r="H5" s="4673" t="str">
        <f ca="1">结果表!H119</f>
        <v>陆佰壹拾壹万零柒佰壹拾陆元整</v>
      </c>
      <c r="I5" s="4673"/>
    </row>
    <row r="6" spans="1:9" ht="15.6">
      <c r="A6" s="4674" t="str">
        <f>结果表!A120</f>
        <v/>
      </c>
      <c r="B6" s="4674"/>
      <c r="C6" s="4674"/>
      <c r="D6" s="4674">
        <f>结果表!H120</f>
        <v>0</v>
      </c>
      <c r="E6" s="4674"/>
      <c r="F6" s="4674"/>
      <c r="G6" s="4674"/>
      <c r="H6" s="4674"/>
      <c r="I6" s="4674"/>
    </row>
    <row r="7" spans="1:9" ht="15">
      <c r="A7" s="4673" t="s">
        <v>911</v>
      </c>
      <c r="B7" s="4673"/>
      <c r="C7" s="4673"/>
      <c r="D7" s="4675" t="str">
        <f>结果表!H121</f>
        <v>零元整</v>
      </c>
      <c r="E7" s="4676"/>
      <c r="F7" s="4676"/>
      <c r="G7" s="4676"/>
      <c r="H7" s="4676"/>
      <c r="I7" s="4677"/>
    </row>
    <row r="8" spans="1:9" ht="15.6">
      <c r="A8" s="4674" t="str">
        <f>结果表!A122</f>
        <v/>
      </c>
      <c r="B8" s="4674"/>
      <c r="C8" s="4674"/>
      <c r="D8" s="4674">
        <f ca="1">结果表!H122</f>
        <v>611.07159999999999</v>
      </c>
      <c r="E8" s="4674"/>
      <c r="F8" s="4674"/>
      <c r="G8" s="4674"/>
      <c r="H8" s="4674"/>
      <c r="I8" s="4674"/>
    </row>
    <row r="9" spans="1:9" ht="15">
      <c r="A9" s="4673" t="s">
        <v>911</v>
      </c>
      <c r="B9" s="4673"/>
      <c r="C9" s="4673"/>
      <c r="D9" s="4673" t="str">
        <f ca="1">结果表!H123</f>
        <v>陆佰壹拾壹万零柒佰壹拾陆元整</v>
      </c>
      <c r="E9" s="4673"/>
      <c r="F9" s="4673"/>
      <c r="G9" s="4673"/>
      <c r="H9" s="4673"/>
      <c r="I9" s="4673"/>
    </row>
    <row r="10" spans="1:9" ht="15.6">
      <c r="A10" s="4674" t="str">
        <f>结果表!A124</f>
        <v/>
      </c>
      <c r="B10" s="4674"/>
      <c r="C10" s="4674"/>
      <c r="D10" s="4674" t="str">
        <f>结果表!H124</f>
        <v>——</v>
      </c>
      <c r="E10" s="4674"/>
      <c r="F10" s="4674"/>
      <c r="G10" s="4674"/>
      <c r="H10" s="4674"/>
      <c r="I10" s="4674"/>
    </row>
    <row r="11" spans="1:9" ht="15">
      <c r="A11" s="4673" t="s">
        <v>911</v>
      </c>
      <c r="B11" s="4673"/>
      <c r="C11" s="4673"/>
      <c r="D11" s="4673" t="e">
        <f>结果表!H125</f>
        <v>#VALUE!</v>
      </c>
      <c r="E11" s="4673"/>
      <c r="F11" s="4673"/>
      <c r="G11" s="4673"/>
      <c r="H11" s="4673"/>
      <c r="I11" s="4673"/>
    </row>
    <row r="12" spans="1:9" ht="15.6">
      <c r="A12" s="4674" t="str">
        <f>结果表!A126</f>
        <v/>
      </c>
      <c r="B12" s="4674"/>
      <c r="C12" s="4674"/>
      <c r="D12" s="4674" t="str">
        <f>结果表!H126</f>
        <v>——</v>
      </c>
      <c r="E12" s="4674"/>
      <c r="F12" s="4674"/>
      <c r="G12" s="4674"/>
      <c r="H12" s="4674"/>
      <c r="I12" s="4674"/>
    </row>
    <row r="13" spans="1:9" ht="15.6" thickBot="1">
      <c r="A13" s="4678" t="s">
        <v>911</v>
      </c>
      <c r="B13" s="4678"/>
      <c r="C13" s="4678"/>
      <c r="D13" s="4678" t="e">
        <f>结果表!H127</f>
        <v>#VALUE!</v>
      </c>
      <c r="E13" s="4678"/>
      <c r="F13" s="4678"/>
      <c r="G13" s="4678"/>
      <c r="H13" s="4678"/>
      <c r="I13" s="4678"/>
    </row>
    <row r="14" spans="1:9" ht="14.4" thickTop="1">
      <c r="A14" s="4679" t="s">
        <v>916</v>
      </c>
      <c r="B14" s="4679"/>
      <c r="C14" s="4679"/>
      <c r="D14" s="4679"/>
      <c r="E14" s="4679"/>
      <c r="F14" s="4679"/>
      <c r="G14" s="4679"/>
      <c r="H14" s="4679"/>
      <c r="I14" s="4679"/>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88" t="s">
        <v>2727</v>
      </c>
      <c r="B1" s="5088"/>
      <c r="C1" s="5088"/>
      <c r="D1" s="5088"/>
      <c r="E1" s="5088"/>
      <c r="F1" s="5088"/>
      <c r="G1" s="5089"/>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1.4"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86"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1.4" thickBot="1">
      <c r="A4" s="5087"/>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1.4"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1.4"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1.4"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1.4"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1.4"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1.4"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46063</v>
      </c>
      <c r="D1" s="926" t="s">
        <v>597</v>
      </c>
      <c r="E1" s="3245">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22"/>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5.6">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5.6">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5.6">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6.8">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5.6">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5.6">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5.6">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5.6">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5.6">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5.6">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80" t="s">
        <v>933</v>
      </c>
      <c r="B1" s="4680"/>
      <c r="C1" s="4680"/>
      <c r="D1" s="4680"/>
    </row>
    <row r="2" spans="1:4" ht="17.399999999999999">
      <c r="A2" s="4681" t="s">
        <v>917</v>
      </c>
      <c r="B2" s="4681"/>
      <c r="C2" s="4681"/>
      <c r="D2" s="4681"/>
    </row>
    <row r="3" spans="1:4" ht="17.399999999999999">
      <c r="A3" s="1115" t="s">
        <v>918</v>
      </c>
      <c r="B3" s="1115" t="s">
        <v>919</v>
      </c>
      <c r="C3" s="1115" t="s">
        <v>920</v>
      </c>
      <c r="D3" s="1115" t="s">
        <v>921</v>
      </c>
    </row>
    <row r="4" spans="1:4" ht="56.25" customHeight="1">
      <c r="A4" s="1116" t="str">
        <f>项目基本情况!B4</f>
        <v>陈颖</v>
      </c>
      <c r="B4" s="1117">
        <f ca="1">项目基本情况!C4</f>
        <v>0</v>
      </c>
      <c r="C4" s="1118"/>
      <c r="D4" s="1119" t="s">
        <v>922</v>
      </c>
    </row>
    <row r="5" spans="1:4" ht="56.25" customHeight="1">
      <c r="A5" s="1116">
        <f>项目基本情况!D4</f>
        <v>0</v>
      </c>
      <c r="B5" s="1117">
        <f>项目基本情况!E4</f>
        <v>0</v>
      </c>
      <c r="C5" s="1120"/>
      <c r="D5" s="1119" t="s">
        <v>922</v>
      </c>
    </row>
    <row r="6" spans="1:4" ht="17.399999999999999">
      <c r="A6" s="4681" t="s">
        <v>923</v>
      </c>
      <c r="B6" s="4681"/>
      <c r="C6" s="4681"/>
      <c r="D6" s="4681"/>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82" t="s">
        <v>926</v>
      </c>
      <c r="B11" s="4683"/>
      <c r="C11" s="4683"/>
      <c r="D11" s="4683"/>
    </row>
    <row r="12" spans="1:4" ht="15.6">
      <c r="A12" s="46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4"/>
      <c r="C12" s="4684"/>
      <c r="D12" s="4684"/>
    </row>
    <row r="13" spans="1:4" ht="30" customHeight="1">
      <c r="A13" s="4683" t="str">
        <f>IF(项目基本情况!B8="抵押","3.抵押双方在办理抵押登记手续时，应使用本公司出具的正式《房地产评估报告》，特提醒报告使用者注意。","——")</f>
        <v>——</v>
      </c>
      <c r="B13" s="4684"/>
      <c r="C13" s="4684"/>
      <c r="D13" s="4684"/>
    </row>
    <row r="14" spans="1:4" ht="15.75" customHeight="1">
      <c r="A14" s="4683" t="str">
        <f>IF(项目基本情况!B8="抵押","4.本次评估估价师所知悉的法定优先受偿款情况说明如下：","——")</f>
        <v>——</v>
      </c>
      <c r="B14" s="4684"/>
      <c r="C14" s="4684"/>
      <c r="D14" s="4684"/>
    </row>
    <row r="15" spans="1:4" ht="42" customHeight="1">
      <c r="A15" s="4683" t="str">
        <f>IF(项目基本情况!B8="抵押","（1）"&amp;CONCATENATE(项目基本情况!L20,项目基本情况!L21,项目基本情况!L22),"——")</f>
        <v>——</v>
      </c>
      <c r="B15" s="4683"/>
      <c r="C15" s="4683"/>
      <c r="D15" s="4683"/>
    </row>
    <row r="16" spans="1:4" ht="30" customHeight="1">
      <c r="A16" s="4686" t="s">
        <v>927</v>
      </c>
      <c r="B16" s="4686"/>
      <c r="C16" s="4686"/>
      <c r="D16" s="4686"/>
    </row>
    <row r="17" spans="1:4" ht="144" customHeight="1">
      <c r="A17" s="4686" t="s">
        <v>928</v>
      </c>
      <c r="B17" s="4686"/>
      <c r="C17" s="4686"/>
      <c r="D17" s="4686"/>
    </row>
    <row r="18" spans="1:4" ht="15.75" customHeight="1">
      <c r="A18" s="4683" t="str">
        <f>IF(项目基本情况!B8="抵押",结果表!K120,"——")</f>
        <v>——</v>
      </c>
      <c r="B18" s="4683"/>
      <c r="C18" s="4683"/>
      <c r="D18" s="4683"/>
    </row>
    <row r="19" spans="1:4" ht="46.5" customHeight="1">
      <c r="A19" s="46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83"/>
      <c r="C19" s="4683"/>
      <c r="D19" s="4683"/>
    </row>
    <row r="20" spans="1:4" ht="57.75" customHeight="1">
      <c r="A20" s="46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3"/>
      <c r="C20" s="4683"/>
      <c r="D20" s="4683"/>
    </row>
    <row r="21" spans="1:4" ht="57.75" customHeight="1">
      <c r="A21" s="46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7"/>
      <c r="C21" s="4687"/>
      <c r="D21" s="4687"/>
    </row>
    <row r="22" spans="1:4" ht="18.75" customHeight="1">
      <c r="A22" s="4688" t="s">
        <v>929</v>
      </c>
      <c r="B22" s="4688"/>
      <c r="C22" s="4688"/>
      <c r="D22" s="4688"/>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85">
        <v>42551</v>
      </c>
      <c r="D31" s="468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94" t="s">
        <v>940</v>
      </c>
      <c r="B15" s="4689" t="s">
        <v>107</v>
      </c>
      <c r="C15" s="4690"/>
    </row>
    <row r="16" spans="1:7" ht="14.4">
      <c r="A16" s="4695"/>
      <c r="B16" s="4689" t="s">
        <v>40</v>
      </c>
      <c r="C16" s="4690"/>
    </row>
    <row r="17" spans="1:3" ht="14.4">
      <c r="A17" s="4695"/>
      <c r="B17" s="4692" t="s">
        <v>941</v>
      </c>
      <c r="C17" s="1138" t="s">
        <v>940</v>
      </c>
    </row>
    <row r="18" spans="1:3" ht="14.4">
      <c r="A18" s="4695"/>
      <c r="B18" s="4692"/>
      <c r="C18" s="1138" t="s">
        <v>942</v>
      </c>
    </row>
    <row r="19" spans="1:3" ht="14.4">
      <c r="A19" s="4695"/>
      <c r="B19" s="4692"/>
      <c r="C19" s="1138" t="s">
        <v>943</v>
      </c>
    </row>
    <row r="20" spans="1:3" ht="14.4">
      <c r="A20" s="4696"/>
      <c r="B20" s="4691" t="s">
        <v>944</v>
      </c>
      <c r="C20" s="4690"/>
    </row>
    <row r="21" spans="1:3" ht="14.4">
      <c r="A21" s="1139" t="s">
        <v>945</v>
      </c>
      <c r="B21" s="1140"/>
      <c r="C21" s="1141"/>
    </row>
    <row r="22" spans="1:3" ht="14.4">
      <c r="A22" s="4693" t="s">
        <v>946</v>
      </c>
      <c r="B22" s="4691" t="s">
        <v>947</v>
      </c>
      <c r="C22" s="4690"/>
    </row>
    <row r="23" spans="1:3" ht="14.4">
      <c r="A23" s="4693"/>
      <c r="B23" s="4691" t="s">
        <v>948</v>
      </c>
      <c r="C23" s="4690"/>
    </row>
    <row r="24" spans="1:3" ht="14.4">
      <c r="A24" s="4693"/>
      <c r="B24" s="4691" t="s">
        <v>949</v>
      </c>
      <c r="C24" s="4690"/>
    </row>
    <row r="25" spans="1:3" ht="14.4">
      <c r="A25" s="4693"/>
      <c r="B25" s="4692" t="s">
        <v>950</v>
      </c>
      <c r="C25" s="1138" t="s">
        <v>951</v>
      </c>
    </row>
    <row r="26" spans="1:3" ht="14.4">
      <c r="A26" s="4693"/>
      <c r="B26" s="4692"/>
      <c r="C26" s="1138" t="s">
        <v>952</v>
      </c>
    </row>
    <row r="27" spans="1:3" ht="14.4">
      <c r="A27" s="4693"/>
      <c r="B27" s="4692"/>
      <c r="C27" s="1138" t="s">
        <v>953</v>
      </c>
    </row>
    <row r="28" spans="1:3" ht="14.4">
      <c r="A28" s="4693"/>
      <c r="B28" s="4692"/>
      <c r="C28" s="1138" t="s">
        <v>954</v>
      </c>
    </row>
    <row r="29" spans="1:3" ht="14.4">
      <c r="A29" s="4693"/>
      <c r="B29" s="4692"/>
      <c r="C29" s="1138" t="s">
        <v>955</v>
      </c>
    </row>
    <row r="30" spans="1:3" ht="14.4">
      <c r="A30" s="4693"/>
      <c r="B30" s="4692"/>
      <c r="C30" s="1138" t="s">
        <v>956</v>
      </c>
    </row>
    <row r="31" spans="1:3" ht="14.4">
      <c r="A31" s="4693"/>
      <c r="B31" s="4692"/>
      <c r="C31" s="1138" t="s">
        <v>957</v>
      </c>
    </row>
    <row r="32" spans="1:3" ht="14.4">
      <c r="A32" s="4693"/>
      <c r="B32" s="4692"/>
      <c r="C32" s="1138" t="s">
        <v>958</v>
      </c>
    </row>
    <row r="33" spans="1:3" ht="14.4">
      <c r="A33" s="4693"/>
      <c r="B33" s="4692"/>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2042</v>
      </c>
      <c r="B2" s="1833">
        <f ca="1">TODAY()</f>
        <v>46090</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2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2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2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2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2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2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2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2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2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2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2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2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23"/>
      <c r="D16" s="1839" t="str">
        <f>A16&amp;"（注册号："&amp;B16&amp;"）"</f>
        <v>赵雯（注册号：1120240051）</v>
      </c>
      <c r="E16" s="1840"/>
      <c r="F16" s="928"/>
      <c r="G16" s="928"/>
      <c r="H16" s="1843" t="str">
        <f t="shared" si="1"/>
        <v>（注册号：）</v>
      </c>
    </row>
    <row r="17" spans="1:8" ht="24" customHeight="1">
      <c r="A17" s="4697" t="s">
        <v>2063</v>
      </c>
      <c r="B17" s="4697"/>
      <c r="C17" s="4697"/>
      <c r="D17" s="4697"/>
      <c r="E17" s="4697"/>
      <c r="F17" s="4697"/>
      <c r="G17" s="4697"/>
      <c r="H17" s="4697"/>
    </row>
    <row r="18" spans="1:8" ht="24" customHeight="1">
      <c r="A18" s="4698" t="s">
        <v>2064</v>
      </c>
      <c r="B18" s="4698"/>
      <c r="C18" s="4698"/>
      <c r="D18" s="1837"/>
      <c r="E18" s="4699" t="s">
        <v>2065</v>
      </c>
      <c r="F18" s="4698"/>
      <c r="G18" s="4698"/>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55" priority="53">
      <formula>AND($C4-TODAY()&lt;30,TODAY()&lt;$C4)</formula>
    </cfRule>
  </conditionalFormatting>
  <conditionalFormatting sqref="C20:D20">
    <cfRule type="expression" dxfId="254" priority="52">
      <formula>AND($C20-TODAY()&lt;30,TODAY()&lt;$C20)</formula>
    </cfRule>
  </conditionalFormatting>
  <conditionalFormatting sqref="C20:D20 G4 C4:D5 C13:D13">
    <cfRule type="cellIs" dxfId="253" priority="54" stopIfTrue="1" operator="lessThan">
      <formula>$B$2</formula>
    </cfRule>
  </conditionalFormatting>
  <conditionalFormatting sqref="G5 G7 G9">
    <cfRule type="cellIs" dxfId="252" priority="51" stopIfTrue="1" operator="lessThan">
      <formula>$B$2</formula>
    </cfRule>
  </conditionalFormatting>
  <conditionalFormatting sqref="C6:D6 D14 D16">
    <cfRule type="expression" dxfId="251" priority="49">
      <formula>AND($C6-TODAY()&lt;30,TODAY()&lt;$C6)</formula>
    </cfRule>
  </conditionalFormatting>
  <conditionalFormatting sqref="G6 G8 G10 C6:D6 D7:D12 D14 D16">
    <cfRule type="cellIs" dxfId="250" priority="50" stopIfTrue="1" operator="lessThan">
      <formula>$B$2</formula>
    </cfRule>
  </conditionalFormatting>
  <conditionalFormatting sqref="D12">
    <cfRule type="expression" dxfId="249" priority="47">
      <formula>AND($C12-TODAY()&lt;30,TODAY()&lt;$C12)</formula>
    </cfRule>
  </conditionalFormatting>
  <conditionalFormatting sqref="D12">
    <cfRule type="cellIs" dxfId="248" priority="48" stopIfTrue="1" operator="lessThan">
      <formula>$B$2</formula>
    </cfRule>
  </conditionalFormatting>
  <conditionalFormatting sqref="C13:D13">
    <cfRule type="expression" dxfId="247" priority="45">
      <formula>AND($C13-TODAY()&lt;30,TODAY()&lt;$C13)</formula>
    </cfRule>
  </conditionalFormatting>
  <conditionalFormatting sqref="C13:D13">
    <cfRule type="cellIs" dxfId="246" priority="46" stopIfTrue="1" operator="lessThan">
      <formula>$B$2</formula>
    </cfRule>
  </conditionalFormatting>
  <conditionalFormatting sqref="D14">
    <cfRule type="expression" dxfId="245" priority="43">
      <formula>AND($C14-TODAY()&lt;30,TODAY()&lt;$C14)</formula>
    </cfRule>
  </conditionalFormatting>
  <conditionalFormatting sqref="D14">
    <cfRule type="cellIs" dxfId="244" priority="44" stopIfTrue="1" operator="lessThan">
      <formula>$B$2</formula>
    </cfRule>
  </conditionalFormatting>
  <conditionalFormatting sqref="G13">
    <cfRule type="cellIs" dxfId="243" priority="42" stopIfTrue="1" operator="lessThan">
      <formula>$B$2</formula>
    </cfRule>
  </conditionalFormatting>
  <conditionalFormatting sqref="B4:B11 F4:F11 B13 F13:F14">
    <cfRule type="cellIs" dxfId="242" priority="41" stopIfTrue="1" operator="equal">
      <formula>"已过期"</formula>
    </cfRule>
  </conditionalFormatting>
  <conditionalFormatting sqref="C7">
    <cfRule type="cellIs" dxfId="241" priority="38" stopIfTrue="1" operator="lessThan">
      <formula>$B$2</formula>
    </cfRule>
  </conditionalFormatting>
  <conditionalFormatting sqref="C7">
    <cfRule type="expression" dxfId="240" priority="37">
      <formula>AND($C7-TODAY()&lt;30,TODAY()&lt;$C7)</formula>
    </cfRule>
  </conditionalFormatting>
  <conditionalFormatting sqref="C8">
    <cfRule type="expression" dxfId="239" priority="35">
      <formula>AND($C8-TODAY()&lt;30,TODAY()&lt;$C8)</formula>
    </cfRule>
  </conditionalFormatting>
  <conditionalFormatting sqref="C8">
    <cfRule type="cellIs" dxfId="238" priority="36" stopIfTrue="1" operator="lessThan">
      <formula>$B$2</formula>
    </cfRule>
  </conditionalFormatting>
  <conditionalFormatting sqref="C11">
    <cfRule type="expression" dxfId="237" priority="33">
      <formula>AND($C11-TODAY()&lt;30,TODAY()&lt;$C11)</formula>
    </cfRule>
  </conditionalFormatting>
  <conditionalFormatting sqref="C11">
    <cfRule type="cellIs" dxfId="236" priority="34"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G11">
    <cfRule type="cellIs" dxfId="233" priority="30"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2">
    <cfRule type="cellIs" dxfId="230" priority="27" stopIfTrue="1" operator="lessThan">
      <formula>$B$2</formula>
    </cfRule>
  </conditionalFormatting>
  <conditionalFormatting sqref="C12">
    <cfRule type="expression" dxfId="229" priority="25">
      <formula>AND($C12-TODAY()&lt;30,TODAY()&lt;$C12)</formula>
    </cfRule>
  </conditionalFormatting>
  <conditionalFormatting sqref="C12">
    <cfRule type="cellIs" dxfId="228" priority="26" stopIfTrue="1" operator="lessThan">
      <formula>$B$2</formula>
    </cfRule>
  </conditionalFormatting>
  <conditionalFormatting sqref="B12">
    <cfRule type="cellIs" dxfId="227" priority="24" stopIfTrue="1" operator="equal">
      <formula>"已过期"</formula>
    </cfRule>
  </conditionalFormatting>
  <conditionalFormatting sqref="C9:C10">
    <cfRule type="expression" dxfId="226" priority="22">
      <formula>AND($C9-TODAY()&lt;30,TODAY()&lt;$C9)</formula>
    </cfRule>
  </conditionalFormatting>
  <conditionalFormatting sqref="C9:C10">
    <cfRule type="cellIs" dxfId="225" priority="23" stopIfTrue="1" operator="lessThan">
      <formula>$B$2</formula>
    </cfRule>
  </conditionalFormatting>
  <conditionalFormatting sqref="G21">
    <cfRule type="expression" dxfId="224" priority="20" stopIfTrue="1">
      <formula>AND(#REF!-TODAY()&lt;30,TODAY()&lt;#REF!)</formula>
    </cfRule>
  </conditionalFormatting>
  <conditionalFormatting sqref="G21">
    <cfRule type="cellIs" dxfId="223" priority="21" stopIfTrue="1" operator="lessThan">
      <formula>$B$2</formula>
    </cfRule>
  </conditionalFormatting>
  <conditionalFormatting sqref="C14">
    <cfRule type="expression" dxfId="222" priority="18">
      <formula>AND($C14-TODAY()&lt;30,TODAY()&lt;$C14)</formula>
    </cfRule>
  </conditionalFormatting>
  <conditionalFormatting sqref="C14">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B14">
    <cfRule type="cellIs" dxfId="218" priority="15" stopIfTrue="1" operator="equal">
      <formula>"已过期"</formula>
    </cfRule>
  </conditionalFormatting>
  <conditionalFormatting sqref="G14">
    <cfRule type="cellIs" dxfId="217" priority="14" stopIfTrue="1" operator="lessThan">
      <formula>$B$2</formula>
    </cfRule>
  </conditionalFormatting>
  <conditionalFormatting sqref="D15">
    <cfRule type="expression" dxfId="216" priority="12">
      <formula>AND($C15-TODAY()&lt;30,TODAY()&lt;$C15)</formula>
    </cfRule>
  </conditionalFormatting>
  <conditionalFormatting sqref="D15">
    <cfRule type="cellIs" dxfId="215" priority="13"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F15">
    <cfRule type="cellIs" dxfId="212" priority="9" stopIfTrue="1" operator="equal">
      <formula>"已过期"</formula>
    </cfRule>
  </conditionalFormatting>
  <conditionalFormatting sqref="C15">
    <cfRule type="expression" dxfId="211" priority="7">
      <formula>AND($C15-TODAY()&lt;30,TODAY()&lt;$C15)</formula>
    </cfRule>
  </conditionalFormatting>
  <conditionalFormatting sqref="C15">
    <cfRule type="cellIs" dxfId="210" priority="8" stopIfTrue="1" operator="lessThan">
      <formula>$B$2</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B15">
    <cfRule type="cellIs" dxfId="207" priority="4" stopIfTrue="1" operator="equal">
      <formula>"已过期"</formula>
    </cfRule>
  </conditionalFormatting>
  <conditionalFormatting sqref="G15">
    <cfRule type="cellIs" dxfId="206" priority="3" stopIfTrue="1" operator="lessThan">
      <formula>$B$2</formula>
    </cfRule>
  </conditionalFormatting>
  <conditionalFormatting sqref="G20">
    <cfRule type="expression" dxfId="205" priority="1" stopIfTrue="1">
      <formula>AND(#REF!-TODAY()&lt;30,TODAY()&lt;#REF!)</formula>
    </cfRule>
  </conditionalFormatting>
  <conditionalFormatting sqref="G20">
    <cfRule type="cellIs" dxfId="20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Sheet1</vt:lpstr>
      <vt:lpstr>比较法-租金</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2026-03-09T03:26:11Z</dcterms:modified>
</cp:coreProperties>
</file>