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
    </mc:Choice>
  </mc:AlternateContent>
  <bookViews>
    <workbookView xWindow="14328" yWindow="96" windowWidth="14388" windowHeight="12372"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Sheet2" sheetId="86" r:id="rId30"/>
    <sheet name="比较法-租金"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30" hidden="1">'比较法-租金'!$A$1:$L$49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30">'比较法-租金'!$A$1:$K$54,'比较法-租金'!$A$57:$M$131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calcCompleted="0"/>
</workbook>
</file>

<file path=xl/calcChain.xml><?xml version="1.0" encoding="utf-8"?>
<calcChain xmlns="http://schemas.openxmlformats.org/spreadsheetml/2006/main">
  <c r="G44" i="85" l="1"/>
  <c r="S59" i="85"/>
  <c r="Q59" i="85" l="1"/>
  <c r="P59" i="85"/>
  <c r="N59" i="85"/>
  <c r="M59" i="85"/>
  <c r="J59" i="85"/>
  <c r="G59" i="85"/>
  <c r="B14" i="74" l="1"/>
  <c r="N25" i="1" l="1"/>
  <c r="D90" i="85"/>
  <c r="C90" i="85"/>
  <c r="G33" i="85" l="1"/>
  <c r="E33" i="85"/>
  <c r="C33" i="85"/>
  <c r="F128" i="84"/>
  <c r="G54" i="85" s="1"/>
  <c r="H54" i="85" s="1"/>
  <c r="G47" i="85"/>
  <c r="E47" i="85"/>
  <c r="Q60" i="85"/>
  <c r="N60" i="85"/>
  <c r="K60" i="85"/>
  <c r="H60" i="85"/>
  <c r="E60" i="85"/>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W45" i="85" l="1"/>
  <c r="AA27" i="85"/>
  <c r="W8" i="85"/>
  <c r="U8" i="85"/>
  <c r="S15" i="85"/>
  <c r="U10" i="85"/>
  <c r="W15" i="85"/>
  <c r="W19"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U42" i="85"/>
  <c r="W43" i="85"/>
  <c r="S45" i="85"/>
  <c r="U46" i="85"/>
  <c r="V47" i="85"/>
  <c r="K141" i="85"/>
  <c r="S23" i="85"/>
  <c r="U25" i="85"/>
  <c r="W26" i="85"/>
  <c r="U29" i="85"/>
  <c r="W30" i="85"/>
  <c r="S32" i="85"/>
  <c r="U33" i="85"/>
  <c r="W34" i="85"/>
  <c r="S36" i="85"/>
  <c r="W38" i="85"/>
  <c r="S40" i="85"/>
  <c r="U41" i="85"/>
  <c r="W42" i="85"/>
  <c r="S44" i="85"/>
  <c r="U45" i="85"/>
  <c r="W46" i="85"/>
  <c r="D33" i="43"/>
  <c r="D3" i="4"/>
  <c r="H113" i="85" l="1"/>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I113" i="85"/>
  <c r="J113" i="85" s="1"/>
  <c r="K113" i="85" s="1"/>
  <c r="L113" i="85" s="1"/>
  <c r="M113" i="85" s="1"/>
  <c r="J37" i="85"/>
  <c r="G110" i="34"/>
  <c r="H110" i="34"/>
  <c r="I110" i="34"/>
  <c r="J110" i="34"/>
  <c r="K110" i="34"/>
  <c r="G111" i="21"/>
  <c r="H111" i="21"/>
  <c r="I111" i="21"/>
  <c r="J111" i="21"/>
  <c r="K111" i="21"/>
  <c r="AB37" i="85" l="1"/>
  <c r="W37" i="85"/>
  <c r="AC37"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D34" i="9"/>
  <c r="F7" i="73"/>
  <c r="F3" i="73"/>
  <c r="M22" i="67"/>
  <c r="F7" i="15"/>
  <c r="F7" i="67"/>
  <c r="M31" i="15"/>
  <c r="L56" i="15"/>
  <c r="E10" i="76"/>
  <c r="F36" i="67"/>
  <c r="M8" i="67"/>
  <c r="M24" i="67"/>
  <c r="D35" i="9"/>
  <c r="M6" i="15"/>
  <c r="F43" i="67"/>
  <c r="F13" i="67"/>
  <c r="F20" i="31"/>
  <c r="AO13" i="1"/>
  <c r="F22" i="15"/>
  <c r="L47" i="67"/>
  <c r="B10" i="76"/>
  <c r="E8" i="76"/>
  <c r="F38" i="15"/>
  <c r="F26" i="67"/>
  <c r="B7" i="76"/>
  <c r="E9" i="76"/>
  <c r="M23" i="67"/>
  <c r="E12" i="76"/>
  <c r="F38" i="67"/>
  <c r="E7" i="76"/>
  <c r="B9" i="76"/>
  <c r="B8" i="76"/>
  <c r="F40" i="67"/>
  <c r="M9" i="67"/>
  <c r="M29" i="67"/>
  <c r="B11" i="76"/>
  <c r="M28" i="67"/>
  <c r="E2" i="69"/>
  <c r="F8" i="15"/>
  <c r="M24" i="15"/>
  <c r="M6" i="67"/>
  <c r="F26" i="15"/>
  <c r="B12" i="76"/>
  <c r="F6" i="67"/>
  <c r="F9" i="67"/>
  <c r="B13" i="76"/>
  <c r="F8" i="67"/>
  <c r="F6" i="15"/>
  <c r="F6" i="73"/>
  <c r="M36" i="15"/>
  <c r="F16" i="67"/>
  <c r="D6" i="73"/>
  <c r="M26" i="67"/>
  <c r="M22" i="15"/>
  <c r="F5" i="73"/>
  <c r="C88" i="15"/>
  <c r="C76" i="67"/>
  <c r="M30" i="15"/>
  <c r="J15" i="67"/>
  <c r="F30" i="15"/>
  <c r="F37" i="67"/>
  <c r="E11" i="76"/>
  <c r="F24" i="15"/>
  <c r="M8" i="15"/>
  <c r="M28" i="15"/>
  <c r="E13" i="76"/>
  <c r="F42" i="67"/>
  <c r="F4" i="73"/>
  <c r="C7" i="36" l="1"/>
  <c r="C46" i="36" s="1"/>
  <c r="D46" i="36" s="1"/>
  <c r="E46" i="36" s="1"/>
  <c r="F46" i="36" s="1"/>
  <c r="G46" i="36" s="1"/>
  <c r="H46" i="36" s="1"/>
  <c r="I46" i="36" s="1"/>
  <c r="C7" i="85"/>
  <c r="C58" i="85" s="1"/>
  <c r="A24" i="5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M26" i="81"/>
  <c r="M28" i="81"/>
  <c r="F9" i="15"/>
  <c r="M30" i="81"/>
  <c r="F48" i="15"/>
  <c r="M6" i="81"/>
  <c r="M24" i="81"/>
  <c r="D4" i="73"/>
  <c r="M31" i="81"/>
  <c r="F22" i="81"/>
  <c r="D3" i="73"/>
  <c r="C38" i="15"/>
  <c r="L48" i="67"/>
  <c r="F9" i="81"/>
  <c r="F28" i="81"/>
  <c r="F38" i="81"/>
  <c r="C16" i="67"/>
  <c r="D15" i="80"/>
  <c r="M36" i="81"/>
  <c r="M26" i="15"/>
  <c r="M9" i="15"/>
  <c r="M8" i="81"/>
  <c r="F8" i="81"/>
  <c r="F32" i="15"/>
  <c r="F48" i="81"/>
  <c r="F52" i="81"/>
  <c r="D7" i="73"/>
  <c r="F28" i="15"/>
  <c r="L57" i="81"/>
  <c r="F24" i="81"/>
  <c r="L57" i="15"/>
  <c r="F7" i="81"/>
  <c r="L56" i="81"/>
  <c r="M9" i="81"/>
  <c r="F26" i="81"/>
  <c r="F30" i="81"/>
  <c r="M22" i="81"/>
  <c r="D5" i="73"/>
  <c r="F32" i="81"/>
  <c r="F52" i="15"/>
  <c r="C88" i="81"/>
  <c r="D58" i="85" l="1"/>
  <c r="E58" i="85" s="1"/>
  <c r="F58" i="85" s="1"/>
  <c r="G58" i="85" s="1"/>
  <c r="H58" i="85" s="1"/>
  <c r="I58" i="85" s="1"/>
  <c r="J58" i="85" s="1"/>
  <c r="K58" i="85" s="1"/>
  <c r="L58" i="85" s="1"/>
  <c r="M58" i="85" s="1"/>
  <c r="N58" i="85" s="1"/>
  <c r="O58" i="85" s="1"/>
  <c r="P58" i="85" s="1"/>
  <c r="Q58" i="85" s="1"/>
  <c r="J7" i="85"/>
  <c r="H7" i="85"/>
  <c r="F7" i="85"/>
  <c r="S37" i="2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C38" i="81"/>
  <c r="G1" i="73"/>
  <c r="F27" i="80"/>
  <c r="U7" i="85" l="1"/>
  <c r="AB7" i="85"/>
  <c r="T48" i="85" s="1"/>
  <c r="G48" i="85" s="1"/>
  <c r="S7" i="36"/>
  <c r="S7" i="85"/>
  <c r="AA7" i="85"/>
  <c r="R48" i="85" s="1"/>
  <c r="AC7" i="85"/>
  <c r="V48" i="85" s="1"/>
  <c r="I48" i="85" s="1"/>
  <c r="W7" i="85"/>
  <c r="W7" i="37"/>
  <c r="U37" i="2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C10" i="80"/>
  <c r="F29" i="15"/>
  <c r="M29" i="81"/>
  <c r="M29" i="15"/>
  <c r="M27" i="67"/>
  <c r="F41" i="67"/>
  <c r="I52" i="85" l="1"/>
  <c r="J52" i="85" s="1"/>
  <c r="G53" i="85"/>
  <c r="H53" i="85" s="1"/>
  <c r="G52" i="85"/>
  <c r="H52" i="85" s="1"/>
  <c r="E48" i="85"/>
  <c r="E52" i="85" s="1"/>
  <c r="F52" i="85" s="1"/>
  <c r="R49" i="85"/>
  <c r="W37" i="21"/>
  <c r="AC37" i="21"/>
  <c r="AA12" i="40"/>
  <c r="K15" i="1"/>
  <c r="K16" i="1" s="1"/>
  <c r="E30" i="6"/>
  <c r="E31" i="6" s="1"/>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36" i="81"/>
  <c r="C14" i="67"/>
  <c r="C39" i="81"/>
  <c r="C17" i="67"/>
  <c r="C39" i="15"/>
  <c r="D16" i="80"/>
  <c r="F81" i="81" l="1"/>
  <c r="C48" i="85"/>
  <c r="C49" i="85"/>
  <c r="D2" i="85" s="1"/>
  <c r="B2" i="85" s="1"/>
  <c r="B3" i="85" s="1"/>
  <c r="E53" i="85"/>
  <c r="F53" i="85" s="1"/>
  <c r="E54" i="34"/>
  <c r="F54" i="34" s="1"/>
  <c r="I53" i="85"/>
  <c r="J53" i="85" s="1"/>
  <c r="C16" i="80"/>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F10" i="80"/>
  <c r="C36" i="15"/>
  <c r="E6" i="76"/>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35" i="67"/>
  <c r="M21" i="15"/>
  <c r="F21" i="81"/>
  <c r="F21" i="15"/>
  <c r="M21"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58" i="80" l="1"/>
  <c r="C32" i="80"/>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C20" i="9"/>
  <c r="F2" i="36"/>
  <c r="F2" i="35"/>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D22" i="9"/>
  <c r="G19" i="9"/>
  <c r="F67" i="39"/>
  <c r="B2" i="39" s="1"/>
  <c r="C32" i="15"/>
  <c r="C55" i="15"/>
  <c r="D6" i="71"/>
  <c r="C5" i="71"/>
  <c r="D5" i="71" s="1"/>
  <c r="M24" i="43" s="1"/>
  <c r="C44" i="40"/>
  <c r="C45" i="40"/>
  <c r="E49" i="40"/>
  <c r="F49" i="40" s="1"/>
  <c r="E48" i="40"/>
  <c r="F48" i="40" s="1"/>
  <c r="I49" i="40"/>
  <c r="J49" i="40" s="1"/>
  <c r="G22" i="9" l="1"/>
  <c r="D14" i="74"/>
  <c r="C32" i="9"/>
  <c r="N119" i="9" s="1"/>
  <c r="H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5" i="15"/>
  <c r="C94" i="15" s="1"/>
  <c r="F14" i="74"/>
  <c r="B5" i="74"/>
  <c r="AO8" i="1"/>
  <c r="AO9" i="1"/>
  <c r="AO6"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<sst xmlns="http://schemas.openxmlformats.org/spreadsheetml/2006/main" count="9565" uniqueCount="4146">
  <si>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</si>
  <si>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</si>
  <si>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</si>
  <si>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</si>
  <si>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</si>
  <si>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</si>
  <si>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</si>
  <si>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</si>
  <si>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</si>
  <si>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</si>
  <si>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</si>
  <si>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</si>
  <si>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</si>
  <si>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</si>
  <si>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</si>
  <si>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</si>
  <si>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</si>
  <si>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</si>
  <si>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</si>
  <si>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</si>
  <si>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</si>
  <si>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</si>
  <si>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</si>
  <si>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</si>
  <si>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</si>
  <si>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</si>
  <si>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</si>
  <si>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</si>
  <si>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</si>
  <si>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</si>
  <si>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</si>
  <si>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</si>
  <si>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</si>
  <si>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</si>
  <si>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</si>
  <si>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</si>
  <si>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</si>
  <si>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</si>
  <si>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</si>
  <si>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</si>
  <si>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</si>
  <si>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</si>
  <si>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</si>
  <si>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</si>
  <si>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</si>
  <si>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</si>
  <si>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</si>
  <si>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</si>
  <si>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</si>
  <si>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</si>
  <si>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</si>
  <si>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</si>
  <si>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</si>
  <si>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</si>
  <si>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</si>
  <si>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</si>
  <si>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</si>
  <si>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</si>
  <si>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</si>
  <si>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</si>
  <si>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</si>
  <si>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</si>
  <si>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</si>
  <si>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</si>
  <si>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</si>
  <si>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</si>
  <si>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</si>
  <si>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</si>
  <si>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</si>
  <si>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</si>
  <si>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</si>
  <si>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</si>
  <si>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</si>
  <si>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</si>
  <si>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</si>
  <si>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</si>
  <si>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</si>
  <si>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</si>
  <si>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</si>
  <si>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</si>
  <si>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</si>
  <si>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</si>
  <si>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</si>
  <si>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</si>
  <si>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</si>
  <si>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</si>
  <si>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</si>
  <si>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</si>
  <si>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</si>
  <si>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</si>
  <si>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</si>
  <si>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</si>
  <si>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</si>
  <si>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</si>
  <si>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</si>
  <si>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</si>
  <si>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</si>
  <si>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</si>
  <si>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</si>
  <si>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</si>
  <si>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</si>
  <si>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</si>
  <si>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</si>
  <si>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</si>
  <si>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</si>
  <si>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</si>
  <si>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</si>
  <si>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</si>
  <si>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</si>
  <si>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</si>
  <si>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</si>
  <si>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</si>
  <si>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</si>
  <si>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</si>
  <si>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</si>
  <si>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</si>
  <si>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</si>
  <si>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</si>
  <si>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</si>
  <si>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</si>
  <si>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</si>
  <si>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</si>
  <si>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</si>
  <si>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</si>
  <si>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</si>
  <si>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</si>
  <si>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</si>
  <si>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</si>
  <si>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</si>
  <si>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</si>
  <si>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</si>
  <si>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</si>
  <si>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</si>
  <si>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</si>
  <si>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</si>
  <si>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</si>
  <si>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</si>
  <si>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</si>
  <si>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</si>
  <si>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</si>
  <si>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</si>
  <si>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</si>
  <si>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</si>
  <si>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</si>
  <si>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</si>
  <si>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</si>
  <si>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</si>
  <si>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</si>
  <si>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</si>
  <si>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</si>
  <si>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</si>
  <si>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</si>
  <si>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</si>
  <si>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</si>
  <si>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</si>
  <si>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</si>
  <si>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</si>
  <si>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</si>
  <si>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</si>
  <si>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</si>
  <si>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</si>
  <si>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</si>
  <si>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</si>
  <si>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</si>
  <si>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</si>
  <si>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</si>
  <si>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</si>
  <si>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</si>
  <si>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</si>
  <si>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</si>
  <si>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</si>
  <si>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</si>
  <si>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</si>
  <si>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</si>
  <si>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</si>
  <si>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</si>
  <si>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</si>
  <si>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</si>
  <si>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</si>
  <si>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</si>
  <si>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</si>
  <si>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</si>
  <si>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</si>
  <si>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</si>
  <si>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</si>
  <si>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</si>
  <si>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</si>
  <si>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</si>
  <si>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</si>
  <si>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</si>
  <si>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</si>
  <si>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</si>
  <si>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</si>
  <si>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</si>
  <si>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</si>
  <si>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</si>
  <si>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</si>
  <si>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</si>
  <si>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</si>
  <si>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</si>
  <si>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</si>
  <si>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</si>
  <si>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</si>
  <si>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</si>
  <si>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</si>
  <si>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</si>
  <si>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</si>
  <si>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</si>
  <si>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</si>
  <si>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</si>
  <si>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</si>
  <si>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</si>
  <si>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</si>
  <si>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</si>
  <si>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</si>
  <si>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</si>
  <si>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</si>
  <si>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</si>
  <si>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</si>
  <si>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</si>
  <si>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</si>
  <si>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</si>
  <si>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</si>
  <si>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</si>
  <si>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</si>
  <si>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</si>
  <si>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</si>
  <si>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</si>
  <si>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</si>
  <si>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</si>
  <si>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</si>
  <si>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</si>
  <si>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</si>
  <si>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</si>
  <si>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</si>
  <si>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</si>
  <si>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</si>
  <si>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</si>
  <si>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</si>
  <si>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</si>
  <si>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</si>
  <si>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</si>
  <si>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</si>
  <si>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</si>
  <si>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</si>
  <si>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</si>
  <si>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</si>
  <si>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</si>
  <si>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</si>
  <si>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</si>
  <si>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</si>
  <si>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</si>
  <si>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</si>
  <si>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</si>
  <si>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</si>
  <si>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</si>
  <si>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</si>
  <si>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</si>
  <si>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</si>
  <si>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</si>
  <si>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</si>
  <si>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</si>
  <si>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</si>
  <si>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</si>
  <si>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</si>
  <si>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</si>
  <si>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</si>
  <si>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</si>
  <si>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</si>
  <si>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</si>
  <si>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</si>
  <si>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</si>
  <si>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</si>
  <si>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</si>
  <si>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</si>
  <si>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</si>
  <si>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</si>
  <si>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</si>
  <si>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</si>
  <si>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</si>
  <si>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</si>
  <si>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</si>
  <si>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</si>
  <si>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</si>
  <si>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</si>
  <si>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</si>
  <si>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</si>
  <si>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</si>
  <si>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</si>
  <si>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</si>
  <si>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</si>
  <si>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</si>
  <si>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</si>
  <si>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</si>
  <si>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</si>
  <si>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</si>
  <si>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</si>
  <si>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</si>
  <si>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</si>
  <si>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</si>
  <si>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</si>
  <si>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</si>
  <si>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</si>
  <si>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</si>
  <si>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</si>
  <si>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</si>
  <si>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</si>
  <si>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</si>
  <si>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</si>
  <si>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</si>
  <si>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</si>
  <si>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</si>
  <si>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</si>
  <si>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</si>
  <si>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</si>
  <si>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</si>
  <si>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</si>
  <si>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</si>
  <si>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</si>
  <si>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</si>
  <si>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</si>
  <si>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</si>
  <si>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</si>
  <si>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</si>
  <si>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</si>
  <si>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</si>
  <si>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</si>
  <si>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</si>
  <si>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</si>
  <si>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</si>
  <si>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</si>
  <si>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</si>
  <si>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</si>
  <si>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</si>
  <si>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</si>
  <si>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</si>
  <si>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</si>
  <si>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</si>
  <si>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</si>
  <si>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</si>
  <si>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</si>
  <si>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</si>
  <si>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</si>
  <si>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</si>
  <si>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</si>
  <si>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</si>
  <si>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</si>
  <si>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</si>
  <si>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</si>
  <si>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</si>
  <si>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</si>
  <si>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</si>
  <si>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</si>
  <si>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</si>
  <si>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</si>
  <si>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</si>
  <si>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</si>
  <si>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</si>
  <si>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</si>
  <si>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</si>
  <si>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</si>
  <si>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</si>
  <si>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</si>
  <si>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</si>
  <si>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</si>
  <si>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</si>
  <si>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</si>
  <si>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</si>
  <si>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</si>
  <si>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</si>
  <si>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</si>
  <si>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</si>
  <si>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</si>
  <si>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</si>
  <si>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</si>
  <si>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</si>
  <si>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</si>
  <si>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</si>
  <si>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</si>
  <si>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</si>
  <si>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</si>
  <si>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</si>
  <si>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</si>
  <si>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</si>
  <si>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</si>
  <si>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</si>
  <si>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</si>
  <si>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</si>
  <si>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</si>
  <si>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</si>
  <si>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</si>
  <si>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</si>
  <si>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</si>
  <si>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</si>
  <si>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</si>
  <si>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</si>
  <si>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</si>
  <si>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</si>
  <si>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</si>
  <si>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</si>
  <si>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</si>
  <si>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</si>
  <si>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</si>
  <si>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</si>
  <si>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</si>
  <si>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</si>
  <si>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</si>
  <si>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</si>
  <si>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</si>
  <si>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</si>
  <si>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</si>
  <si>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</si>
  <si>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</si>
  <si>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</si>
  <si>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</si>
  <si>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</si>
  <si>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</si>
  <si>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</si>
  <si>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</si>
  <si>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</si>
  <si>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</si>
  <si>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</si>
  <si>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</si>
  <si>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</si>
  <si>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</si>
  <si>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</si>
  <si>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</si>
  <si>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</si>
  <si>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</si>
  <si>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</si>
  <si>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</si>
  <si>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</si>
  <si>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</si>
  <si>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</si>
  <si>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</si>
  <si>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</si>
  <si>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</si>
  <si>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</si>
  <si>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</si>
  <si>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</si>
  <si>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</si>
  <si>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</si>
  <si>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</si>
  <si>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</si>
  <si>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</si>
  <si>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</si>
  <si>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</si>
  <si>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</si>
  <si>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</si>
  <si>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</si>
  <si>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</si>
  <si>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</si>
  <si>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</si>
  <si>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</si>
  <si>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</si>
  <si>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</si>
  <si>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</si>
  <si>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</si>
  <si>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</si>
  <si>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</si>
  <si>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</si>
  <si>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</si>
  <si>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</si>
  <si>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</si>
  <si>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</si>
  <si>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</si>
  <si>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</si>
  <si>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</si>
  <si>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</si>
  <si>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</si>
  <si>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</si>
  <si>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</si>
  <si>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</si>
  <si>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</si>
  <si>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</si>
  <si>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</si>
  <si>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</si>
  <si>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</si>
  <si>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</si>
  <si>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</si>
  <si>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</si>
  <si>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</si>
  <si>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</si>
  <si>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</si>
  <si>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</si>
  <si>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</si>
  <si>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</si>
  <si>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</si>
  <si>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</si>
  <si>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</si>
  <si>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</si>
  <si>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</si>
  <si>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</si>
  <si>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</si>
  <si>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</si>
  <si>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</si>
  <si>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</si>
  <si>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</si>
  <si>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</si>
  <si>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</si>
  <si>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</si>
  <si>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</si>
  <si>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</si>
  <si>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</si>
  <si>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</si>
  <si>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</si>
  <si>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</si>
  <si>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</si>
  <si>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</si>
  <si>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</si>
  <si>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</si>
  <si>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</si>
  <si>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</si>
  <si>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</si>
  <si>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</si>
  <si>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</si>
  <si>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</si>
  <si>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</si>
  <si>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</si>
  <si>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</si>
  <si>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</si>
  <si>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</si>
  <si>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</si>
  <si>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</si>
  <si>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</si>
  <si>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</si>
  <si>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</si>
  <si>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</si>
  <si>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</si>
  <si>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</si>
  <si>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</si>
  <si>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</si>
  <si>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</si>
  <si>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</si>
  <si>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</si>
  <si>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</si>
  <si>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</si>
  <si>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</si>
  <si>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</si>
  <si>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</si>
  <si>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</si>
  <si>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</si>
  <si>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</si>
  <si>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</si>
  <si>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</si>
  <si>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</si>
  <si>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</si>
  <si>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</si>
  <si>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</si>
  <si>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</si>
  <si>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</si>
  <si>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</si>
  <si>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</si>
  <si>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</si>
  <si>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</si>
  <si>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</si>
  <si>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</si>
  <si>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</si>
  <si>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</si>
  <si>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</si>
  <si>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</si>
  <si>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</si>
  <si>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</si>
  <si>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</si>
  <si>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</si>
  <si>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</si>
  <si>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</si>
  <si>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</si>
  <si>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</si>
  <si>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</si>
  <si>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</si>
  <si>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</si>
  <si>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</si>
  <si>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</si>
  <si>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</si>
  <si>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</si>
  <si>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</si>
  <si>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</si>
  <si>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</si>
  <si>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</si>
  <si>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</si>
  <si>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</si>
  <si>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</si>
  <si>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</si>
  <si>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</si>
  <si>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</si>
  <si>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</si>
  <si>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</si>
  <si>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</si>
  <si>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</si>
  <si>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</si>
  <si>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</si>
  <si>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</si>
  <si>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</si>
  <si>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</si>
  <si>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</si>
  <si>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</si>
  <si>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</si>
  <si>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</si>
  <si>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</si>
  <si>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</si>
  <si>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</si>
  <si>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</si>
  <si>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</si>
  <si>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</si>
  <si>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</si>
  <si>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</si>
  <si>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</si>
  <si>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</si>
  <si>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</si>
  <si>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</si>
  <si>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</si>
  <si>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</si>
  <si>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</si>
  <si>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</si>
  <si>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</si>
  <si>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</si>
  <si>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</si>
  <si>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</si>
  <si>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</si>
  <si>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</si>
  <si>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</si>
  <si>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</si>
  <si>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</si>
  <si>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</si>
  <si>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</si>
  <si>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</si>
  <si>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</si>
  <si>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</si>
  <si>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</si>
  <si>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</si>
  <si>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</si>
  <si>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</si>
  <si>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</si>
  <si>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</si>
  <si>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</si>
  <si>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</si>
  <si>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</si>
  <si>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</si>
  <si>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</si>
  <si>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</si>
  <si>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</si>
  <si>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</si>
  <si>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</si>
  <si>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</si>
  <si>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</si>
  <si>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</si>
  <si>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</si>
  <si>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</si>
  <si>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</si>
  <si>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</si>
  <si>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</si>
  <si>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</si>
  <si>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</si>
  <si>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</si>
  <si>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</si>
  <si>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</si>
  <si>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</si>
  <si>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</si>
  <si>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</si>
  <si>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</si>
  <si>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</si>
  <si>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</si>
  <si>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</si>
  <si>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</si>
  <si>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</si>
  <si>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</si>
  <si>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</si>
  <si>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</si>
  <si>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</si>
  <si>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</si>
  <si>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</si>
  <si>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</si>
  <si>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</si>
  <si>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</si>
  <si>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</si>
  <si>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</si>
  <si>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</si>
  <si>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</si>
  <si>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</si>
  <si>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</si>
  <si>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</si>
  <si>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</si>
  <si>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</si>
  <si>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</si>
  <si>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</si>
  <si>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</si>
  <si>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</si>
  <si>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</si>
  <si>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</si>
  <si>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</si>
  <si>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</si>
  <si>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</si>
  <si>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</si>
  <si>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</si>
  <si>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</si>
  <si>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</si>
  <si>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</si>
  <si>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</si>
  <si>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</si>
  <si>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</si>
  <si>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</si>
  <si>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</si>
  <si>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</si>
  <si>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</si>
  <si>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</si>
  <si>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</si>
  <si>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</si>
  <si>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</si>
  <si>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</si>
  <si>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</si>
  <si>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</si>
  <si>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</si>
  <si>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</si>
  <si>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</si>
  <si>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</si>
  <si>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</si>
  <si>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</si>
  <si>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</si>
  <si>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</si>
  <si>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</si>
  <si>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</si>
  <si>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</si>
  <si>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</si>
  <si>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</si>
  <si>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</si>
  <si>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</si>
  <si>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</si>
  <si>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</si>
  <si>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</si>
  <si>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</si>
  <si>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</si>
  <si>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</si>
  <si>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</si>
  <si>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</si>
  <si>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</si>
  <si>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</si>
  <si>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</si>
  <si>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</si>
  <si>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</si>
  <si>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</si>
  <si>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</si>
  <si>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</si>
  <si>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</si>
  <si>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</si>
  <si>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</si>
  <si>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</si>
  <si>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</si>
  <si>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</si>
  <si>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</si>
  <si>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</si>
  <si>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</si>
  <si>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</si>
  <si>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</si>
  <si>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</si>
  <si>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</si>
  <si>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</si>
  <si>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</si>
  <si>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</si>
  <si>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</si>
  <si>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</si>
  <si>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</si>
  <si>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</si>
  <si>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</si>
  <si>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</si>
  <si>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</si>
  <si>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</si>
  <si>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</si>
  <si>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</si>
  <si>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</si>
  <si>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</si>
  <si>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</si>
  <si>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</si>
  <si>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</si>
  <si>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</si>
  <si>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</si>
  <si>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</si>
  <si>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</si>
  <si>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</si>
  <si>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</si>
  <si>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</si>
  <si>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</si>
  <si>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</si>
  <si>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</si>
  <si>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</si>
  <si>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</si>
  <si>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</si>
  <si>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</si>
  <si>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</si>
  <si>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</si>
  <si>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</si>
  <si>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</si>
  <si>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</si>
  <si>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</si>
  <si>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</si>
  <si>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</si>
  <si>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</si>
  <si>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</si>
  <si>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</si>
  <si>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</si>
  <si>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</si>
  <si>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</si>
  <si>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</si>
  <si>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</si>
  <si>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</si>
  <si>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</si>
  <si>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</si>
  <si>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</si>
  <si>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</si>
  <si>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</si>
  <si>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</si>
  <si>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</si>
  <si>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</si>
  <si>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</si>
  <si>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</si>
  <si>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</si>
  <si>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</si>
  <si>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</si>
  <si>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</si>
  <si>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</si>
  <si>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</si>
  <si>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</si>
  <si>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</si>
  <si>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</si>
  <si>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</si>
  <si>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</si>
  <si>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</si>
  <si>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</si>
  <si>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</si>
  <si>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</si>
  <si>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</si>
  <si>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</si>
  <si>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</si>
  <si>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</si>
  <si>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</si>
  <si>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</si>
  <si>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</si>
  <si>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</si>
  <si>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</si>
  <si>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</si>
  <si>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</si>
  <si>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</si>
  <si>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</si>
  <si>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</si>
  <si>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</si>
  <si>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</si>
  <si>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</si>
  <si>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</si>
  <si>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</si>
  <si>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</si>
  <si>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</si>
  <si>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</si>
  <si>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</si>
  <si>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</si>
  <si>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</si>
  <si>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</si>
  <si>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</si>
  <si>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</si>
  <si>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</si>
  <si>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</si>
  <si>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</si>
  <si>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</si>
  <si>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</si>
  <si>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</si>
  <si>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</si>
  <si>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</si>
  <si>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</si>
  <si>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</si>
  <si>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</si>
  <si>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</si>
  <si>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</si>
  <si>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</si>
  <si>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</si>
  <si>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</si>
  <si>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</si>
  <si>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</si>
  <si>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</si>
  <si>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</si>
  <si>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</si>
  <si>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</si>
  <si>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</si>
  <si>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</si>
  <si>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</si>
  <si>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</si>
  <si>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</si>
  <si>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</si>
  <si>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</si>
  <si>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</si>
  <si>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</si>
  <si>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</si>
  <si>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</si>
  <si>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</si>
  <si>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</si>
  <si>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</si>
  <si>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</si>
  <si>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</si>
  <si>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</si>
  <si>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</si>
  <si>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</si>
  <si>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</si>
  <si>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</si>
  <si>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</si>
  <si>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</si>
  <si>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</si>
  <si>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</si>
  <si>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</si>
  <si>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</si>
  <si>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</si>
  <si>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</si>
  <si>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</si>
  <si>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</si>
  <si>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</si>
  <si>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</si>
  <si>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</si>
  <si>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</si>
  <si>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</si>
  <si>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</si>
  <si>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</si>
  <si>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</si>
  <si>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</si>
  <si>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</si>
  <si>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</si>
  <si>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</si>
  <si>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</si>
  <si>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</si>
  <si>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</si>
  <si>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</si>
  <si>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</si>
  <si>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</si>
  <si>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</si>
  <si>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</si>
  <si>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</si>
  <si>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</si>
  <si>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</si>
  <si>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</si>
  <si>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</si>
  <si>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</si>
  <si>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</si>
  <si>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</si>
  <si>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</si>
  <si>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</si>
  <si>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</si>
  <si>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</si>
  <si>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</si>
  <si>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</si>
  <si>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</si>
  <si>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</si>
  <si>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</si>
  <si>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</si>
  <si>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</si>
  <si>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</si>
  <si>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</si>
  <si>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</si>
  <si>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</si>
  <si>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</si>
  <si>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</si>
  <si>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</si>
  <si>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</si>
  <si>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</si>
  <si>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</si>
  <si>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</si>
  <si>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</si>
  <si>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</si>
  <si>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</si>
  <si>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</si>
  <si>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</si>
  <si>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</si>
  <si>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</si>
  <si>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</si>
  <si>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</si>
  <si>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</si>
  <si>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</si>
  <si>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</si>
  <si>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</si>
  <si>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</si>
  <si>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</si>
  <si>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</si>
  <si>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</si>
  <si>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</si>
  <si>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</si>
  <si>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</si>
  <si>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</si>
  <si>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</si>
  <si>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</si>
  <si>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</si>
  <si>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</si>
  <si>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</si>
  <si>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</si>
  <si>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</si>
  <si>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</si>
  <si>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</si>
  <si>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</si>
  <si>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</si>
  <si>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</si>
  <si>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</si>
  <si>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</si>
  <si>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</si>
  <si>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</si>
  <si>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</si>
  <si>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</si>
  <si>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</si>
  <si>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</si>
  <si>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</si>
  <si>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</si>
  <si>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</si>
  <si>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</si>
  <si>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</si>
  <si>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</si>
  <si>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</si>
  <si>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</si>
  <si>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</si>
  <si>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</si>
  <si>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</si>
  <si>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</si>
  <si>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</si>
  <si>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</si>
  <si>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</si>
  <si>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</si>
  <si>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</si>
  <si>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</si>
  <si>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</si>
  <si>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</si>
  <si>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</si>
  <si>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</si>
  <si>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</si>
  <si>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</si>
  <si>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</si>
  <si>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</si>
  <si>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</si>
  <si>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</si>
  <si>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</si>
  <si>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</si>
  <si>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</si>
  <si>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</si>
  <si>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</si>
  <si>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</si>
  <si>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</si>
  <si>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</si>
  <si>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</si>
  <si>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</si>
  <si>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</si>
  <si>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</si>
  <si>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</si>
  <si>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</si>
  <si>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</si>
  <si>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</si>
  <si>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</si>
  <si>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</si>
  <si>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</si>
  <si>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</si>
  <si>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</si>
  <si>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</si>
  <si>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</si>
  <si>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</si>
  <si>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</si>
  <si>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</si>
  <si>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</si>
  <si>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</si>
  <si>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</si>
  <si>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</si>
  <si>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</si>
  <si>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</si>
  <si>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</si>
  <si>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</si>
  <si>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</si>
  <si>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</si>
  <si>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</si>
  <si>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</si>
  <si>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</si>
  <si>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</si>
  <si>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</si>
  <si>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</si>
  <si>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</si>
  <si>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</si>
  <si>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</si>
  <si>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</si>
  <si>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</si>
  <si>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</si>
  <si>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</si>
  <si>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</si>
  <si>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</si>
  <si>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</si>
  <si>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</si>
  <si>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</si>
  <si>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</si>
  <si>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</si>
  <si>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</si>
  <si>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</si>
  <si>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</si>
  <si>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</si>
  <si>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</si>
  <si>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</si>
  <si>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</si>
  <si>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</si>
  <si>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</si>
  <si>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</si>
  <si>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</si>
  <si>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</si>
  <si>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</si>
  <si>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</si>
  <si>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</si>
  <si>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</si>
  <si>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</si>
  <si>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</si>
  <si>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</si>
  <si>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</si>
  <si>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</si>
  <si>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</si>
  <si>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</si>
  <si>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</si>
  <si>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</si>
  <si>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</si>
  <si>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</si>
  <si>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</si>
  <si>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</si>
  <si>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</si>
  <si>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</si>
  <si>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</si>
  <si>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</si>
  <si>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</si>
  <si>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</si>
  <si>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</si>
  <si>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</si>
  <si>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</si>
  <si>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</si>
  <si>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</si>
  <si>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</si>
  <si>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</si>
  <si>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</si>
  <si>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</si>
  <si>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</si>
  <si>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</si>
  <si>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</si>
  <si>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</si>
  <si>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</si>
  <si>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</si>
  <si>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</si>
  <si>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</si>
  <si>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</si>
  <si>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</si>
  <si>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</si>
  <si>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</si>
  <si>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</si>
  <si>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</si>
  <si>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</si>
  <si>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</si>
  <si>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</si>
  <si>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</si>
  <si>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</si>
  <si>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</si>
  <si>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</si>
  <si>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</si>
  <si>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</si>
  <si>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</si>
  <si>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</si>
  <si>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</si>
  <si>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</si>
  <si>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</si>
  <si>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</si>
  <si>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</si>
  <si>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</si>
  <si>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</si>
  <si>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</si>
  <si>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</si>
  <si>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</si>
  <si>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</si>
  <si>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</si>
  <si>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</si>
  <si>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</si>
  <si>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</si>
  <si>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</si>
  <si>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</si>
  <si>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</si>
  <si>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</si>
  <si>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</si>
  <si>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</si>
  <si>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</si>
  <si>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</si>
  <si>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</si>
  <si>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</si>
  <si>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</si>
  <si>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</si>
  <si>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</si>
  <si>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</si>
  <si>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</si>
  <si>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</si>
  <si>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</si>
  <si>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</si>
  <si>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</si>
  <si>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</si>
  <si>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</si>
  <si>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</si>
  <si>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</si>
  <si>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</si>
  <si>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</si>
  <si>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</si>
  <si>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</si>
  <si>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</si>
  <si>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</si>
  <si>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</si>
  <si>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</si>
  <si>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</si>
  <si>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</si>
  <si>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</si>
  <si>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</si>
  <si>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</si>
  <si>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</si>
  <si>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</si>
  <si>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</si>
  <si>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</si>
  <si>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</si>
  <si>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</si>
  <si>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</si>
  <si>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</si>
  <si>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</si>
  <si>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</si>
  <si>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</si>
  <si>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</si>
  <si>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</si>
  <si>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</si>
  <si>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</si>
  <si>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</si>
  <si>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</si>
  <si>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</si>
  <si>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</si>
  <si>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</si>
  <si>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</si>
  <si>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</si>
  <si>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</si>
  <si>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</si>
  <si>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</si>
  <si>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</si>
  <si>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</si>
  <si>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</si>
  <si>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</si>
  <si>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</si>
  <si>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</si>
  <si>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</si>
  <si>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</si>
  <si>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</si>
  <si>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</si>
  <si>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</si>
  <si>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</si>
  <si>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</si>
  <si>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</si>
  <si>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</si>
  <si>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</si>
  <si>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</si>
  <si>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</si>
  <si>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</si>
  <si>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</si>
  <si>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</si>
  <si>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</si>
  <si>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</si>
  <si>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</si>
  <si>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</si>
  <si>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</si>
  <si>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</si>
  <si>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</si>
  <si>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</si>
  <si>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</si>
  <si>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</si>
  <si>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</si>
  <si>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</si>
  <si>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</si>
  <si>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</si>
  <si>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</si>
  <si>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</si>
  <si>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</si>
  <si>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</si>
  <si>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</si>
  <si>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</si>
  <si>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</si>
  <si>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</si>
  <si>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</si>
  <si>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</si>
  <si>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</si>
  <si>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</si>
  <si>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</si>
  <si>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</si>
  <si>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</si>
  <si>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</si>
  <si>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</si>
  <si>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</si>
  <si>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</si>
  <si>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</si>
  <si>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</si>
  <si>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</si>
  <si>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</si>
  <si>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</si>
  <si>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</si>
  <si>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</si>
  <si>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</si>
  <si>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</si>
  <si>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</si>
  <si>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</si>
  <si>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</si>
  <si>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</si>
  <si>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</si>
  <si>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</si>
  <si>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</si>
  <si>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</si>
  <si>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</si>
  <si>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</si>
  <si>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</si>
  <si>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</si>
  <si>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</si>
  <si>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</si>
  <si>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</si>
  <si>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</si>
  <si>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</si>
  <si>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</si>
  <si>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</si>
  <si>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</si>
  <si>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</si>
  <si>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</si>
  <si>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</si>
  <si>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</si>
  <si>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</si>
  <si>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</si>
  <si>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</si>
  <si>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</si>
  <si>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</si>
  <si>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</si>
  <si>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</si>
  <si>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</si>
  <si>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</si>
  <si>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</si>
  <si>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</si>
  <si>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</si>
  <si>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</si>
  <si>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</si>
  <si>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</si>
  <si>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</si>
  <si>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</si>
  <si>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</si>
  <si>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</si>
  <si>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</si>
  <si>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</si>
  <si>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</si>
  <si>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</si>
  <si>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</si>
  <si>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</si>
  <si>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</si>
  <si>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</si>
  <si>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</si>
  <si>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</si>
  <si>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</si>
  <si>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</si>
  <si>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</si>
  <si>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</si>
  <si>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</si>
  <si>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</si>
  <si>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</si>
  <si>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</si>
  <si>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</si>
  <si>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</si>
  <si>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</si>
  <si>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</si>
  <si>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</si>
  <si>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</si>
  <si>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</si>
  <si>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</si>
  <si>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</si>
  <si>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</si>
  <si>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</si>
  <si>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</si>
  <si>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</si>
  <si>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</si>
  <si>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</si>
  <si>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</si>
  <si>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</si>
  <si>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</si>
  <si>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</si>
  <si>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</si>
  <si>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</si>
  <si>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</si>
  <si>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</si>
  <si>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</si>
  <si>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</si>
  <si>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</si>
  <si>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</si>
  <si>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</si>
  <si>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</si>
  <si>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</si>
  <si>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</si>
  <si>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</si>
  <si>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</si>
  <si>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</si>
  <si>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</si>
  <si>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</si>
  <si>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</si>
  <si>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</si>
  <si>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</si>
  <si>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</si>
  <si>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</si>
  <si>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</si>
  <si>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</si>
  <si>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</si>
  <si>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</si>
  <si>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</si>
  <si>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</si>
  <si>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</si>
  <si>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</si>
  <si>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</si>
  <si>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</si>
  <si>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</si>
  <si>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</si>
  <si>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</si>
  <si>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</si>
  <si>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</si>
  <si>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</si>
  <si>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</si>
  <si>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</si>
  <si>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</si>
  <si>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</si>
  <si>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</si>
  <si>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</si>
  <si>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</si>
  <si>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</si>
  <si>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</si>
  <si>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</si>
  <si>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</si>
  <si>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</si>
  <si>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</si>
  <si>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</si>
  <si>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</si>
  <si>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</si>
  <si>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</si>
  <si>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</si>
  <si>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</si>
  <si>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</si>
  <si>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</si>
  <si>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</si>
  <si>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</si>
  <si>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</si>
  <si>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</si>
  <si>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</si>
  <si>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</si>
  <si>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</si>
  <si>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</si>
  <si>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</si>
  <si>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</si>
  <si>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</si>
  <si>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</si>
  <si>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</si>
  <si>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</si>
  <si>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</si>
  <si>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</si>
  <si>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</si>
  <si>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</si>
  <si>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</si>
  <si>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</si>
  <si>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</si>
  <si>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</si>
  <si>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</si>
  <si>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</si>
  <si>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</si>
  <si>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</si>
  <si>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</si>
  <si>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</si>
  <si>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</si>
  <si>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</si>
  <si>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</si>
  <si>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</si>
  <si>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</si>
  <si>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</si>
  <si>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</si>
  <si>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</si>
  <si>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</si>
  <si>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</si>
  <si>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</si>
  <si>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</si>
  <si>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</si>
  <si>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</si>
  <si>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</si>
  <si>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</si>
  <si>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</si>
  <si>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</si>
  <si>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</si>
  <si>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</si>
  <si>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</si>
  <si>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</si>
  <si>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</si>
  <si>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</si>
  <si>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</si>
  <si>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</si>
  <si>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</si>
  <si>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</si>
  <si>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</si>
  <si>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</si>
  <si>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</si>
  <si>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</si>
  <si>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</si>
  <si>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</si>
  <si>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</si>
  <si>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</si>
  <si>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</si>
  <si>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</si>
  <si>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</si>
  <si>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</si>
  <si>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</si>
  <si>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</si>
  <si>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</si>
  <si>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</si>
  <si>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</si>
  <si>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</si>
  <si>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</si>
  <si>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</si>
  <si>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</si>
  <si>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</si>
  <si>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</si>
  <si>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</si>
  <si>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</si>
  <si>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</si>
  <si>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</si>
  <si>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</si>
  <si>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</si>
  <si>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</si>
  <si>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</si>
  <si>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</si>
  <si>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</si>
  <si>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</si>
  <si>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</si>
  <si>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</si>
  <si>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</si>
  <si>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</si>
  <si>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</si>
  <si>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</si>
  <si>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</si>
  <si>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</si>
  <si>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</si>
  <si>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</si>
  <si>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</si>
  <si>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</si>
  <si>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</si>
  <si>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</si>
  <si>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</si>
  <si>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</si>
  <si>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</si>
  <si>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</si>
  <si>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</si>
  <si>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</si>
  <si>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</si>
  <si>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</si>
  <si>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</si>
  <si>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</si>
  <si>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</si>
  <si>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</si>
  <si>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</si>
  <si>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</si>
  <si>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</si>
  <si>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</si>
  <si>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</si>
  <si>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</si>
  <si>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</si>
  <si>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</si>
  <si>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</si>
  <si>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</si>
  <si>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</si>
  <si>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</si>
  <si>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</si>
  <si>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</si>
  <si>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</si>
  <si>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</si>
  <si>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</si>
  <si>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</si>
  <si>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</si>
  <si>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</si>
  <si>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</si>
  <si>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</si>
  <si>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</si>
  <si>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</si>
  <si>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</si>
  <si>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</si>
  <si>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</si>
  <si>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</si>
  <si>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</si>
  <si>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</si>
  <si>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</si>
  <si>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</si>
  <si>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</si>
  <si>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</si>
  <si>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</si>
  <si>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</si>
  <si>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</si>
  <si>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</si>
  <si>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</si>
  <si>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</si>
  <si>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</si>
  <si>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</si>
  <si>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</si>
  <si>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</si>
  <si>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</si>
  <si>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</si>
  <si>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</si>
  <si>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</si>
  <si>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</si>
  <si>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</si>
  <si>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</si>
  <si>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</si>
  <si>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</si>
  <si>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</si>
  <si>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</si>
  <si>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</si>
  <si>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</si>
  <si>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</si>
  <si>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</si>
  <si>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</si>
  <si>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</si>
  <si>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</si>
  <si>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</si>
  <si>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</si>
  <si>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</si>
  <si>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</si>
  <si>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</si>
  <si>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</si>
  <si>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</si>
  <si>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</si>
  <si>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</si>
  <si>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</si>
  <si>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</si>
  <si>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</si>
  <si>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</si>
  <si>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</si>
  <si>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</si>
  <si>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</si>
  <si>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</si>
  <si>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</si>
  <si>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</si>
  <si>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</si>
  <si>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</si>
  <si>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</si>
  <si>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</si>
  <si>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</si>
  <si>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</si>
  <si>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</si>
  <si>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</si>
  <si>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</si>
  <si>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</si>
  <si>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</si>
  <si>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</si>
  <si>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</si>
  <si>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</si>
  <si>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</si>
  <si>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</si>
  <si>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</si>
  <si>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</si>
  <si>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</si>
  <si>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</si>
  <si>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</si>
  <si>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</si>
  <si>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</si>
  <si>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</si>
  <si>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</si>
  <si>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</si>
  <si>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</si>
  <si>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</si>
  <si>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</si>
  <si>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</si>
  <si>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</si>
  <si>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</si>
  <si>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</si>
  <si>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</si>
  <si>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</si>
  <si>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</si>
  <si>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</si>
  <si>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</si>
  <si>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</si>
  <si>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</si>
  <si>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</si>
  <si>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</si>
  <si>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</si>
  <si>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</si>
  <si>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</si>
  <si>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</si>
  <si>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</si>
  <si>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</si>
  <si>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</si>
  <si>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</si>
  <si>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</si>
  <si>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</si>
  <si>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</si>
  <si>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</si>
  <si>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</si>
  <si>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</si>
  <si>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</si>
  <si>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</si>
  <si>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</si>
  <si>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</si>
  <si>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</si>
  <si>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</si>
  <si>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</si>
  <si>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</si>
  <si>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</si>
  <si>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</si>
  <si>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</si>
  <si>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</si>
  <si>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</si>
  <si>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</si>
  <si>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</si>
  <si>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</si>
  <si>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</si>
  <si>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</si>
  <si>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</si>
  <si>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</si>
  <si>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</si>
  <si>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</si>
  <si>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</si>
  <si>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</si>
  <si>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</si>
  <si>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</si>
  <si>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</si>
  <si>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</si>
  <si>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</si>
  <si>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</si>
  <si>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</si>
  <si>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</si>
  <si>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</si>
  <si>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</si>
  <si>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</si>
  <si>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</si>
  <si>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</si>
  <si>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</si>
  <si>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</si>
  <si>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</si>
  <si>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</si>
  <si>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</si>
  <si>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</si>
  <si>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</si>
  <si>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</si>
  <si>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</si>
  <si>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</si>
  <si>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</si>
  <si>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</si>
  <si>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</si>
  <si>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</si>
  <si>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</si>
  <si>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</si>
  <si>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</si>
  <si>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</si>
  <si>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</si>
  <si>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</si>
  <si>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</si>
  <si>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</si>
  <si>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</si>
  <si>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</si>
  <si>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</si>
  <si>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</si>
  <si>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</si>
  <si>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</si>
  <si>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</si>
  <si>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</si>
  <si>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</si>
  <si>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</si>
  <si>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</si>
  <si>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</si>
  <si>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</si>
  <si>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</si>
  <si>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</si>
  <si>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</si>
  <si>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</si>
  <si>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</si>
  <si>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</si>
  <si>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</si>
  <si>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</si>
  <si>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</si>
  <si>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</si>
  <si>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</si>
  <si>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</si>
  <si>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</si>
  <si>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</si>
  <si>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</si>
  <si>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</si>
  <si>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</si>
  <si>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</si>
  <si>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</si>
  <si>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</si>
  <si>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</si>
  <si>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</si>
  <si>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</si>
  <si>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</si>
  <si>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</si>
  <si>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</si>
  <si>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</si>
  <si>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</si>
  <si>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</si>
  <si>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</si>
  <si>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</si>
  <si>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</si>
  <si>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</si>
  <si>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</si>
  <si>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</si>
  <si>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</si>
  <si>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</si>
  <si>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</si>
  <si>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</si>
  <si>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</si>
  <si>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</si>
  <si>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</si>
  <si>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</si>
  <si>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</si>
  <si>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</si>
  <si>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</si>
  <si>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</si>
  <si>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</si>
  <si>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</si>
  <si>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</si>
  <si>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</si>
  <si>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</si>
  <si>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</si>
  <si>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</si>
  <si>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</si>
  <si>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</si>
  <si>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</si>
  <si>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</si>
  <si>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</si>
  <si>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</si>
  <si>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</si>
  <si>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</si>
  <si>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</si>
  <si>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</si>
  <si>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</si>
  <si>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</si>
  <si>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</si>
  <si>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</si>
  <si>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</si>
  <si>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</si>
  <si>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</si>
  <si>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</si>
  <si>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</si>
  <si>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</si>
  <si>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</si>
  <si>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</si>
  <si>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</si>
  <si>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</si>
  <si>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</si>
  <si>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</si>
  <si>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</si>
  <si>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</si>
  <si>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</si>
  <si>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</si>
  <si>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</si>
  <si>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</si>
  <si>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</si>
  <si>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</si>
  <si>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</si>
  <si>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</si>
  <si>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</si>
  <si>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</si>
  <si>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</si>
  <si>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</si>
  <si>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</si>
  <si>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</si>
  <si>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</si>
  <si>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</si>
  <si>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</si>
  <si>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</si>
  <si>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</si>
  <si>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</si>
  <si>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</si>
  <si>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</si>
  <si>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</si>
  <si>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</si>
  <si>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</si>
  <si>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</si>
  <si>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</si>
  <si>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</si>
  <si>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</si>
  <si>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</si>
  <si>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</si>
  <si>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</si>
  <si>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</si>
  <si>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</si>
  <si>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</si>
  <si>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</si>
  <si>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</si>
  <si>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</si>
  <si>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</si>
  <si>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</si>
  <si>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</si>
  <si>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</si>
  <si>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</si>
  <si>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</si>
  <si>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</si>
  <si>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</si>
  <si>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</si>
  <si>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</si>
  <si>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</si>
  <si>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</si>
  <si>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</si>
  <si>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</si>
  <si>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</si>
  <si>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</si>
  <si>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</si>
  <si>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</si>
  <si>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</si>
  <si>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</si>
  <si>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</si>
  <si>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</si>
  <si>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</si>
  <si>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</si>
  <si>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</si>
  <si>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</si>
  <si>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</si>
  <si>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</si>
  <si>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</si>
  <si>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</si>
  <si>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</si>
  <si>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</si>
  <si>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</si>
  <si>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</si>
  <si>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</si>
  <si>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</si>
  <si>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</si>
  <si>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</si>
  <si>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</si>
  <si>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</si>
  <si>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</si>
  <si>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</si>
  <si>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</si>
  <si>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</si>
  <si>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</si>
  <si>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</si>
  <si>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</si>
  <si>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</si>
  <si>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</si>
  <si>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</si>
  <si>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</si>
  <si>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</si>
  <si>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</si>
  <si>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</si>
  <si>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</si>
  <si>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</si>
  <si>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</si>
  <si>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</si>
  <si>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</si>
  <si>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</si>
  <si>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</si>
  <si>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</si>
  <si>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</si>
  <si>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</si>
  <si>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</si>
  <si>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</si>
  <si>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</si>
  <si>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</si>
  <si>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</si>
  <si>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</si>
  <si>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</si>
  <si>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</si>
  <si>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</si>
  <si>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</si>
  <si>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</si>
  <si>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</si>
  <si>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</si>
  <si>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</si>
  <si>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</si>
  <si>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</si>
  <si>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</si>
  <si>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</si>
  <si>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</si>
  <si>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</si>
  <si>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</si>
  <si>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</si>
  <si>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</si>
  <si>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</si>
  <si>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</si>
  <si>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</si>
  <si>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</si>
  <si>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</si>
  <si>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</si>
  <si>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</si>
  <si>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</si>
  <si>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</si>
  <si>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</si>
  <si>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</si>
  <si>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</si>
  <si>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</si>
  <si>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</si>
  <si>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</si>
  <si>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</si>
  <si>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</si>
  <si>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</si>
  <si>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</si>
  <si>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</si>
  <si>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</si>
  <si>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</si>
  <si>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</si>
  <si>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</si>
  <si>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</si>
  <si>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</si>
  <si>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</si>
  <si>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</si>
  <si>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</si>
  <si>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</si>
  <si>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</si>
  <si>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</si>
  <si>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</si>
  <si>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</si>
  <si>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</si>
  <si>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</si>
  <si>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</si>
  <si>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</si>
  <si>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</si>
  <si>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</si>
  <si>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</si>
  <si>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</si>
  <si>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</si>
  <si>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</si>
  <si>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</si>
  <si>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</si>
  <si>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</si>
  <si>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</si>
  <si>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</si>
  <si>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</si>
  <si>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</si>
  <si>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</si>
  <si>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</si>
  <si>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</si>
  <si>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</si>
  <si>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</si>
  <si>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</si>
  <si>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</si>
  <si>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</si>
  <si>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</si>
  <si>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</si>
  <si>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</si>
  <si>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</si>
  <si>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</si>
  <si>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</si>
  <si>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</si>
  <si>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</si>
  <si>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</si>
  <si>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</si>
  <si>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</si>
  <si>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</si>
  <si>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</si>
  <si>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</si>
  <si>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</si>
  <si>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</si>
  <si>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</si>
  <si>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</si>
  <si>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</si>
  <si>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</si>
  <si>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</si>
  <si>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</si>
  <si>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</si>
  <si>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</si>
  <si>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</si>
  <si>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</si>
  <si>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</si>
  <si>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</si>
  <si>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</si>
  <si>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</si>
  <si>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</si>
  <si>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</si>
  <si>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</si>
  <si>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</si>
  <si>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</si>
  <si>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</si>
  <si>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</si>
  <si>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</si>
  <si>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</si>
  <si>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</si>
  <si>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</si>
  <si>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</si>
  <si>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</si>
  <si>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</si>
  <si>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</si>
  <si>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</si>
  <si>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</si>
  <si>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</si>
  <si>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</si>
  <si>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</si>
  <si>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</si>
  <si>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</si>
  <si>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</si>
  <si>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</si>
  <si>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</si>
  <si>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</si>
  <si>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</si>
  <si>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</si>
  <si>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</si>
  <si>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</si>
  <si>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</si>
  <si>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</si>
  <si>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</si>
  <si>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</si>
  <si>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</si>
  <si>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</si>
  <si>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</si>
  <si>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</si>
  <si>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</si>
  <si>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</si>
  <si>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</si>
  <si>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</si>
  <si>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</si>
  <si>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</si>
  <si>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</si>
  <si>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</si>
  <si>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</si>
  <si>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</si>
  <si>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</si>
  <si>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</si>
  <si>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</si>
  <si>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</si>
  <si>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</si>
  <si>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</si>
  <si>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</si>
  <si>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</si>
  <si>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</si>
  <si>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</si>
  <si>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</si>
  <si>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</si>
  <si>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</si>
  <si>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</si>
  <si>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</si>
  <si>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</si>
  <si>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</si>
  <si>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</si>
  <si>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</si>
  <si>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</si>
  <si>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</si>
  <si>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</si>
  <si>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</si>
  <si>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</si>
  <si>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</si>
  <si>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</si>
  <si>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</si>
  <si>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</si>
  <si>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</si>
  <si>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</si>
  <si>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</si>
  <si>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</si>
  <si>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</si>
  <si>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</si>
  <si>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</si>
  <si>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</si>
  <si>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</si>
  <si>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</si>
  <si>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</si>
  <si>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</si>
  <si>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</si>
  <si>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</si>
  <si>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</si>
  <si>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</si>
  <si>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</si>
  <si>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</si>
  <si>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</si>
  <si>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</si>
  <si>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</si>
  <si>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</si>
  <si>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</si>
  <si>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</si>
  <si>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</si>
  <si>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</si>
  <si>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</si>
  <si>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</si>
  <si>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</si>
  <si>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</si>
  <si>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</si>
  <si>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</si>
  <si>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</si>
  <si>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</si>
  <si>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</si>
  <si>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</si>
  <si>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</si>
  <si>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</si>
  <si>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</si>
  <si>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</si>
  <si>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</si>
  <si>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</si>
  <si>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</si>
  <si>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</si>
  <si>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</si>
  <si>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</si>
  <si>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</si>
  <si>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</si>
  <si>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</si>
  <si>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</si>
  <si>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</si>
  <si>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</si>
  <si>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</si>
  <si>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</si>
  <si>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</si>
  <si>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</si>
  <si>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</si>
  <si>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</si>
  <si>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</si>
  <si>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</si>
  <si>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</si>
  <si>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</si>
  <si>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</si>
  <si>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</si>
  <si>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</si>
  <si>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</si>
  <si>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</si>
  <si>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</si>
  <si>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</si>
  <si>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</si>
  <si>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</si>
  <si>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</si>
  <si>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</si>
  <si>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</si>
  <si>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</si>
  <si>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</si>
  <si>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</si>
  <si>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</si>
  <si>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</si>
  <si>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</si>
  <si>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</si>
  <si>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</si>
  <si>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</si>
  <si>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</si>
  <si>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</si>
  <si>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</si>
  <si>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</si>
  <si>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</si>
  <si>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</si>
  <si>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</si>
  <si>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</si>
  <si>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</si>
  <si>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</si>
  <si>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</si>
  <si>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</si>
  <si>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</si>
  <si>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</si>
  <si>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</si>
  <si>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</si>
  <si>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</si>
  <si>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</si>
  <si>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</si>
  <si>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</si>
  <si>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</si>
  <si>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</si>
  <si>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</si>
  <si>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</si>
  <si>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</si>
  <si>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</si>
  <si>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</si>
  <si>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</si>
  <si>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</si>
  <si>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</si>
  <si>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</si>
  <si>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</si>
  <si>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</si>
  <si>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</si>
  <si>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</si>
  <si>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</si>
  <si>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</si>
  <si>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</si>
  <si>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</si>
  <si>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</si>
  <si>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</si>
  <si>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</si>
  <si>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</si>
  <si>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</si>
  <si>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</si>
  <si>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</si>
  <si>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</si>
  <si>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</si>
  <si>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</si>
  <si>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</si>
  <si>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</si>
  <si>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</si>
  <si>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</si>
  <si>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</si>
  <si>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</si>
  <si>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</si>
  <si>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</si>
  <si>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</si>
  <si>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</si>
  <si>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</si>
  <si>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</si>
  <si>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</si>
  <si>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</si>
  <si>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</si>
  <si>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</si>
  <si>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</si>
  <si>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</si>
  <si>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</si>
  <si>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</si>
  <si>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</si>
  <si>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</si>
  <si>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</si>
  <si>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</si>
  <si>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</si>
  <si>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</si>
  <si>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</si>
  <si>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</si>
  <si>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</si>
  <si>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</si>
  <si>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</si>
  <si>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</si>
  <si>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</si>
  <si>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</si>
  <si>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</si>
  <si>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</si>
  <si>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</si>
  <si>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</si>
  <si>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</si>
  <si>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</si>
  <si>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</si>
  <si>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</si>
  <si>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</si>
  <si>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</si>
  <si>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</si>
  <si>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</si>
  <si>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</si>
  <si>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</si>
  <si>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</si>
  <si>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</si>
  <si>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</si>
  <si>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</si>
  <si>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</si>
  <si>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</si>
  <si>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</si>
  <si>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</si>
  <si>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</si>
  <si>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</si>
  <si>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</si>
  <si>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</si>
  <si>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</si>
  <si>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</si>
  <si>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</si>
  <si>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</si>
  <si>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</si>
  <si>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</si>
  <si>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</si>
  <si>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</si>
  <si>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</si>
  <si>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</si>
  <si>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</si>
  <si>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</si>
  <si>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</si>
  <si>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</si>
  <si>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</si>
  <si>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</si>
  <si>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</si>
  <si>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</si>
  <si>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</si>
  <si>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</si>
  <si>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</si>
  <si>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</si>
  <si>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</si>
  <si>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</si>
  <si>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</si>
  <si>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</si>
  <si>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</si>
  <si>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</si>
  <si>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</si>
  <si>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</si>
  <si>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</si>
  <si>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</si>
  <si>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</si>
  <si>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</si>
  <si>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</si>
  <si>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</si>
  <si>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</si>
  <si>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</si>
  <si>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</si>
  <si>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</si>
  <si>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</si>
  <si>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</si>
  <si>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</si>
  <si>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</si>
  <si>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</si>
  <si>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</si>
  <si>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</si>
  <si>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</si>
  <si>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</si>
  <si>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</si>
  <si>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</si>
  <si>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</si>
  <si>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</si>
  <si>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</si>
  <si>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</si>
  <si>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</si>
  <si>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</si>
  <si>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</si>
  <si>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</si>
  <si>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</si>
  <si>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</si>
  <si>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</si>
  <si>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</si>
  <si>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</si>
  <si>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</si>
  <si>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</si>
  <si>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</si>
  <si>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</si>
  <si>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</si>
  <si>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</si>
  <si>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</si>
  <si>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</si>
  <si>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</si>
  <si>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</si>
  <si>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</si>
  <si>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</si>
  <si>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</si>
  <si>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</si>
  <si>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</si>
  <si>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</si>
  <si>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</si>
  <si>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</si>
  <si>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</si>
  <si>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</si>
  <si>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</si>
  <si>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</si>
  <si>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</si>
  <si>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</si>
  <si>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</si>
  <si>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</si>
  <si>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</si>
  <si>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</si>
  <si>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</si>
  <si>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</si>
  <si>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</si>
  <si>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</si>
  <si>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</si>
  <si>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</si>
  <si>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</si>
  <si>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</si>
  <si>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</si>
  <si>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</si>
  <si>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</si>
  <si>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</si>
  <si>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</si>
  <si>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</si>
  <si>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</si>
  <si>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</si>
  <si>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</si>
  <si>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</si>
  <si>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</si>
  <si>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</si>
  <si>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</si>
  <si>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</si>
  <si>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</si>
  <si>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</si>
  <si>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</si>
  <si>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</si>
  <si>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</si>
  <si>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</si>
  <si>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</si>
  <si>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</si>
  <si>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</si>
  <si>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</si>
  <si>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</si>
  <si>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</si>
  <si>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</si>
  <si>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</si>
  <si>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</si>
  <si>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</si>
  <si>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</si>
  <si>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</si>
  <si>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</si>
  <si>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</si>
  <si>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</si>
  <si>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</si>
  <si>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</si>
  <si>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</si>
  <si>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</si>
  <si>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</si>
  <si>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</si>
  <si>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</si>
  <si>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</si>
  <si>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</si>
  <si>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</si>
  <si>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</si>
  <si>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</si>
  <si>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</si>
  <si>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</si>
  <si>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</si>
  <si>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</si>
  <si>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</si>
  <si>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</si>
  <si>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</si>
  <si>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</si>
  <si>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</si>
  <si>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</si>
  <si>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</si>
  <si>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</si>
  <si>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</si>
  <si>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</si>
  <si>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</si>
  <si>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</si>
  <si>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</si>
  <si>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</si>
  <si>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</si>
  <si>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</si>
  <si>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</si>
  <si>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</si>
  <si>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</si>
  <si>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</si>
  <si>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</si>
  <si>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</si>
  <si>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</si>
  <si>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</si>
  <si>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</si>
  <si>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</si>
  <si>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</si>
  <si>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</si>
  <si>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</si>
  <si>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</si>
  <si>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</si>
  <si>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</si>
  <si>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</si>
  <si>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</si>
  <si>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</si>
  <si>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</si>
  <si>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</si>
  <si>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</si>
  <si>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</si>
  <si>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</si>
  <si>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</si>
  <si>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</si>
  <si>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</si>
  <si>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</si>
  <si>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</si>
  <si>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</si>
  <si>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</si>
  <si>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</si>
  <si>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</si>
  <si>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</si>
  <si>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</si>
  <si>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</si>
  <si>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</si>
  <si>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</si>
  <si>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</si>
  <si>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</si>
  <si>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</si>
  <si>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</si>
  <si>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</si>
  <si>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</si>
  <si>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</si>
  <si>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</si>
  <si>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</si>
  <si>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</si>
  <si>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</si>
  <si>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</si>
  <si>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</si>
  <si>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</si>
  <si>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</si>
  <si>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</si>
  <si>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</si>
  <si>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</si>
  <si>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</si>
  <si>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</si>
  <si>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</si>
  <si>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</si>
  <si>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</si>
  <si>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</si>
  <si>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</si>
  <si>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</si>
  <si>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</si>
  <si>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</si>
  <si>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</si>
  <si>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</si>
  <si>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</si>
  <si>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</si>
  <si>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</si>
  <si>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</si>
  <si>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</si>
  <si>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</si>
  <si>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</si>
  <si>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</si>
  <si>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</si>
  <si>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</si>
  <si>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</si>
  <si>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</si>
  <si>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</si>
  <si>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</si>
  <si>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</si>
  <si>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</si>
  <si>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</si>
  <si>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</si>
  <si>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</si>
  <si>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</si>
  <si>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</si>
  <si>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</si>
  <si>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</si>
  <si>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</si>
  <si>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</si>
  <si>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</si>
  <si>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</si>
  <si>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</si>
  <si>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</si>
  <si>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</si>
  <si>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</si>
  <si>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</si>
  <si>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</si>
  <si>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</si>
  <si>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</si>
  <si>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</si>
  <si>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</si>
  <si>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</si>
  <si>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</si>
  <si>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</si>
  <si>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</si>
  <si>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</si>
  <si>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</si>
  <si>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</si>
  <si>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</si>
  <si>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</si>
  <si>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</si>
  <si>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</si>
  <si>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</si>
  <si>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</si>
  <si>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</si>
  <si>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</si>
  <si>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</si>
  <si>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</si>
  <si>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</si>
  <si>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</si>
  <si>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</si>
  <si>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</si>
  <si>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</si>
  <si>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</si>
  <si>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</si>
  <si>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</si>
  <si>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</si>
  <si>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</si>
  <si>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</si>
  <si>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</si>
  <si>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</si>
  <si>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</si>
  <si>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</si>
  <si>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</si>
  <si>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</si>
  <si>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</si>
  <si>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</si>
  <si>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</si>
  <si>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</si>
  <si>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</si>
  <si>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</si>
  <si>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</si>
  <si>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</si>
  <si>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</si>
  <si>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</si>
  <si>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</si>
  <si>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</si>
  <si>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</si>
  <si>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</si>
  <si>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</si>
  <si>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</si>
  <si>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</si>
  <si>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</si>
  <si>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</si>
  <si>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</si>
  <si>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</si>
  <si>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</si>
  <si>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</si>
  <si>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</si>
  <si>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</si>
  <si>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</si>
  <si>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</si>
  <si>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</si>
  <si>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</si>
  <si>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</si>
  <si>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</si>
  <si>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</si>
  <si>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</si>
  <si>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</si>
  <si>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</si>
  <si>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</si>
  <si>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</si>
  <si>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</si>
  <si>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</si>
  <si>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</si>
  <si>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</si>
  <si>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</si>
  <si>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</si>
  <si>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</si>
  <si>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</si>
  <si>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</si>
  <si>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</si>
  <si>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</si>
  <si>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</si>
  <si>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</si>
  <si>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</si>
  <si>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</si>
  <si>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</si>
  <si>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</si>
  <si>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</si>
  <si>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</si>
  <si>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</si>
  <si>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</si>
  <si>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</si>
  <si>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</si>
  <si>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</si>
  <si>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</si>
  <si>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</si>
  <si>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</si>
  <si>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</si>
  <si>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</si>
  <si>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</si>
  <si>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</si>
  <si>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</si>
  <si>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</si>
  <si>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</si>
  <si>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</si>
  <si>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</si>
  <si>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</si>
  <si>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</si>
  <si>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</si>
  <si>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</si>
  <si>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</si>
  <si>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</si>
  <si>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</si>
  <si>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</si>
  <si>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</si>
  <si>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</si>
  <si>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</si>
  <si>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</si>
  <si>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</si>
  <si>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</si>
  <si>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</si>
  <si>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</si>
  <si>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</si>
  <si>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</si>
  <si>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</si>
  <si>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</si>
  <si>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</si>
  <si>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</si>
  <si>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</si>
  <si>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</si>
  <si>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</si>
  <si>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</si>
  <si>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</si>
  <si>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</si>
  <si>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</si>
  <si>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</si>
  <si>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</si>
  <si>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</si>
  <si>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</si>
  <si>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</si>
  <si>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</si>
  <si>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</si>
  <si>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</si>
  <si>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</si>
  <si>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</si>
  <si>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</si>
  <si>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</si>
  <si>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</si>
  <si>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</si>
  <si>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</si>
  <si>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</si>
  <si>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</si>
  <si>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</si>
  <si>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</si>
  <si>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</si>
  <si>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</si>
  <si>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</si>
  <si>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</si>
  <si>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</si>
  <si>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</si>
  <si>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</si>
  <si>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</si>
  <si>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</si>
  <si>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</si>
  <si>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</si>
  <si>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</si>
  <si>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</si>
  <si>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</si>
  <si>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</si>
  <si>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</si>
  <si>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</si>
  <si>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</si>
  <si>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</si>
  <si>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</si>
  <si>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</si>
  <si>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</si>
  <si>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</si>
  <si>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</si>
  <si>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</si>
  <si>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</si>
  <si>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</si>
  <si>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</si>
  <si>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</si>
  <si>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</si>
  <si>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</si>
  <si>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</si>
  <si>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</si>
  <si>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</si>
  <si>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</si>
  <si>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</si>
  <si>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</si>
  <si>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</si>
  <si>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</si>
  <si>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</si>
  <si>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</si>
  <si>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</si>
  <si>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</si>
  <si>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</si>
  <si>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</si>
  <si>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</si>
  <si>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</si>
  <si>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</si>
  <si>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</si>
  <si>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</si>
  <si>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</si>
  <si>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</si>
  <si>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</si>
  <si>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</si>
  <si>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</si>
  <si>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</si>
  <si>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</si>
  <si>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</si>
  <si>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</si>
  <si>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</si>
  <si>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</si>
  <si>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</si>
  <si>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</si>
  <si>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</si>
  <si>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</si>
  <si>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</si>
  <si>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</si>
  <si>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</si>
  <si>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</si>
  <si>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</si>
  <si>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</si>
  <si>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</si>
  <si>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</si>
  <si>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</si>
  <si>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</si>
  <si>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</si>
  <si>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</si>
  <si>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</si>
  <si>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</si>
  <si>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</si>
  <si>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</si>
  <si>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</si>
  <si>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</si>
  <si>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</si>
  <si>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</si>
  <si>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</si>
  <si>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</si>
  <si>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</si>
  <si>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</si>
  <si>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</si>
  <si>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</si>
  <si>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</si>
  <si>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</si>
  <si>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</si>
  <si>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</si>
  <si>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</si>
  <si>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</si>
  <si>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</si>
  <si>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</si>
  <si>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</si>
  <si>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</si>
  <si>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</si>
  <si>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</si>
  <si>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</si>
  <si>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</si>
  <si>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</si>
  <si>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</si>
  <si>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</si>
  <si>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</si>
  <si>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</si>
  <si>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</si>
  <si>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</si>
  <si>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</si>
  <si>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</si>
  <si>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</si>
  <si>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</si>
  <si>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</si>
  <si>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</si>
  <si>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</si>
  <si>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</si>
  <si>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</si>
  <si>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</si>
  <si>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</si>
  <si>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</si>
  <si>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</si>
  <si>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</si>
  <si>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</si>
  <si>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</si>
  <si>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</si>
  <si>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</si>
  <si>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</si>
  <si>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</si>
  <si>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</si>
  <si>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</si>
  <si>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</si>
  <si>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</si>
  <si>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</si>
  <si>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</si>
  <si>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</si>
  <si>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</si>
  <si>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</si>
  <si>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</si>
  <si>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</si>
  <si>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</si>
  <si>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</si>
  <si>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</si>
  <si>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</si>
  <si>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</si>
  <si>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</si>
  <si>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</si>
  <si>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</si>
  <si>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</si>
  <si>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</si>
  <si>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</si>
  <si>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</si>
  <si>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</si>
  <si>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</si>
  <si>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</si>
  <si>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</si>
  <si>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</si>
  <si>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</si>
  <si>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</si>
  <si>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</si>
  <si>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</si>
  <si>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</si>
  <si>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</si>
  <si>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</si>
  <si>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</si>
  <si>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</si>
  <si>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</si>
  <si>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</si>
  <si>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</si>
  <si>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</si>
  <si>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</si>
  <si>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</si>
  <si>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</si>
  <si>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</si>
  <si>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</si>
  <si>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</si>
  <si>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</si>
  <si>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</si>
  <si>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</si>
  <si>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</si>
  <si>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</si>
  <si>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</si>
  <si>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</si>
  <si>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</si>
  <si>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</si>
  <si>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</si>
  <si>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</si>
  <si>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</si>
  <si>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</si>
  <si>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</si>
  <si>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</si>
  <si>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</si>
  <si>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</si>
  <si>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</si>
  <si>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</si>
  <si>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</si>
  <si>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</si>
  <si>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</si>
  <si>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</si>
  <si>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</si>
  <si>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</si>
  <si>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</si>
  <si>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</si>
  <si>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</si>
  <si>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</si>
  <si>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</si>
  <si>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</si>
  <si>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</si>
  <si>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</si>
  <si>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</si>
  <si>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</si>
  <si>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</si>
  <si>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</si>
  <si>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</si>
  <si>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</si>
  <si>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</si>
  <si>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</si>
  <si>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</si>
  <si>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</si>
  <si>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</si>
  <si>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</si>
  <si>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</si>
  <si>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</si>
  <si>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</si>
  <si>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</si>
  <si>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</si>
  <si>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</si>
  <si>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</si>
  <si>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</si>
  <si>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</si>
  <si>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</si>
  <si>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</si>
  <si>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</si>
  <si>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</si>
  <si>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</si>
  <si>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</si>
  <si>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</si>
  <si>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</si>
  <si>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</si>
  <si>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</si>
  <si>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</si>
  <si>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</si>
  <si>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</si>
  <si>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</si>
  <si>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</si>
  <si>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</si>
  <si>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</si>
  <si>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</si>
  <si>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</si>
  <si>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</si>
  <si>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</si>
  <si>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</si>
  <si>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</si>
  <si>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</si>
  <si>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</si>
  <si>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</si>
  <si>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</si>
  <si>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</si>
  <si>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</si>
  <si>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</si>
  <si>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</si>
  <si>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</si>
  <si>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</si>
  <si>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</si>
  <si>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</si>
  <si>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</si>
  <si>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</si>
  <si>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</si>
  <si>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</si>
  <si>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</si>
  <si>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</si>
  <si>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</si>
  <si>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</si>
  <si>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</si>
  <si>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</si>
  <si>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</si>
  <si>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</si>
  <si>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</si>
  <si>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</si>
  <si>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</si>
  <si>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</si>
  <si>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</si>
  <si>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</si>
  <si>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</si>
  <si>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</si>
  <si>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</si>
  <si>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</si>
  <si>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</si>
  <si>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</si>
  <si>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</si>
  <si>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</si>
  <si>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</si>
  <si>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</si>
  <si>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</si>
  <si>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</si>
  <si>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</si>
  <si>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</si>
  <si>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</si>
  <si>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</si>
  <si>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</si>
  <si>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</si>
  <si>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</si>
  <si>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</si>
  <si>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</si>
  <si>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</si>
  <si>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</si>
  <si>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</si>
  <si>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</si>
  <si>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</si>
  <si>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</si>
  <si>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</si>
  <si>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</si>
  <si>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</si>
  <si>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</si>
  <si>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</si>
  <si>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</si>
  <si>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</si>
  <si>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</si>
  <si>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</si>
  <si>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</si>
  <si>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</si>
  <si>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</si>
  <si>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</si>
  <si>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</si>
  <si>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</si>
  <si>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</si>
  <si>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</si>
  <si>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</si>
  <si>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</si>
  <si>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</si>
  <si>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</si>
  <si>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</si>
  <si>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</si>
  <si>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</si>
  <si>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</si>
  <si>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</si>
  <si>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</si>
  <si>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</si>
  <si>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</si>
  <si>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</si>
  <si>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</si>
  <si>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</si>
  <si>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</si>
  <si>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</si>
  <si>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</si>
  <si>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</si>
  <si>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</si>
  <si>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</si>
  <si>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</si>
  <si>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</si>
  <si>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</si>
  <si>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</si>
  <si>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</si>
  <si>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</si>
  <si>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</si>
  <si>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</si>
  <si>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</si>
  <si>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</si>
  <si>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</si>
  <si>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</si>
  <si>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</si>
  <si>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</si>
  <si>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</si>
  <si>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</si>
  <si>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</si>
  <si>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</si>
  <si>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</si>
  <si>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</si>
  <si>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</si>
  <si>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</si>
  <si>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</si>
  <si>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</si>
  <si>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</si>
  <si>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</si>
  <si>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</si>
  <si>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</si>
  <si>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</si>
  <si>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</si>
  <si>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</si>
  <si>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</si>
  <si>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</si>
  <si>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</si>
  <si>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</si>
  <si>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</si>
  <si>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</si>
  <si>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</si>
  <si>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</si>
  <si>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</si>
  <si>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</si>
  <si>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</si>
  <si>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</si>
  <si>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</si>
  <si>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</si>
  <si>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</si>
  <si>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</si>
  <si>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</si>
  <si>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</si>
  <si>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</si>
  <si>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</si>
  <si>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</si>
  <si>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</si>
  <si>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</si>
  <si>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</si>
  <si>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</si>
  <si>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</si>
  <si>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</si>
  <si>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</si>
  <si>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</si>
  <si>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</si>
  <si>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</si>
  <si>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</si>
  <si>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</si>
  <si>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</si>
  <si>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</si>
  <si>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</si>
  <si>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</si>
  <si>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</si>
  <si>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</si>
  <si>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</si>
  <si>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</si>
  <si>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</si>
  <si>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</si>
  <si>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</si>
  <si>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</si>
  <si>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</si>
  <si>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</si>
  <si>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</si>
  <si>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</si>
  <si>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</si>
  <si>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</si>
  <si>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</si>
  <si>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</si>
  <si>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</si>
  <si>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</si>
  <si>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</si>
  <si>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</si>
  <si>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</si>
  <si>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</si>
  <si>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</si>
  <si>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</si>
  <si>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</si>
  <si>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</si>
  <si>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</si>
  <si>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</si>
  <si>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</si>
  <si>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</si>
  <si>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</si>
  <si>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</si>
  <si>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</si>
  <si>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</si>
  <si>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</si>
  <si>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</si>
  <si>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</si>
  <si>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</si>
  <si>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</si>
  <si>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</si>
  <si>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</si>
  <si>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</si>
  <si>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</si>
  <si>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</si>
  <si>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</si>
  <si>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</si>
  <si>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</si>
  <si>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</si>
  <si>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</si>
  <si>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</si>
  <si>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</si>
  <si>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</si>
  <si>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</si>
  <si>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</si>
  <si>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</si>
  <si>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</si>
  <si>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</si>
  <si>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</si>
  <si>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</si>
  <si>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</si>
  <si>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</si>
  <si>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</si>
  <si>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</si>
  <si>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</si>
  <si>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</si>
  <si>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</si>
  <si>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</si>
  <si>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</si>
  <si>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</si>
  <si>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</si>
  <si>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</si>
  <si>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</si>
  <si>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</si>
  <si>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</si>
  <si>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</si>
  <si>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</si>
  <si>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</si>
  <si>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</si>
  <si>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</si>
  <si>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</si>
  <si>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</si>
  <si>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</si>
  <si>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</si>
  <si>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</si>
  <si>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</si>
  <si>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</si>
  <si>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</si>
  <si>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</si>
  <si>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</si>
  <si>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</si>
  <si>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</si>
  <si>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</si>
  <si>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</si>
  <si>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</si>
  <si>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</si>
  <si>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</si>
  <si>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</si>
  <si>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</si>
  <si>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</si>
  <si>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</si>
  <si>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</si>
  <si>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</si>
  <si>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</si>
  <si>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</si>
  <si>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</si>
  <si>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</si>
  <si>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</si>
  <si>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</si>
  <si>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</si>
  <si>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</si>
  <si>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</si>
  <si>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</si>
  <si>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</si>
  <si>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</si>
  <si>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</si>
  <si>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</si>
  <si>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</si>
  <si>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</si>
  <si>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</si>
  <si>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</si>
  <si>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</si>
  <si>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</si>
  <si>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</si>
  <si>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</si>
  <si>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</si>
  <si>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</si>
  <si>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</si>
  <si>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</si>
  <si>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</si>
  <si>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</si>
  <si>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</si>
  <si>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</si>
  <si>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</si>
  <si>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</si>
  <si>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</si>
  <si>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</si>
  <si>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</si>
  <si>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</si>
  <si>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</si>
  <si>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</si>
  <si>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</si>
  <si>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</si>
  <si>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</si>
  <si>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</si>
  <si>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</si>
  <si>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</si>
  <si>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</si>
  <si>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</si>
  <si>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</si>
  <si>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</si>
  <si>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</si>
  <si>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</si>
  <si>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</si>
  <si>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</si>
  <si>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</si>
  <si>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</si>
  <si>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</si>
  <si>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</si>
  <si>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</si>
  <si>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</si>
  <si>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</si>
  <si>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</si>
  <si>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</si>
  <si>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</si>
  <si>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</si>
  <si>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</si>
  <si>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</si>
  <si>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</si>
  <si>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</si>
  <si>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</si>
  <si>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</si>
  <si>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</si>
  <si>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</si>
  <si>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</si>
  <si>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</si>
  <si>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</si>
  <si>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</si>
  <si>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</si>
  <si>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</si>
  <si>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</si>
  <si>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</si>
  <si>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</si>
  <si>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</si>
  <si>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</si>
  <si>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</si>
  <si>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</si>
  <si>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</si>
  <si>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</si>
  <si>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</si>
  <si>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</si>
  <si>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</si>
  <si>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</si>
  <si>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</si>
  <si>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</si>
  <si>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</si>
  <si>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</si>
  <si>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</si>
  <si>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</si>
  <si>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</si>
  <si>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</si>
  <si>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</si>
  <si>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</si>
  <si>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</si>
  <si>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</si>
  <si>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</si>
  <si>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</si>
  <si>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</si>
  <si>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</si>
  <si>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</si>
  <si>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</si>
  <si>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</si>
  <si>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</si>
  <si>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</si>
  <si>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</si>
  <si>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</si>
  <si>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</si>
  <si>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</si>
  <si>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</si>
  <si>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</si>
  <si>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</si>
  <si>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</si>
  <si>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</si>
  <si>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</si>
  <si>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</si>
  <si>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</si>
  <si>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</si>
  <si>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</si>
  <si>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</si>
  <si>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</si>
  <si>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</si>
  <si>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</si>
  <si>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</si>
  <si>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</si>
  <si>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</si>
  <si>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</si>
  <si>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</si>
  <si>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</si>
  <si>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</si>
  <si>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</si>
  <si>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</si>
  <si>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</si>
  <si>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</si>
  <si>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</si>
  <si>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</si>
  <si>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</si>
  <si>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</si>
  <si>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</si>
  <si>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</si>
  <si>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</si>
  <si>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</si>
  <si>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</si>
  <si>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</si>
  <si>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</si>
  <si>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</si>
  <si>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</si>
  <si>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</si>
  <si>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</si>
  <si>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</si>
  <si>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</si>
  <si>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</si>
  <si>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</si>
  <si>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</si>
  <si>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</si>
  <si>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</si>
  <si>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</si>
  <si>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</si>
  <si>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</si>
  <si>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</si>
  <si>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</si>
  <si>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</si>
  <si>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</si>
  <si>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</si>
  <si>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</si>
  <si>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</si>
  <si>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</si>
  <si>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</si>
  <si>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</si>
  <si>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</si>
  <si>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</si>
  <si>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</si>
  <si>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</si>
  <si>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</si>
  <si>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</si>
  <si>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</si>
  <si>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</si>
  <si>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</si>
  <si>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</si>
  <si>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</si>
  <si>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</si>
  <si>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</si>
  <si>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</si>
  <si>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</si>
  <si>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</si>
  <si>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</si>
  <si>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</si>
  <si>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</si>
  <si>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</si>
  <si>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</si>
  <si>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</si>
  <si>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</si>
  <si>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</si>
  <si>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</si>
  <si>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</si>
  <si>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</si>
  <si>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</si>
  <si>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</si>
  <si>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</si>
  <si>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</si>
  <si>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</si>
  <si>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</si>
  <si>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</si>
  <si>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</si>
  <si>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</si>
  <si>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</si>
  <si>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</si>
  <si>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</si>
  <si>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</si>
  <si>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</si>
  <si>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</si>
  <si>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</si>
  <si>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</si>
  <si>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</si>
  <si>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</si>
  <si>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</si>
  <si>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</si>
  <si>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</si>
  <si>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</si>
  <si>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</si>
  <si>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</si>
  <si>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</si>
  <si>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</si>
  <si>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</si>
  <si>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</si>
  <si>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</si>
  <si>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</si>
  <si>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</si>
  <si>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</si>
  <si>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</si>
  <si>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</si>
  <si>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</si>
  <si>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</si>
  <si>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</si>
  <si>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</si>
  <si>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</si>
  <si>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</si>
  <si>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</si>
  <si>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</si>
  <si>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</si>
  <si>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</si>
  <si>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</si>
  <si>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</si>
  <si>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</si>
  <si>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</si>
  <si>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</si>
  <si>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</si>
  <si>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</si>
  <si>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</si>
  <si>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</si>
  <si>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</si>
  <si>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</si>
  <si>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</si>
  <si>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</si>
  <si>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</si>
  <si>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</si>
  <si>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</si>
  <si>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</si>
  <si>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</si>
  <si>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</si>
  <si>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</si>
  <si>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</si>
  <si>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</si>
  <si>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</si>
  <si>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</si>
  <si>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</si>
  <si>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</si>
  <si>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</si>
  <si>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</si>
  <si>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</si>
  <si>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</si>
  <si>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</si>
  <si>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</si>
  <si>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</si>
  <si>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</si>
  <si>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</si>
  <si>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</si>
  <si>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</si>
  <si>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</si>
  <si>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</si>
  <si>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</si>
  <si>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</si>
  <si>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</si>
  <si>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</si>
  <si>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</si>
  <si>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</si>
  <si>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</si>
  <si>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</si>
  <si>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</si>
  <si>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</si>
  <si>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</si>
  <si>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</si>
  <si>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</si>
  <si>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</si>
  <si>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</si>
  <si>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</si>
  <si>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</si>
  <si>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</si>
  <si>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</si>
  <si>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</si>
  <si>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</si>
  <si>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</si>
  <si>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</si>
  <si>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</si>
  <si>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</si>
  <si>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</si>
  <si>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</si>
  <si>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</si>
  <si>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</si>
  <si>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</si>
  <si>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</si>
  <si>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</si>
  <si>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</si>
  <si>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</si>
  <si>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</si>
  <si>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</si>
  <si>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</si>
  <si>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</si>
  <si>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</si>
  <si>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</si>
  <si>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</si>
  <si>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</si>
  <si>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</si>
  <si>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</si>
  <si>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</si>
  <si>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</si>
  <si>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</si>
  <si>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</si>
  <si>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</si>
  <si>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</si>
  <si>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</si>
  <si>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</si>
  <si>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</si>
  <si>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</si>
  <si>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</si>
  <si>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</si>
  <si>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</si>
  <si>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</si>
  <si>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</si>
  <si>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</si>
  <si>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</si>
  <si>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</si>
  <si>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</si>
  <si>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</si>
  <si>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</si>
  <si>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</si>
  <si>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</si>
  <si>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</si>
  <si>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</si>
  <si>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</si>
  <si>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</si>
  <si>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</si>
  <si>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</si>
  <si>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</si>
  <si>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</si>
  <si>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</si>
  <si>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</si>
  <si>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</si>
  <si>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</si>
  <si>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</si>
  <si>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</si>
  <si>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</si>
  <si>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</si>
  <si>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</si>
  <si>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</si>
  <si>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</si>
  <si>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</si>
  <si>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</si>
  <si>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</si>
  <si>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</si>
  <si>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</si>
  <si>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</si>
  <si>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</si>
  <si>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</si>
  <si>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</si>
  <si>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</si>
  <si>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</si>
  <si>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</si>
  <si>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</si>
  <si>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</si>
  <si>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</si>
  <si>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</si>
  <si>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</si>
  <si>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</si>
  <si>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</si>
  <si>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</si>
  <si>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</si>
  <si>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</si>
  <si>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</si>
  <si>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</si>
  <si>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</si>
  <si>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</si>
  <si>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</si>
  <si>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</si>
  <si>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</si>
  <si>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</si>
  <si>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</si>
  <si>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</si>
  <si>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</si>
  <si>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</si>
  <si>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</si>
  <si>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</si>
  <si>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</si>
  <si>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</si>
  <si>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</si>
  <si>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</si>
  <si>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</si>
  <si>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</si>
  <si>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</si>
  <si>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</si>
  <si>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</si>
  <si>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</si>
  <si>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</si>
  <si>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</si>
  <si>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</si>
  <si>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</si>
  <si>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</si>
  <si>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</si>
  <si>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</si>
  <si>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</si>
  <si>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</si>
  <si>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</si>
  <si>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</si>
  <si>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</si>
  <si>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</si>
  <si>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</si>
  <si>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</si>
  <si>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</si>
  <si>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</si>
  <si>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</si>
  <si>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</si>
  <si>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</si>
  <si>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</si>
  <si>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</si>
  <si>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</si>
  <si>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</si>
  <si>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</si>
  <si>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</si>
  <si>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</si>
  <si>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</si>
  <si>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</si>
  <si>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</si>
  <si>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</si>
  <si>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</si>
  <si>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</si>
  <si>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</si>
  <si>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</si>
  <si>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</si>
  <si>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</si>
  <si>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</si>
  <si>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</si>
  <si>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</si>
  <si>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</si>
  <si>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</si>
  <si>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</si>
  <si>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</si>
  <si>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</si>
  <si>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</si>
  <si>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</si>
  <si>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</si>
  <si>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</si>
  <si>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</si>
  <si>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</si>
  <si>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</si>
  <si>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</si>
  <si>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</si>
  <si>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</si>
  <si>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</si>
  <si>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</si>
  <si>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</si>
  <si>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</si>
  <si>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</si>
  <si>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</si>
  <si>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</si>
  <si>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</si>
  <si>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</si>
  <si>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</si>
  <si>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</si>
  <si>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</si>
  <si>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</si>
  <si>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</si>
  <si>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</si>
  <si>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</si>
  <si>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</si>
  <si>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</si>
  <si>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</si>
  <si>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</si>
  <si>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</si>
  <si>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</si>
  <si>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</si>
  <si>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</si>
  <si>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</si>
  <si>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</si>
  <si>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</si>
  <si>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</si>
  <si>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</si>
  <si>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</si>
  <si>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</si>
  <si>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</si>
  <si>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</si>
  <si>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</si>
  <si>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</si>
  <si>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</si>
  <si>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</si>
  <si>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</si>
  <si>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</si>
  <si>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</si>
  <si>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</si>
  <si>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</si>
  <si>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</si>
  <si>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</si>
  <si>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</si>
  <si>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</si>
  <si>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</si>
  <si>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</si>
  <si>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</si>
  <si>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</si>
  <si>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</si>
  <si>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</si>
  <si>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</si>
  <si>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</si>
  <si>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</si>
  <si>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</si>
  <si>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</si>
  <si>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</si>
  <si>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</si>
  <si>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</si>
  <si>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</si>
  <si>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</si>
  <si>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</si>
  <si>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</si>
  <si>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</si>
  <si>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</si>
  <si>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</si>
  <si>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</si>
  <si>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</si>
  <si>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</si>
  <si>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</si>
  <si>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</si>
  <si>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</si>
  <si>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</si>
  <si>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</si>
  <si>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</si>
  <si>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</si>
  <si>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</si>
  <si>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</si>
  <si>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</si>
  <si>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</si>
  <si>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</si>
  <si>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</si>
  <si>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</si>
  <si>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</si>
  <si>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</si>
  <si>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</si>
  <si>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</si>
  <si>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</si>
  <si>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</si>
  <si>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</si>
  <si>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</si>
  <si>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</si>
  <si>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</si>
  <si>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</si>
  <si>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</si>
  <si>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</si>
  <si>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</si>
  <si>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</si>
  <si>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</si>
  <si>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</si>
  <si>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</si>
  <si>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</si>
  <si>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</si>
  <si>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</si>
  <si>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</si>
  <si>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</si>
  <si>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</si>
  <si>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</si>
  <si>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</si>
  <si>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</si>
  <si>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</si>
  <si>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</si>
  <si>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</si>
  <si>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</si>
  <si>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</si>
  <si>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</si>
  <si>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</si>
  <si>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</si>
  <si>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</si>
  <si>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</si>
  <si>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</si>
  <si>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</si>
  <si>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</si>
  <si>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</si>
  <si>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</si>
  <si>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</si>
  <si>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</si>
  <si>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</si>
  <si>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</si>
  <si>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</si>
  <si>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</si>
  <si>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</si>
  <si>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</si>
  <si>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</si>
  <si>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</si>
  <si>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</si>
  <si>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</si>
  <si>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</si>
  <si>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</si>
  <si>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</si>
  <si>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</si>
  <si>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</si>
  <si>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</si>
  <si>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</si>
  <si>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</si>
  <si>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</si>
  <si>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</si>
  <si>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</si>
  <si>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</si>
  <si>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</si>
  <si>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</si>
  <si>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</si>
  <si>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</si>
  <si>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</si>
  <si>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</si>
  <si>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</si>
  <si>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</si>
  <si>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</si>
  <si>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</si>
  <si>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</si>
  <si>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</si>
  <si>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</si>
  <si>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</si>
  <si>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</si>
  <si>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</si>
  <si>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</si>
  <si>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</si>
  <si>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</si>
  <si>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</si>
  <si>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</si>
  <si>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</si>
  <si>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</si>
  <si>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</si>
  <si>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</si>
  <si>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</si>
  <si>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</si>
  <si>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</si>
  <si>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</si>
  <si>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</si>
  <si>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</si>
  <si>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</si>
  <si>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</si>
  <si>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</si>
  <si>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</si>
  <si>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</si>
  <si>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</si>
  <si>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</si>
  <si>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</si>
  <si>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</si>
  <si>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</si>
  <si>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</si>
  <si>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</si>
  <si>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</si>
  <si>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</si>
  <si>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</si>
  <si>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</si>
  <si>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</si>
  <si>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</si>
  <si>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</si>
  <si>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</si>
  <si>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</si>
  <si>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</si>
  <si>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</si>
  <si>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</si>
  <si>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</si>
  <si>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</si>
  <si>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</si>
  <si>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</si>
  <si>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</si>
  <si>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</si>
  <si>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</si>
  <si>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</si>
  <si>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</si>
  <si>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</si>
  <si>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</si>
  <si>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</si>
  <si>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</si>
  <si>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</si>
  <si>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</si>
  <si>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</si>
  <si>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</si>
  <si>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</si>
  <si>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</si>
  <si>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</si>
  <si>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</si>
  <si>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</si>
  <si>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</si>
  <si>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</si>
  <si>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</si>
  <si>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</si>
  <si>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</si>
  <si>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</si>
  <si>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</si>
  <si>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</si>
  <si>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</si>
  <si>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</si>
  <si>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</si>
  <si>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</si>
  <si>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</si>
  <si>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</si>
  <si>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</si>
  <si>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</si>
  <si>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</si>
  <si>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</si>
  <si>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</si>
  <si>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</si>
  <si>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</si>
  <si>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</si>
  <si>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</si>
  <si>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</si>
  <si>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</si>
  <si>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</si>
  <si>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</si>
  <si>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</si>
  <si>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</si>
  <si>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</si>
  <si>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</si>
  <si>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</si>
  <si>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</si>
  <si>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</si>
  <si>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</si>
  <si>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</si>
  <si>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</si>
  <si>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</si>
  <si>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</si>
  <si>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</si>
  <si>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</si>
  <si>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</si>
  <si>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</si>
  <si>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</si>
  <si>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</si>
  <si>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</si>
  <si>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</si>
  <si>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</si>
  <si>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</si>
  <si>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</si>
  <si>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</si>
  <si>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</si>
  <si>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</si>
  <si>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</si>
  <si>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</si>
  <si>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</si>
  <si>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</si>
  <si>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</si>
  <si>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收益法 (元)</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</si>
  <si>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</si>
  <si>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</si>
  <si>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</si>
  <si>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</si>
  <si>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</si>
  <si>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</si>
  <si>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</si>
  <si>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</si>
  <si>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</si>
  <si>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</si>
  <si>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</si>
  <si>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</si>
  <si>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</si>
  <si>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</si>
  <si>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</si>
  <si>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</si>
  <si>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</si>
  <si>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</si>
  <si>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</si>
  <si>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</si>
  <si>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</si>
  <si>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</si>
  <si>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</si>
  <si>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</si>
  <si>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</si>
  <si>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</si>
  <si>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</si>
  <si>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</si>
  <si>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</si>
  <si>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</si>
  <si>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</si>
  <si>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</si>
  <si>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</si>
  <si>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</si>
  <si>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</si>
  <si>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</si>
  <si>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</si>
  <si>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</si>
  <si>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</si>
  <si>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</si>
  <si>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</si>
  <si>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</si>
  <si>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</si>
  <si>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</si>
  <si>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</si>
  <si>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</si>
  <si>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</si>
  <si>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</si>
  <si>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</si>
  <si>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</si>
  <si>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</si>
  <si>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</si>
  <si>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</si>
  <si>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</si>
  <si>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</si>
  <si>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</si>
  <si>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</si>
  <si>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</si>
  <si>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</si>
  <si>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</si>
  <si>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</si>
  <si>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</si>
  <si>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</si>
  <si>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</si>
  <si>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</si>
  <si>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</si>
  <si>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</si>
  <si>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</si>
  <si>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</si>
  <si>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</si>
  <si>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</si>
  <si>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</si>
  <si>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</si>
  <si>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</si>
  <si>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</si>
  <si>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</si>
  <si>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</si>
  <si>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</si>
  <si>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</si>
  <si>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phoneticPr fontId="134" type="noConversion"/>
  </si>
  <si>
    <t>别墅</t>
    <phoneticPr fontId="134" type="noConversion"/>
  </si>
  <si>
    <t>楼层</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</si>
  <si>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</si>
  <si>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</si>
  <si>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</si>
  <si>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</si>
  <si>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</si>
  <si>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</si>
  <si>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</si>
  <si>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</si>
  <si>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</si>
  <si>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</si>
  <si>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</si>
  <si>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</si>
  <si>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</si>
  <si>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</si>
  <si>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</si>
  <si>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</si>
  <si>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</si>
  <si>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</si>
  <si>
    <t>2024-12</t>
    <phoneticPr fontId="134" type="noConversion"/>
  </si>
  <si>
    <t>https://sf-item.taobao.com/sf_item/941884743863.htm?spm=a213w.7398504.paiList.1.73e9400dETFMEZ&amp;track_id=d5525bcd-1add-4dbc-b393-b08bef968a08</t>
    <phoneticPr fontId="134" type="noConversion"/>
  </si>
  <si>
    <t>乡村高尔夫别墅</t>
    <phoneticPr fontId="134" type="noConversion"/>
  </si>
  <si>
    <t>2024-11</t>
    <phoneticPr fontId="134" type="noConversion"/>
  </si>
  <si>
    <t>无</t>
    <phoneticPr fontId="134" type="noConversion"/>
  </si>
  <si>
    <t>无</t>
    <phoneticPr fontId="134" type="noConversion"/>
  </si>
  <si>
    <t>3</t>
    <phoneticPr fontId="134" type="noConversion"/>
  </si>
  <si>
    <t>有</t>
    <phoneticPr fontId="134" type="noConversion"/>
  </si>
  <si>
    <t>有</t>
    <phoneticPr fontId="134" type="noConversion"/>
  </si>
  <si>
    <t>有</t>
    <phoneticPr fontId="134" type="noConversion"/>
  </si>
  <si>
    <t>是否有赠送面积</t>
    <phoneticPr fontId="134" type="noConversion"/>
  </si>
  <si>
    <t>交易时点</t>
    <phoneticPr fontId="134" type="noConversion"/>
  </si>
  <si>
    <t>法拍</t>
    <phoneticPr fontId="134" type="noConversion"/>
  </si>
  <si>
    <t>市场</t>
    <phoneticPr fontId="134" type="noConversion"/>
  </si>
  <si>
    <t>市场</t>
    <phoneticPr fontId="134" type="noConversion"/>
  </si>
  <si>
    <t>北京乡村高尔夫别墅</t>
    <phoneticPr fontId="134" type="noConversion"/>
  </si>
  <si>
    <t>龙苑别墅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</si>
</sst>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37" xfId="0" applyFont="1" applyFill="1" applyBorder="1" applyAlignment="1" applyProtection="1">
      <alignment horizontal="left" vertical="center" wrapText="1"/>
      <protection locked="0"/>
    </xf>
    <xf numFmtId="0" fontId="297" fillId="0" borderId="1" xfId="0" applyFont="1" applyFill="1" applyBorder="1" applyAlignment="1">
      <alignment horizontal="center" vertical="center" wrapText="1"/>
    </xf>
    <xf numFmtId="31" fontId="297" fillId="0" borderId="1" xfId="0" applyNumberFormat="1" applyFont="1" applyFill="1" applyBorder="1" applyAlignment="1">
      <alignment horizontal="center" vertical="center" wrapText="1"/>
    </xf>
    <xf numFmtId="0" fontId="296" fillId="0" borderId="1" xfId="0" applyFont="1" applyFill="1" applyBorder="1" applyAlignment="1">
      <alignment horizontal="center"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53234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twoCellAnchor editAs="oneCell">
    <xdr:from>
      <xdr:col>0</xdr:col>
      <xdr:colOff>0</xdr:colOff>
      <xdr:row>158</xdr:row>
      <xdr:rowOff>45720</xdr:rowOff>
    </xdr:from>
    <xdr:to>
      <xdr:col>14</xdr:col>
      <xdr:colOff>225539</xdr:colOff>
      <xdr:row>174</xdr:row>
      <xdr:rowOff>129164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705040"/>
          <a:ext cx="9247619" cy="3009524"/>
        </a:xfrm>
        <a:prstGeom prst="rect">
          <a:avLst/>
        </a:prstGeom>
      </xdr:spPr>
    </xdr:pic>
    <xdr:clientData/>
  </xdr:twoCellAnchor>
  <xdr:twoCellAnchor editAs="oneCell">
    <xdr:from>
      <xdr:col>0</xdr:col>
      <xdr:colOff>0</xdr:colOff>
      <xdr:row>91</xdr:row>
      <xdr:rowOff>0</xdr:rowOff>
    </xdr:from>
    <xdr:to>
      <xdr:col>4</xdr:col>
      <xdr:colOff>387265</xdr:colOff>
      <xdr:row>130</xdr:row>
      <xdr:rowOff>38100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0406360"/>
          <a:ext cx="3313345" cy="7170420"/>
        </a:xfrm>
        <a:prstGeom prst="rect">
          <a:avLst/>
        </a:prstGeom>
      </xdr:spPr>
    </xdr:pic>
    <xdr:clientData/>
  </xdr:twoCellAnchor>
  <xdr:twoCellAnchor editAs="oneCell">
    <xdr:from>
      <xdr:col>4</xdr:col>
      <xdr:colOff>243840</xdr:colOff>
      <xdr:row>90</xdr:row>
      <xdr:rowOff>91440</xdr:rowOff>
    </xdr:from>
    <xdr:to>
      <xdr:col>10</xdr:col>
      <xdr:colOff>22823</xdr:colOff>
      <xdr:row>131</xdr:row>
      <xdr:rowOff>30480</xdr:rowOff>
    </xdr:to>
    <xdr:pic>
      <xdr:nvPicPr>
        <xdr:cNvPr id="16" name="图片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69920" y="20314920"/>
          <a:ext cx="3436583" cy="7437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2026年3月6日（评估专业人员实地查勘之日）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612.3329</v>
      </c>
    </row>
    <row r="21" spans="1:2" s="843" customFormat="1">
      <c r="A21" s="841" t="s">
        <v>531</v>
      </c>
      <c r="B21" s="842">
        <f ca="1">'预评函-2'!D7</f>
        <v>886821</v>
      </c>
    </row>
    <row r="22" spans="1:2" s="843" customFormat="1">
      <c r="A22" s="841" t="s">
        <v>532</v>
      </c>
      <c r="B22" s="842" t="str">
        <f ca="1">'预评函-2'!D6</f>
        <v>陆佰壹拾贰万叁仟叁佰贰拾玖元整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612.3329</v>
      </c>
    </row>
    <row r="31" spans="1:2" s="843" customFormat="1">
      <c r="A31" s="841" t="s">
        <v>570</v>
      </c>
      <c r="B31" s="842">
        <f ca="1">'预评函-2'!D15</f>
        <v>886821</v>
      </c>
    </row>
    <row r="32" spans="1:2" s="843" customFormat="1">
      <c r="A32" s="841" t="s">
        <v>537</v>
      </c>
      <c r="B32" s="842" t="str">
        <f ca="1">'预评函-2'!D14</f>
        <v>陆佰壹拾贰万叁仟叁佰贰拾玖元整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B29" sqref="B29"/>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4114</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4117</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4"/>
      <c r="B54" s="1160" t="s">
        <v>379</v>
      </c>
      <c r="C54" s="1157" t="s">
        <v>577</v>
      </c>
    </row>
    <row r="55" spans="1:4">
      <c r="A55" s="4704"/>
      <c r="B55" s="1160" t="s">
        <v>380</v>
      </c>
      <c r="C55" s="1157" t="s">
        <v>578</v>
      </c>
    </row>
    <row r="56" spans="1:4">
      <c r="A56" s="4704"/>
      <c r="B56" s="1160" t="s">
        <v>381</v>
      </c>
      <c r="C56" s="1157" t="s">
        <v>582</v>
      </c>
    </row>
    <row r="57" spans="1:4">
      <c r="A57" s="470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5" t="s">
        <v>2468</v>
      </c>
      <c r="J2" s="4706"/>
      <c r="K2" s="4706"/>
      <c r="L2" s="4706"/>
      <c r="M2" s="4706"/>
      <c r="N2" s="4706"/>
      <c r="O2" s="4706"/>
      <c r="P2" s="4706"/>
      <c r="Q2" s="4706"/>
      <c r="R2" s="4707"/>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5" t="s">
        <v>3669</v>
      </c>
      <c r="J8" s="4706"/>
      <c r="K8" s="4706"/>
      <c r="L8" s="4706"/>
      <c r="M8" s="4706"/>
      <c r="N8" s="4706"/>
      <c r="O8" s="4706"/>
      <c r="P8" s="4706"/>
      <c r="Q8" s="4706"/>
      <c r="R8" s="4707"/>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10"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11"/>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11"/>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11"/>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11"/>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11"/>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11"/>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11"/>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12"/>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8" t="s">
        <v>3981</v>
      </c>
      <c r="J49" s="4708"/>
      <c r="K49" s="4708"/>
      <c r="L49" s="4708"/>
      <c r="M49" s="4708"/>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9" t="s">
        <v>3366</v>
      </c>
      <c r="J57" s="4709"/>
      <c r="K57" s="4709"/>
      <c r="L57" s="4709"/>
      <c r="M57" s="4709"/>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13" t="str">
        <f>IF(B10="北京市","北京市",C10)&amp;F10&amp;IF(结果表!G1="在建","出让国有建设用地使用权及在建建筑物",IF(结果表!G1="土地","出让国有建设用地使用权",))&amp;B9&amp;"预评估"</f>
        <v>北京市房地产市场价值预评估</v>
      </c>
      <c r="C1" s="4714"/>
      <c r="D1" s="4714"/>
      <c r="E1" s="4714"/>
      <c r="F1" s="4714"/>
      <c r="G1" s="4714"/>
      <c r="H1" s="4714"/>
      <c r="I1" s="471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46087</v>
      </c>
      <c r="C3" s="1866" t="s">
        <v>2074</v>
      </c>
      <c r="D3" s="1865">
        <f>B3</f>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16"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17"/>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37.299999999999997</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23"/>
      <c r="C16" s="4724"/>
      <c r="D16" s="4725"/>
      <c r="E16" s="1902" t="s">
        <v>2097</v>
      </c>
      <c r="F16" s="4726"/>
      <c r="G16" s="4727"/>
      <c r="H16" s="4727"/>
      <c r="I16" s="4728"/>
      <c r="J16" s="1926"/>
      <c r="K16" s="2052"/>
      <c r="L16" s="1938"/>
      <c r="M16" s="1938"/>
      <c r="N16" s="1996"/>
      <c r="O16" s="1938"/>
      <c r="P16" s="1996"/>
      <c r="Q16" s="1926"/>
      <c r="R16" s="1926"/>
    </row>
    <row r="17" spans="1:28">
      <c r="A17" s="201" t="s">
        <v>2098</v>
      </c>
      <c r="B17" s="190" t="s">
        <v>2099</v>
      </c>
      <c r="C17" s="9">
        <f>'数据-汇总表'!E3</f>
        <v>262.77</v>
      </c>
      <c r="D17" s="1818" t="s">
        <v>2100</v>
      </c>
      <c r="E17" s="4729" t="s">
        <v>2101</v>
      </c>
      <c r="F17" s="4730"/>
      <c r="G17" s="4730"/>
      <c r="H17" s="4730"/>
      <c r="I17" s="4731"/>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32" t="s">
        <v>2105</v>
      </c>
      <c r="F18" s="4733"/>
      <c r="G18" s="4733"/>
      <c r="H18" s="4733"/>
      <c r="I18" s="4734"/>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19" t="s">
        <v>2109</v>
      </c>
      <c r="C20" s="4720"/>
      <c r="D20" s="4721" t="s">
        <v>2110</v>
      </c>
      <c r="E20" s="4722"/>
      <c r="F20" s="2082" t="s">
        <v>1039</v>
      </c>
      <c r="G20" s="2097"/>
      <c r="H20" s="2097"/>
      <c r="I20" s="2097"/>
      <c r="J20" s="1926"/>
      <c r="K20" s="4718"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1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1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36"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36"/>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36"/>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37"/>
      <c r="B30" s="190" t="s">
        <v>2121</v>
      </c>
      <c r="C30" s="4738"/>
      <c r="D30" s="4739"/>
      <c r="E30" s="2097"/>
      <c r="F30" s="2097"/>
      <c r="G30" s="2097"/>
      <c r="H30" s="2097"/>
      <c r="I30" s="2097"/>
      <c r="J30" s="1926"/>
      <c r="K30" s="2051"/>
      <c r="L30" s="2048"/>
      <c r="M30" s="2048"/>
      <c r="N30" s="1926"/>
      <c r="O30" s="1937"/>
      <c r="P30" s="1926"/>
      <c r="Q30" s="1926"/>
      <c r="R30" s="1926"/>
      <c r="S30" s="1926"/>
      <c r="T30" s="1926"/>
      <c r="U30" s="1926"/>
      <c r="V30" s="1926"/>
    </row>
    <row r="31" spans="1:28">
      <c r="A31" s="4740"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41"/>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41"/>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35" t="s">
        <v>2131</v>
      </c>
      <c r="T34" s="1915" t="str">
        <f>NUMBERSTRING(7-K34,1)&amp;"通"</f>
        <v>七通</v>
      </c>
      <c r="U34" s="1926"/>
      <c r="V34" s="1926"/>
    </row>
    <row r="35" spans="1:30">
      <c r="A35" s="1916"/>
      <c r="B35" s="4735" t="s">
        <v>2132</v>
      </c>
      <c r="C35" s="4735"/>
      <c r="D35" s="4735"/>
      <c r="E35" s="4735"/>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35"/>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51" t="s">
        <v>1113</v>
      </c>
      <c r="B2" s="4751"/>
      <c r="C2" s="4751"/>
      <c r="D2" s="549" t="s">
        <v>1089</v>
      </c>
      <c r="E2" s="1237" t="s">
        <v>1090</v>
      </c>
      <c r="F2" s="2092"/>
      <c r="G2" s="2085"/>
      <c r="H2" s="2086"/>
      <c r="I2" s="1821" t="s">
        <v>1114</v>
      </c>
      <c r="J2" s="2092"/>
      <c r="K2" s="2092"/>
      <c r="L2" s="2092"/>
      <c r="M2" s="2092"/>
      <c r="N2" s="2094"/>
      <c r="O2" s="2092"/>
      <c r="P2" s="2092"/>
    </row>
    <row r="3" spans="1:16" ht="15" thickBot="1">
      <c r="A3" s="4752" t="s">
        <v>1087</v>
      </c>
      <c r="B3" s="4752"/>
      <c r="C3" s="4752"/>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53"/>
      <c r="B4" s="4754"/>
      <c r="C4" s="4755"/>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6" t="s">
        <v>1092</v>
      </c>
      <c r="C5" s="4756"/>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6" t="s">
        <v>1093</v>
      </c>
      <c r="C6" s="4756"/>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8"/>
      <c r="B7" s="4749"/>
      <c r="C7" s="4750"/>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5" t="s">
        <v>1117</v>
      </c>
      <c r="L16" s="4746"/>
      <c r="M16" s="4746"/>
      <c r="N16" s="4746"/>
      <c r="O16" s="4746"/>
      <c r="P16" s="4747"/>
    </row>
    <row r="17" spans="1:19" ht="14.4">
      <c r="A17" s="1248" t="s">
        <v>1118</v>
      </c>
      <c r="B17" s="1249" t="s">
        <v>1119</v>
      </c>
      <c r="C17" s="1250" t="s">
        <v>1120</v>
      </c>
      <c r="D17" s="1251" t="s">
        <v>1108</v>
      </c>
      <c r="E17" s="1252" t="s">
        <v>1109</v>
      </c>
      <c r="F17" s="1253"/>
      <c r="G17" s="1254"/>
      <c r="H17" s="1255" t="s">
        <v>1121</v>
      </c>
      <c r="I17" s="1256" t="s">
        <v>1106</v>
      </c>
      <c r="J17" s="804"/>
      <c r="K17" s="4742" t="s">
        <v>1122</v>
      </c>
      <c r="L17" s="4743"/>
      <c r="M17" s="4744"/>
      <c r="N17" s="4742" t="s">
        <v>1123</v>
      </c>
      <c r="O17" s="4743"/>
      <c r="P17" s="4744"/>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37.299999999999997</v>
      </c>
      <c r="G6" s="3557">
        <f t="shared" ref="G6:G13" si="0">IF(ISERROR(ROUND(POWER(1+H6,D6-F6)*(POWER(1+H6,F6)-1)/(POWER(1+H6,D6)-1),4)),0,ROUND(POWER(1+H6,D6-F6)*(POWER(1+H6,F6)-1)/(POWER(1+H6,D6)-1),4))</f>
        <v>0</v>
      </c>
      <c r="H6" s="3558"/>
      <c r="I6" s="3558">
        <v>0.04</v>
      </c>
      <c r="J6" s="3559"/>
      <c r="K6" s="4140">
        <f>SUMIF('数据-汇总表'!C$19:C$33,A6,'数据-汇总表'!E$19:E$33)</f>
        <v>262.77</v>
      </c>
      <c r="L6" s="4141">
        <v>3000</v>
      </c>
      <c r="M6" s="4142">
        <f t="shared" ref="M6:M14" si="1">ROUND(K6*L6/10000,0)</f>
        <v>79</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t="e">
        <f>'比较法-租金'!C49/U23</f>
        <v>#DIV/0!</v>
      </c>
      <c r="V6" s="36">
        <v>1.4999999999999999E-2</v>
      </c>
      <c r="W6" s="36">
        <v>0.15</v>
      </c>
      <c r="X6" s="721"/>
      <c r="Y6" s="37">
        <f>N6</f>
        <v>0.6</v>
      </c>
      <c r="Z6" s="4168"/>
      <c r="AA6" s="35"/>
      <c r="AB6" s="35"/>
      <c r="AC6" s="721"/>
      <c r="AD6" s="38"/>
      <c r="AE6" s="4172">
        <f ca="1">IF(AN6="",0,SUMIF(INDIRECT("'"&amp;AN6&amp;"'"&amp;"!E:E"),$AE$5,INDIRECT("'"&amp;AN6&amp;"'"&amp;"!F:F")))</f>
        <v>37.299999999999997</v>
      </c>
      <c r="AF6" s="4173"/>
      <c r="AG6" s="4174">
        <f>IF(AF6="",0,AE6-AF6)</f>
        <v>0</v>
      </c>
      <c r="AH6" s="4163">
        <f>'数据-汇总表'!F19</f>
        <v>262.77</v>
      </c>
      <c r="AI6" s="4177">
        <v>12</v>
      </c>
      <c r="AJ6" s="4173"/>
      <c r="AK6" s="39">
        <v>2E-3</v>
      </c>
      <c r="AL6" s="40">
        <v>1E-3</v>
      </c>
      <c r="AM6" s="41">
        <v>0.01</v>
      </c>
      <c r="AN6" s="1308" t="s">
        <v>4028</v>
      </c>
      <c r="AO6" s="4116" t="e">
        <f ca="1">SUMIF(INDIRECT("'"&amp;AN6&amp;"'"&amp;"!A:A"),"总价",INDIRECT("'"&amp;AN6&amp;"'"&amp;"!B:B"))</f>
        <v>#DIV/0!</v>
      </c>
      <c r="AP6" s="4116">
        <f>IF(C6="住宅",K6*L6,0)</f>
        <v>788310</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3006</v>
      </c>
      <c r="M16" s="4145">
        <f>SUM(M6:M14)</f>
        <v>79</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4104</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v>1</v>
      </c>
      <c r="C21" s="2106"/>
      <c r="D21" s="2109"/>
      <c r="E21" s="2106"/>
      <c r="F21" s="2106"/>
      <c r="G21" s="2106"/>
      <c r="H21" s="2106"/>
      <c r="I21" s="2106"/>
      <c r="J21" s="2106"/>
      <c r="K21" s="2105"/>
      <c r="L21" s="2105"/>
      <c r="M21" s="2104"/>
      <c r="N21" s="2104">
        <v>0.7</v>
      </c>
      <c r="O21" s="2104">
        <f>1-O20</f>
        <v>0.7</v>
      </c>
      <c r="P21" s="2104"/>
      <c r="Q21" s="2104"/>
      <c r="R21" s="2104"/>
      <c r="S21" s="2104"/>
      <c r="T21" s="4649" t="s">
        <v>4105</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1</v>
      </c>
      <c r="C23" s="2106"/>
      <c r="D23" s="2109"/>
      <c r="E23" s="2106"/>
      <c r="F23" s="2106"/>
      <c r="G23" s="2106"/>
      <c r="H23" s="2106"/>
      <c r="I23" s="2106"/>
      <c r="J23" s="2106"/>
      <c r="K23" s="2105"/>
      <c r="L23" s="2105"/>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7" t="s">
        <v>2189</v>
      </c>
      <c r="B1" s="4758"/>
      <c r="C1" s="4758"/>
      <c r="D1" s="4758"/>
      <c r="E1" s="4758"/>
      <c r="F1" s="4758"/>
      <c r="G1" s="475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8" sqref="G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46087</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612</v>
      </c>
      <c r="C5" s="3911">
        <f ca="1">ROUND(B5*10000/$B$1,0)</f>
        <v>23290</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612</v>
      </c>
      <c r="E14" s="3907">
        <f ca="1">结果表!G20</f>
        <v>23303</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41" t="str">
        <f>项目基本情况!S2</f>
        <v>北京市房地产</v>
      </c>
      <c r="B2" s="4842"/>
      <c r="C2" s="4842"/>
      <c r="D2" s="4842"/>
      <c r="E2" s="4842"/>
      <c r="F2" s="4842"/>
      <c r="G2" s="4842"/>
      <c r="H2" s="4842"/>
      <c r="I2" s="4843"/>
    </row>
    <row r="3" spans="1:12" ht="13.2">
      <c r="A3" s="4845" t="s">
        <v>1241</v>
      </c>
      <c r="B3" s="4846"/>
      <c r="C3" s="4846"/>
      <c r="D3" s="4846"/>
      <c r="E3" s="4846"/>
      <c r="F3" s="4846"/>
      <c r="G3" s="4846"/>
      <c r="H3" s="4846"/>
      <c r="I3" s="4846"/>
    </row>
    <row r="4" spans="1:12" ht="14.4">
      <c r="A4" s="1343" t="s">
        <v>1242</v>
      </c>
      <c r="B4" s="1344" t="s">
        <v>1243</v>
      </c>
      <c r="C4" s="3816" t="s">
        <v>4113</v>
      </c>
      <c r="D4" s="3816" t="s">
        <v>4106</v>
      </c>
      <c r="E4" s="4847" t="s">
        <v>1244</v>
      </c>
      <c r="F4" s="4848"/>
      <c r="G4" s="4848"/>
      <c r="H4" s="4848"/>
      <c r="I4" s="4849"/>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782" t="s">
        <v>1245</v>
      </c>
      <c r="B5" s="4844">
        <v>25</v>
      </c>
      <c r="C5" s="4825">
        <v>5</v>
      </c>
      <c r="D5" s="4820">
        <f>10-C5</f>
        <v>5</v>
      </c>
      <c r="E5" s="53" t="s">
        <v>1246</v>
      </c>
      <c r="F5" s="1345"/>
      <c r="G5" s="1345"/>
      <c r="H5" s="1345"/>
      <c r="I5" s="980"/>
    </row>
    <row r="6" spans="1:12" ht="13.2">
      <c r="A6" s="4782"/>
      <c r="B6" s="4844"/>
      <c r="C6" s="4826"/>
      <c r="D6" s="4820"/>
      <c r="E6" s="53" t="s">
        <v>1247</v>
      </c>
      <c r="F6" s="1345"/>
      <c r="G6" s="1345"/>
      <c r="H6" s="1345"/>
      <c r="I6" s="980"/>
    </row>
    <row r="7" spans="1:12" ht="13.2">
      <c r="A7" s="4782"/>
      <c r="B7" s="4844"/>
      <c r="C7" s="4827"/>
      <c r="D7" s="4820"/>
      <c r="E7" s="53" t="s">
        <v>1248</v>
      </c>
      <c r="F7" s="1345"/>
      <c r="G7" s="1345"/>
      <c r="H7" s="1345"/>
      <c r="I7" s="980"/>
    </row>
    <row r="8" spans="1:12" ht="13.2">
      <c r="A8" s="4782" t="s">
        <v>1249</v>
      </c>
      <c r="B8" s="4844">
        <v>15</v>
      </c>
      <c r="C8" s="4825"/>
      <c r="D8" s="4820"/>
      <c r="E8" s="53" t="s">
        <v>1250</v>
      </c>
      <c r="F8" s="1345"/>
      <c r="G8" s="1345"/>
      <c r="H8" s="1345"/>
      <c r="I8" s="980"/>
    </row>
    <row r="9" spans="1:12" ht="13.2">
      <c r="A9" s="4782"/>
      <c r="B9" s="4844"/>
      <c r="C9" s="4827"/>
      <c r="D9" s="4820"/>
      <c r="E9" s="53" t="s">
        <v>1251</v>
      </c>
      <c r="F9" s="1345"/>
      <c r="G9" s="1345"/>
      <c r="H9" s="1345"/>
      <c r="I9" s="980"/>
    </row>
    <row r="10" spans="1:12" ht="13.2">
      <c r="A10" s="4782" t="s">
        <v>1252</v>
      </c>
      <c r="B10" s="4844">
        <v>15</v>
      </c>
      <c r="C10" s="4825"/>
      <c r="D10" s="4820"/>
      <c r="E10" s="53" t="s">
        <v>1253</v>
      </c>
      <c r="F10" s="1345"/>
      <c r="G10" s="1345"/>
      <c r="H10" s="1345"/>
      <c r="I10" s="980"/>
    </row>
    <row r="11" spans="1:12" ht="13.2">
      <c r="A11" s="4782"/>
      <c r="B11" s="4844"/>
      <c r="C11" s="4827"/>
      <c r="D11" s="4820"/>
      <c r="E11" s="53" t="s">
        <v>1254</v>
      </c>
      <c r="F11" s="1345"/>
      <c r="G11" s="1345"/>
      <c r="H11" s="1345"/>
      <c r="I11" s="980"/>
    </row>
    <row r="12" spans="1:12" ht="13.2">
      <c r="A12" s="4782" t="s">
        <v>1255</v>
      </c>
      <c r="B12" s="4844">
        <v>15</v>
      </c>
      <c r="C12" s="4825"/>
      <c r="D12" s="4820"/>
      <c r="E12" s="53" t="s">
        <v>1256</v>
      </c>
      <c r="F12" s="1345"/>
      <c r="G12" s="1345"/>
      <c r="H12" s="1345"/>
      <c r="I12" s="980"/>
    </row>
    <row r="13" spans="1:12" ht="13.2">
      <c r="A13" s="4782"/>
      <c r="B13" s="4844"/>
      <c r="C13" s="4827"/>
      <c r="D13" s="4820"/>
      <c r="E13" s="53" t="s">
        <v>1257</v>
      </c>
      <c r="F13" s="1345"/>
      <c r="G13" s="1345"/>
      <c r="H13" s="1345"/>
      <c r="I13" s="980"/>
    </row>
    <row r="14" spans="1:12" ht="13.2">
      <c r="A14" s="4782" t="s">
        <v>1258</v>
      </c>
      <c r="B14" s="4844">
        <v>30</v>
      </c>
      <c r="C14" s="4825"/>
      <c r="D14" s="4820"/>
      <c r="E14" s="53" t="s">
        <v>1259</v>
      </c>
      <c r="F14" s="1345"/>
      <c r="G14" s="1345"/>
      <c r="H14" s="1345"/>
      <c r="I14" s="980"/>
    </row>
    <row r="15" spans="1:12" ht="13.2">
      <c r="A15" s="4782"/>
      <c r="B15" s="4844"/>
      <c r="C15" s="4826"/>
      <c r="D15" s="4820"/>
      <c r="E15" s="53" t="s">
        <v>1260</v>
      </c>
      <c r="F15" s="1345"/>
      <c r="G15" s="1345"/>
      <c r="H15" s="1345"/>
      <c r="I15" s="980"/>
    </row>
    <row r="16" spans="1:12" ht="13.2">
      <c r="A16" s="4782"/>
      <c r="B16" s="4844"/>
      <c r="C16" s="4827"/>
      <c r="D16" s="4820"/>
      <c r="E16" s="53" t="s">
        <v>1261</v>
      </c>
      <c r="F16" s="1345"/>
      <c r="G16" s="1345"/>
      <c r="H16" s="1345"/>
      <c r="I16" s="980"/>
    </row>
    <row r="17" spans="1:36" ht="14.4">
      <c r="A17" s="1346" t="s">
        <v>1262</v>
      </c>
      <c r="B17" s="3815"/>
      <c r="C17" s="3914">
        <f>SUM(C5:C16)</f>
        <v>5</v>
      </c>
      <c r="D17" s="3914">
        <f>SUM(D5:D16)</f>
        <v>5</v>
      </c>
      <c r="E17" s="51"/>
      <c r="F17" s="51"/>
      <c r="G17" s="51"/>
      <c r="H17" s="51"/>
      <c r="I17" s="51"/>
      <c r="K17" s="190"/>
      <c r="L17" s="190" t="s">
        <v>1263</v>
      </c>
      <c r="M17" s="190" t="s">
        <v>1264</v>
      </c>
    </row>
    <row r="18" spans="1:36" ht="31.95" customHeight="1" thickBot="1">
      <c r="A18" s="1347" t="s">
        <v>1265</v>
      </c>
      <c r="B18" s="1348"/>
      <c r="C18" s="3915">
        <f>ROUND(C17/SUM(C17:D17),2)</f>
        <v>0.5</v>
      </c>
      <c r="D18" s="3915">
        <f>1-C18</f>
        <v>0.5</v>
      </c>
      <c r="E18" s="4832" t="s">
        <v>2034</v>
      </c>
      <c r="F18" s="4833"/>
      <c r="G18" s="4833"/>
      <c r="H18" s="4833"/>
      <c r="I18" s="4833"/>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643.68140000000005</v>
      </c>
      <c r="D19" s="3917">
        <f ca="1">SUMIF(INDIRECT("'"&amp;D4&amp;"'"&amp;"!A:A"),结果表!B19,INDIRECT("'"&amp;D4&amp;"'"&amp;"!B:B"))</f>
        <v>580.95740000000001</v>
      </c>
      <c r="E19" s="1349" t="s">
        <v>1269</v>
      </c>
      <c r="F19" s="1350" t="s">
        <v>1268</v>
      </c>
      <c r="G19" s="3922">
        <f ca="1">ROUND(C19*$C$18+D19*$D$18,0)</f>
        <v>612</v>
      </c>
      <c r="H19" s="1351" t="s">
        <v>1270</v>
      </c>
      <c r="I19" s="3925">
        <f ca="1">ROUND(C19*$C$18+D19*$D$18,4)</f>
        <v>612.31939999999997</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24496</v>
      </c>
      <c r="D20" s="3919">
        <f ca="1">SUMIF(INDIRECT("'"&amp;D4&amp;"'"&amp;"!A:A"),结果表!B20,INDIRECT("'"&amp;D4&amp;"'"&amp;"!B:B"))</f>
        <v>22109</v>
      </c>
      <c r="E20" s="1352"/>
      <c r="F20" s="714" t="s">
        <v>1272</v>
      </c>
      <c r="G20" s="3923">
        <f ca="1">ROUND(C20*$C$18+D20*$D$18,0)</f>
        <v>23303</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0.10796660822290938</v>
      </c>
      <c r="E22" s="3637"/>
      <c r="F22" s="3639"/>
      <c r="G22" s="3924">
        <f ca="1">ROUND(G19/('数据-汇总表'!D3/666.67),0)</f>
        <v>654</v>
      </c>
      <c r="H22" s="3638" t="s">
        <v>3625</v>
      </c>
      <c r="I22" s="51"/>
    </row>
    <row r="23" spans="1:36" ht="13.8" thickBot="1">
      <c r="A23" s="1336"/>
      <c r="B23" s="1336"/>
      <c r="C23" s="1336"/>
      <c r="D23" s="1336"/>
      <c r="E23" s="51"/>
      <c r="F23" s="51"/>
      <c r="G23" s="51"/>
      <c r="H23" s="51"/>
      <c r="I23" s="51"/>
    </row>
    <row r="24" spans="1:36" ht="14.4">
      <c r="A24" s="4865" t="s">
        <v>1276</v>
      </c>
      <c r="B24" s="1350" t="s">
        <v>1268</v>
      </c>
      <c r="C24" s="3922">
        <f>IF(B30=0,0,D30)</f>
        <v>0</v>
      </c>
      <c r="D24" s="3927"/>
      <c r="E24" s="51"/>
      <c r="F24" s="51"/>
      <c r="G24" s="51"/>
      <c r="H24" s="51"/>
      <c r="I24" s="51"/>
    </row>
    <row r="25" spans="1:36" ht="14.4">
      <c r="A25" s="4866"/>
      <c r="B25" s="3647" t="s">
        <v>3628</v>
      </c>
      <c r="C25" s="3928">
        <f>IF(B30=0,0,C30)</f>
        <v>0</v>
      </c>
      <c r="D25" s="3929"/>
      <c r="E25" s="51"/>
      <c r="F25" s="51"/>
      <c r="G25" s="51"/>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23303</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37" t="s">
        <v>1289</v>
      </c>
      <c r="B36" s="1370" t="s">
        <v>1290</v>
      </c>
      <c r="C36" s="3938"/>
      <c r="D36" s="1371"/>
      <c r="E36" s="1372"/>
      <c r="F36" s="1373"/>
      <c r="G36" s="51"/>
      <c r="H36" s="51"/>
      <c r="I36" s="51"/>
    </row>
    <row r="37" spans="1:19" ht="15" thickBot="1">
      <c r="A37" s="4838"/>
      <c r="B37" s="1268" t="s">
        <v>1291</v>
      </c>
      <c r="C37" s="3939"/>
      <c r="D37" s="804"/>
      <c r="E37" s="804"/>
      <c r="F37" s="1373"/>
      <c r="G37" s="51"/>
      <c r="H37" s="51"/>
      <c r="I37" s="51"/>
    </row>
    <row r="38" spans="1:19" ht="15" thickBot="1">
      <c r="A38" s="4839"/>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862" t="s">
        <v>1303</v>
      </c>
      <c r="B45" s="4863"/>
      <c r="C45" s="4864"/>
      <c r="D45" s="3946">
        <f ca="1">ROUND(H101*F45,0)</f>
        <v>612</v>
      </c>
      <c r="E45" s="61" t="s">
        <v>1304</v>
      </c>
      <c r="F45" s="62">
        <v>1</v>
      </c>
      <c r="G45" s="63" t="s">
        <v>1305</v>
      </c>
      <c r="H45" s="51"/>
      <c r="I45" s="51"/>
      <c r="J45" s="4867" t="s">
        <v>1306</v>
      </c>
      <c r="K45" s="4867"/>
      <c r="L45" s="4867"/>
      <c r="M45" s="4867"/>
      <c r="N45" s="4867"/>
      <c r="O45" s="4867"/>
    </row>
    <row r="46" spans="1:19" ht="14.25" customHeight="1">
      <c r="A46" s="4859" t="s">
        <v>1307</v>
      </c>
      <c r="B46" s="4860"/>
      <c r="C46" s="4860"/>
      <c r="D46" s="4860"/>
      <c r="E46" s="4860"/>
      <c r="F46" s="4860"/>
      <c r="G46" s="4861"/>
      <c r="H46" s="1389"/>
      <c r="I46" s="64"/>
      <c r="J46" s="2007">
        <v>1</v>
      </c>
      <c r="K46" s="4868" t="s">
        <v>1308</v>
      </c>
      <c r="L46" s="4868"/>
      <c r="M46" s="4869"/>
      <c r="N46" s="4869"/>
      <c r="O46" s="4869"/>
    </row>
    <row r="47" spans="1:19" ht="12" customHeight="1">
      <c r="A47" s="65" t="s">
        <v>1309</v>
      </c>
      <c r="B47" s="66"/>
      <c r="C47" s="67"/>
      <c r="D47" s="762" t="s">
        <v>1310</v>
      </c>
      <c r="E47" s="190" t="s">
        <v>1311</v>
      </c>
      <c r="F47" s="68" t="s">
        <v>1312</v>
      </c>
      <c r="G47" s="2022" t="s">
        <v>1313</v>
      </c>
      <c r="H47" s="2023"/>
      <c r="I47" s="64"/>
      <c r="J47" s="2007">
        <v>2</v>
      </c>
      <c r="K47" s="4868" t="s">
        <v>1314</v>
      </c>
      <c r="L47" s="4868"/>
      <c r="M47" s="4870">
        <f>'数据-取费表'!B2</f>
        <v>46087</v>
      </c>
      <c r="N47" s="4870"/>
      <c r="O47" s="4870"/>
    </row>
    <row r="48" spans="1:19" ht="26.4">
      <c r="A48" s="4840" t="s">
        <v>1315</v>
      </c>
      <c r="B48" s="4824"/>
      <c r="C48" s="4824"/>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868" t="s">
        <v>1317</v>
      </c>
      <c r="L48" s="4868"/>
      <c r="M48" s="4871">
        <f ca="1">H101</f>
        <v>612.3329</v>
      </c>
      <c r="N48" s="4871"/>
      <c r="O48" s="4871"/>
      <c r="R48" s="3665" t="s">
        <v>3642</v>
      </c>
      <c r="S48" s="3666"/>
    </row>
    <row r="49" spans="1:35" ht="25.5" customHeight="1">
      <c r="A49" s="3809" t="s">
        <v>1318</v>
      </c>
      <c r="B49" s="4808" t="s">
        <v>1319</v>
      </c>
      <c r="C49" s="4808"/>
      <c r="D49" s="3948">
        <v>0</v>
      </c>
      <c r="E49" s="211" t="s">
        <v>1320</v>
      </c>
      <c r="F49" s="3800" t="s">
        <v>26</v>
      </c>
      <c r="G49" s="4800"/>
      <c r="H49" s="3658" t="s">
        <v>2037</v>
      </c>
      <c r="I49" s="3659"/>
      <c r="J49" s="2007">
        <v>4</v>
      </c>
      <c r="K49" s="4868" t="str">
        <f>IF(项目基本情况!E8="房地产抵押价值","房地产抵押价值","抵押担保权已注销时的房地产抵押价值")</f>
        <v>抵押担保权已注销时的房地产抵押价值</v>
      </c>
      <c r="L49" s="4868"/>
      <c r="M49" s="4871" t="str">
        <f>IF(项目基本情况!E8="房地产抵押价值",H107,H109)</f>
        <v>——</v>
      </c>
      <c r="N49" s="4871"/>
      <c r="O49" s="4871"/>
      <c r="R49" s="3667" t="s">
        <v>3643</v>
      </c>
      <c r="S49" s="3665" t="s">
        <v>3644</v>
      </c>
    </row>
    <row r="50" spans="1:35" ht="25.5" customHeight="1">
      <c r="A50" s="3810"/>
      <c r="B50" s="4808" t="s">
        <v>1321</v>
      </c>
      <c r="C50" s="4808"/>
      <c r="D50" s="3949"/>
      <c r="E50" s="219"/>
      <c r="F50" s="3800"/>
      <c r="G50" s="4801"/>
      <c r="H50" s="3660" t="s">
        <v>2038</v>
      </c>
      <c r="I50" s="3659"/>
      <c r="J50" s="4867" t="s">
        <v>1322</v>
      </c>
      <c r="K50" s="4867"/>
      <c r="L50" s="4867"/>
      <c r="M50" s="4867"/>
      <c r="N50" s="4867"/>
      <c r="O50" s="4867"/>
      <c r="R50" s="3667" t="s">
        <v>3645</v>
      </c>
      <c r="S50" s="3665" t="s">
        <v>3646</v>
      </c>
    </row>
    <row r="51" spans="1:35" ht="20.399999999999999" customHeight="1">
      <c r="A51" s="3811"/>
      <c r="B51" s="4808" t="s">
        <v>1323</v>
      </c>
      <c r="C51" s="4808"/>
      <c r="D51" s="3950"/>
      <c r="E51" s="214"/>
      <c r="F51" s="3800"/>
      <c r="G51" s="4802"/>
      <c r="H51" s="3660" t="s">
        <v>2039</v>
      </c>
      <c r="I51" s="3659"/>
      <c r="J51" s="2008" t="s">
        <v>1324</v>
      </c>
      <c r="K51" s="4868" t="s">
        <v>1325</v>
      </c>
      <c r="L51" s="4868"/>
      <c r="M51" s="2008" t="s">
        <v>1326</v>
      </c>
      <c r="N51" s="2008" t="s">
        <v>1327</v>
      </c>
      <c r="O51" s="2008" t="s">
        <v>1328</v>
      </c>
      <c r="R51" s="3667" t="s">
        <v>3647</v>
      </c>
      <c r="S51" s="3666" t="s">
        <v>3648</v>
      </c>
    </row>
    <row r="52" spans="1:35" ht="24" customHeight="1">
      <c r="A52" s="3801" t="s">
        <v>1329</v>
      </c>
      <c r="B52" s="4808" t="s">
        <v>1330</v>
      </c>
      <c r="C52" s="4808"/>
      <c r="D52" s="3950">
        <f ca="1">ROUND(D45*F52/(1+F52),0)</f>
        <v>18</v>
      </c>
      <c r="E52" s="3802" t="s">
        <v>1331</v>
      </c>
      <c r="F52" s="2026">
        <v>0.03</v>
      </c>
      <c r="G52" s="947" t="s">
        <v>3689</v>
      </c>
      <c r="H52" s="2020"/>
      <c r="I52" s="1390"/>
      <c r="J52" s="2007">
        <v>1</v>
      </c>
      <c r="K52" s="4797" t="s">
        <v>1332</v>
      </c>
      <c r="L52" s="4797"/>
      <c r="M52" s="3952">
        <f>IF(D48&lt;=0,0,D48)</f>
        <v>0</v>
      </c>
      <c r="N52" s="2007" t="str">
        <f>E48</f>
        <v>销售额×税（费）率</v>
      </c>
      <c r="O52" s="3840">
        <f>F48</f>
        <v>0</v>
      </c>
      <c r="R52" s="3665" t="s">
        <v>3649</v>
      </c>
      <c r="S52" s="3665" t="s">
        <v>3653</v>
      </c>
    </row>
    <row r="53" spans="1:35" ht="12" customHeight="1">
      <c r="A53" s="3801" t="s">
        <v>1333</v>
      </c>
      <c r="B53" s="4809" t="s">
        <v>2194</v>
      </c>
      <c r="C53" s="4810"/>
      <c r="D53" s="3950">
        <f ca="1">IF(G53="2016年5月1日之前项目",ROUND(D45*F53/(1+F53),0),H63)</f>
        <v>51</v>
      </c>
      <c r="E53" s="3802" t="str">
        <f>IF(G53="2016年5月1日之前项目","全额计税","进销项计算")</f>
        <v>进销项计算</v>
      </c>
      <c r="F53" s="2026">
        <f>IF(G53="2016年5月1日之前项目",5%,9%)</f>
        <v>0.09</v>
      </c>
      <c r="G53" s="3905"/>
      <c r="H53" s="2020"/>
      <c r="I53" s="1390"/>
      <c r="J53" s="2007">
        <v>2</v>
      </c>
      <c r="K53" s="4797" t="s">
        <v>1334</v>
      </c>
      <c r="L53" s="4797"/>
      <c r="M53" s="3952">
        <f t="shared" ref="M53:O54" ca="1" si="0">D55</f>
        <v>0</v>
      </c>
      <c r="N53" s="2007" t="str">
        <f t="shared" si="0"/>
        <v>销售额×税（费）率</v>
      </c>
      <c r="O53" s="3840" t="str">
        <f t="shared" si="0"/>
        <v>免征</v>
      </c>
      <c r="R53" s="3665" t="s">
        <v>3650</v>
      </c>
      <c r="S53" s="3666" t="s">
        <v>3657</v>
      </c>
    </row>
    <row r="54" spans="1:35" ht="12" customHeight="1">
      <c r="A54" s="3801" t="s">
        <v>1335</v>
      </c>
      <c r="B54" s="4809" t="s">
        <v>2195</v>
      </c>
      <c r="C54" s="4810"/>
      <c r="D54" s="3950">
        <f ca="1">IF(G54="2016年5月1日之前项目",C68,H63)</f>
        <v>51</v>
      </c>
      <c r="E54" s="3823" t="str">
        <f>IF(G54="2016年5月1日之前项目","差额计税","进销项计算")</f>
        <v>进销项计算</v>
      </c>
      <c r="F54" s="2026">
        <f>IF(G54="2016年5月1日之前项目",5%,9%)</f>
        <v>0.09</v>
      </c>
      <c r="G54" s="3905"/>
      <c r="H54" s="2028"/>
      <c r="I54" s="1390"/>
      <c r="J54" s="2007">
        <v>3</v>
      </c>
      <c r="K54" s="4797" t="s">
        <v>1336</v>
      </c>
      <c r="L54" s="4797"/>
      <c r="M54" s="3952" t="e">
        <f t="shared" ca="1" si="0"/>
        <v>#VALUE!</v>
      </c>
      <c r="N54" s="2007" t="str">
        <f t="shared" si="0"/>
        <v>增值额×税（费）率</v>
      </c>
      <c r="O54" s="3841" t="str">
        <f t="shared" si="0"/>
        <v>免征</v>
      </c>
      <c r="P54" s="51"/>
      <c r="R54" s="3667" t="s">
        <v>3651</v>
      </c>
      <c r="S54" s="3666" t="s">
        <v>3654</v>
      </c>
    </row>
    <row r="55" spans="1:35" ht="24" customHeight="1">
      <c r="A55" s="4823" t="s">
        <v>1337</v>
      </c>
      <c r="B55" s="4824"/>
      <c r="C55" s="4824"/>
      <c r="D55" s="3947">
        <f ca="1">IF(H55="个人住宅",0,ROUND(D45*I55,0))</f>
        <v>0</v>
      </c>
      <c r="E55" s="3802" t="s">
        <v>1338</v>
      </c>
      <c r="F55" s="2026" t="str">
        <f>IF(H55="正常",I55,"免征")</f>
        <v>免征</v>
      </c>
      <c r="G55" s="2027"/>
      <c r="H55" s="2025"/>
      <c r="I55" s="69">
        <f>'数据-取费表'!B50</f>
        <v>5.0000000000000001E-4</v>
      </c>
      <c r="J55" s="2007">
        <f>IF(H59="非个人房产","",4)</f>
        <v>4</v>
      </c>
      <c r="K55" s="4797" t="str">
        <f>IF(H59="非个人房产","——","个人所得税")</f>
        <v>个人所得税</v>
      </c>
      <c r="L55" s="4797"/>
      <c r="M55" s="3953">
        <f ca="1">D59</f>
        <v>6</v>
      </c>
      <c r="N55" s="1588" t="str">
        <f>E59</f>
        <v>差额计税</v>
      </c>
      <c r="O55" s="3842">
        <f>F59</f>
        <v>0.01</v>
      </c>
      <c r="R55" s="3667" t="s">
        <v>3652</v>
      </c>
      <c r="S55" s="3666" t="s">
        <v>3655</v>
      </c>
    </row>
    <row r="56" spans="1:35" ht="25.2">
      <c r="A56" s="4823" t="s">
        <v>1339</v>
      </c>
      <c r="B56" s="4824"/>
      <c r="C56" s="4824"/>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761" t="str">
        <f>IF(项目基本情况!K6="上海银行","其他处置费用","")</f>
        <v/>
      </c>
      <c r="L56" s="4762"/>
      <c r="M56" s="3952" t="str">
        <f>IF(项目基本情况!K6="上海银行",M69,"")</f>
        <v/>
      </c>
      <c r="N56" s="4761" t="str">
        <f>IF(项目基本情况!K6="上海银行","包含处置中涉及的律师、诉讼、拍卖、评估等费用","")</f>
        <v/>
      </c>
      <c r="O56" s="4765"/>
      <c r="R56" s="3666"/>
      <c r="S56" s="3666" t="s">
        <v>3656</v>
      </c>
    </row>
    <row r="57" spans="1:35" ht="13.2">
      <c r="A57" s="1829" t="s">
        <v>1318</v>
      </c>
      <c r="B57" s="4809" t="s">
        <v>1342</v>
      </c>
      <c r="C57" s="4810"/>
      <c r="D57" s="3948">
        <v>0</v>
      </c>
      <c r="E57" s="211" t="s">
        <v>1320</v>
      </c>
      <c r="F57" s="190"/>
      <c r="G57" s="2027"/>
      <c r="H57" s="2031"/>
      <c r="I57" s="1391"/>
      <c r="J57" s="4797">
        <f>IF(AND(J55="",J56=""),4,IF(项目基本情况!K6="上海银行",结果表!J56+1,结果表!J55+1))</f>
        <v>5</v>
      </c>
      <c r="K57" s="4797" t="s">
        <v>1343</v>
      </c>
      <c r="L57" s="2009" t="s">
        <v>1344</v>
      </c>
      <c r="M57" s="2010"/>
      <c r="N57" s="3954">
        <f ca="1">SUMIF(M52:M56,"&lt;9e307")</f>
        <v>6</v>
      </c>
      <c r="O57" s="2011"/>
      <c r="P57" s="2121" t="e">
        <f ca="1">N57/M49</f>
        <v>#VALUE!</v>
      </c>
      <c r="R57" s="4850" t="s">
        <v>3701</v>
      </c>
      <c r="S57" s="4851"/>
    </row>
    <row r="58" spans="1:35" ht="25.2">
      <c r="A58" s="1829" t="s">
        <v>1329</v>
      </c>
      <c r="B58" s="4809" t="s">
        <v>1345</v>
      </c>
      <c r="C58" s="4808"/>
      <c r="D58" s="3947">
        <f ca="1">IF(H58="转让取得",C81,C97)</f>
        <v>273</v>
      </c>
      <c r="E58" s="3802" t="s">
        <v>1340</v>
      </c>
      <c r="F58" s="190" t="s">
        <v>26</v>
      </c>
      <c r="G58" s="2027"/>
      <c r="H58" s="2030"/>
      <c r="I58" s="1391"/>
      <c r="J58" s="4797"/>
      <c r="K58" s="4797"/>
      <c r="L58" s="2009" t="s">
        <v>1346</v>
      </c>
      <c r="M58" s="2012"/>
      <c r="N58" s="2013" t="str">
        <f ca="1">NUMBERSTRING(INT(N57*10000),2)&amp;"元整"</f>
        <v>陆万元整</v>
      </c>
      <c r="O58" s="2014"/>
      <c r="R58" s="4852"/>
      <c r="S58" s="4853"/>
    </row>
    <row r="59" spans="1:35" ht="24.6" thickBot="1">
      <c r="A59" s="4798" t="s">
        <v>1347</v>
      </c>
      <c r="B59" s="4799"/>
      <c r="C59" s="4799"/>
      <c r="D59" s="3951">
        <f ca="1">IF(H59="非个人房产","——",IF(H59="个人住宅（满五唯一有凭证）",0,IF(H59="个人其他（无凭证）",ROUND(D45/(1+'数据-取费表'!C43)*F59,0),ROUND(C67*F59,0))))</f>
        <v>6</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795">
        <f>J57+1</f>
        <v>6</v>
      </c>
      <c r="K59" s="4797"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796"/>
      <c r="K60" s="4797"/>
      <c r="L60" s="2009" t="s">
        <v>1346</v>
      </c>
      <c r="M60" s="2012"/>
      <c r="N60" s="2824" t="e">
        <f ca="1">NUMBERSTRING(INT(N59*10000),2)&amp;"元整"</f>
        <v>#VALUE!</v>
      </c>
      <c r="O60" s="2014"/>
      <c r="R60" s="3665" t="s">
        <v>3660</v>
      </c>
      <c r="S60" s="3665" t="s">
        <v>3700</v>
      </c>
    </row>
    <row r="61" spans="1:35" ht="15" thickBot="1">
      <c r="A61" s="4857" t="s">
        <v>3698</v>
      </c>
      <c r="B61" s="4858"/>
      <c r="C61" s="4858"/>
      <c r="D61" s="4858"/>
      <c r="E61" s="3831"/>
      <c r="F61" s="4834" t="s">
        <v>3699</v>
      </c>
      <c r="G61" s="4835"/>
      <c r="H61" s="4835"/>
      <c r="I61" s="4836"/>
      <c r="J61" s="3812">
        <f>J59+1</f>
        <v>7</v>
      </c>
      <c r="K61" s="4797" t="s">
        <v>1349</v>
      </c>
      <c r="L61" s="4797"/>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612</v>
      </c>
      <c r="D63" s="3826"/>
      <c r="E63" s="4854" t="s">
        <v>3703</v>
      </c>
      <c r="F63" s="3801">
        <v>1</v>
      </c>
      <c r="G63" s="2977" t="s">
        <v>3690</v>
      </c>
      <c r="H63" s="3959">
        <f ca="1">H64-H66</f>
        <v>51</v>
      </c>
      <c r="I63" s="3848"/>
      <c r="J63" s="4763"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612</v>
      </c>
      <c r="D64" s="3827"/>
      <c r="E64" s="4855"/>
      <c r="F64" s="3801">
        <v>2</v>
      </c>
      <c r="G64" s="2977" t="s">
        <v>3691</v>
      </c>
      <c r="H64" s="3959">
        <f ca="1">ROUND(H65*I64/(1+I64),0)</f>
        <v>51</v>
      </c>
      <c r="I64" s="3849">
        <v>0.09</v>
      </c>
      <c r="J64" s="4763"/>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855"/>
      <c r="F65" s="71" t="s">
        <v>323</v>
      </c>
      <c r="G65" s="3850" t="s">
        <v>3694</v>
      </c>
      <c r="H65" s="3959">
        <f ca="1">D45</f>
        <v>612</v>
      </c>
      <c r="I65" s="3848"/>
      <c r="J65" s="4763"/>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855"/>
      <c r="F66" s="3851">
        <v>3</v>
      </c>
      <c r="G66" s="2977" t="s">
        <v>3692</v>
      </c>
      <c r="H66" s="4468">
        <f>ROUND(H67*I67,0)+ROUND(H68*I68,0)</f>
        <v>0</v>
      </c>
      <c r="I66" s="4469"/>
      <c r="J66" s="4763"/>
      <c r="K66" s="942" t="s">
        <v>1358</v>
      </c>
      <c r="L66" s="3978" t="e">
        <f>M49*0.5%</f>
        <v>#VALUE!</v>
      </c>
      <c r="M66" s="3926" t="e">
        <f>IF(L66&gt;0.5,0.5,ROUND(L66,0))</f>
        <v>#VALUE!</v>
      </c>
      <c r="N66" s="2020" t="s">
        <v>1359</v>
      </c>
      <c r="Z66" s="1341"/>
      <c r="AI66" s="1342"/>
    </row>
    <row r="67" spans="1:35" ht="14.25" customHeight="1">
      <c r="A67" s="74" t="s">
        <v>326</v>
      </c>
      <c r="B67" s="3833" t="s">
        <v>3705</v>
      </c>
      <c r="C67" s="3956">
        <f ca="1">C63-C66</f>
        <v>612</v>
      </c>
      <c r="D67" s="3828"/>
      <c r="E67" s="4855"/>
      <c r="F67" s="71" t="s">
        <v>323</v>
      </c>
      <c r="G67" s="3850" t="s">
        <v>3696</v>
      </c>
      <c r="H67" s="3960"/>
      <c r="I67" s="3849">
        <v>0.09</v>
      </c>
      <c r="J67" s="4763"/>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31</v>
      </c>
      <c r="D68" s="3830">
        <v>0.05</v>
      </c>
      <c r="E68" s="4856"/>
      <c r="F68" s="3843" t="s">
        <v>324</v>
      </c>
      <c r="G68" s="3852" t="s">
        <v>3697</v>
      </c>
      <c r="H68" s="3961"/>
      <c r="I68" s="3853">
        <v>0.06</v>
      </c>
      <c r="J68" s="4763"/>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764"/>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14" t="s">
        <v>1363</v>
      </c>
      <c r="B70" s="4815"/>
      <c r="C70" s="4815"/>
      <c r="D70" s="4815"/>
      <c r="E70" s="4815"/>
      <c r="F70" s="4815"/>
      <c r="G70" s="4815"/>
      <c r="H70" s="4815"/>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811" t="s">
        <v>1350</v>
      </c>
      <c r="B71" s="4812"/>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561</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67</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9" t="s">
        <v>1371</v>
      </c>
      <c r="F76" s="4808"/>
      <c r="G76" s="4808"/>
      <c r="H76" s="481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67</v>
      </c>
      <c r="D78" s="3819">
        <f>'数据-取费表'!B44</f>
        <v>0.12000000000000001</v>
      </c>
      <c r="E78" s="4803" t="s">
        <v>1375</v>
      </c>
      <c r="F78" s="4804"/>
      <c r="G78" s="4804"/>
      <c r="H78" s="480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494</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7.3731343283582094</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273</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14" t="s">
        <v>1379</v>
      </c>
      <c r="B83" s="4815"/>
      <c r="C83" s="4815"/>
      <c r="D83" s="4815"/>
      <c r="E83" s="4815"/>
      <c r="F83" s="4815"/>
      <c r="G83" s="4815"/>
      <c r="H83" s="481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811" t="s">
        <v>1350</v>
      </c>
      <c r="B84" s="4812"/>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561</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67</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766" t="s">
        <v>2032</v>
      </c>
      <c r="H90" s="4767"/>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803" t="s">
        <v>1388</v>
      </c>
      <c r="F91" s="4804"/>
      <c r="G91" s="4804"/>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803" t="s">
        <v>1391</v>
      </c>
      <c r="F92" s="4804"/>
      <c r="G92" s="4804"/>
      <c r="H92" s="4805"/>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67</v>
      </c>
      <c r="D93" s="3819">
        <f>'数据-取费表'!B44</f>
        <v>0.12000000000000001</v>
      </c>
      <c r="E93" s="4828" t="s">
        <v>3687</v>
      </c>
      <c r="F93" s="4804"/>
      <c r="G93" s="4804"/>
      <c r="H93" s="4805"/>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29" t="s">
        <v>1395</v>
      </c>
      <c r="F94" s="4830"/>
      <c r="G94" s="4830"/>
      <c r="H94" s="483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494</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7.3731343283582094</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273</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53" t="s">
        <v>1397</v>
      </c>
      <c r="B100" s="4754"/>
      <c r="C100" s="4754"/>
      <c r="D100" s="4768"/>
      <c r="E100" s="4754" t="s">
        <v>1398</v>
      </c>
      <c r="F100" s="4754"/>
      <c r="G100" s="4754"/>
      <c r="H100" s="4768"/>
      <c r="I100" s="51"/>
    </row>
    <row r="101" spans="1:35" ht="18.75" customHeight="1">
      <c r="A101" s="4774" t="s">
        <v>1399</v>
      </c>
      <c r="B101" s="4775"/>
      <c r="C101" s="2036" t="str">
        <f>C4</f>
        <v>比较法-住宅</v>
      </c>
      <c r="D101" s="2037" t="str">
        <f>D4</f>
        <v>成本法 (元)</v>
      </c>
      <c r="E101" s="4759" t="s">
        <v>1400</v>
      </c>
      <c r="F101" s="4760"/>
      <c r="G101" s="1408" t="s">
        <v>1401</v>
      </c>
      <c r="H101" s="3970">
        <f ca="1">H118</f>
        <v>612.3329</v>
      </c>
      <c r="I101" s="51"/>
    </row>
    <row r="102" spans="1:35" ht="18.75" customHeight="1">
      <c r="A102" s="4776" t="s">
        <v>1402</v>
      </c>
      <c r="B102" s="2035" t="s">
        <v>1401</v>
      </c>
      <c r="C102" s="3966">
        <f ca="1">C19</f>
        <v>643.68140000000005</v>
      </c>
      <c r="D102" s="3967">
        <f ca="1">D19</f>
        <v>580.95740000000001</v>
      </c>
      <c r="E102" s="4759"/>
      <c r="F102" s="4760"/>
      <c r="G102" s="1408" t="s">
        <v>1403</v>
      </c>
      <c r="H102" s="3971">
        <f ca="1">I118</f>
        <v>886821</v>
      </c>
      <c r="I102" s="51"/>
    </row>
    <row r="103" spans="1:35" ht="42.75" customHeight="1">
      <c r="A103" s="4776"/>
      <c r="B103" s="2035" t="s">
        <v>1403</v>
      </c>
      <c r="C103" s="3968">
        <f ca="1">C20</f>
        <v>24496</v>
      </c>
      <c r="D103" s="3969">
        <f ca="1">D20</f>
        <v>22109</v>
      </c>
      <c r="E103" s="4821" t="s">
        <v>1404</v>
      </c>
      <c r="F103" s="4822"/>
      <c r="G103" s="1409" t="s">
        <v>1405</v>
      </c>
      <c r="H103" s="3970">
        <f>IF(D36="正常操作",H104+H105+H106,H105+H106)</f>
        <v>0</v>
      </c>
      <c r="I103" s="51"/>
    </row>
    <row r="104" spans="1:35" ht="18.75" customHeight="1">
      <c r="A104" s="4776" t="s">
        <v>1406</v>
      </c>
      <c r="B104" s="2038" t="s">
        <v>1401</v>
      </c>
      <c r="C104" s="4785">
        <f ca="1">H118</f>
        <v>612.3329</v>
      </c>
      <c r="D104" s="4786"/>
      <c r="E104" s="1268" t="s">
        <v>1407</v>
      </c>
      <c r="F104" s="1264"/>
      <c r="G104" s="1409" t="s">
        <v>1405</v>
      </c>
      <c r="H104" s="3972">
        <f>IF(D36="同一抵押权人同一抵押物续贷",C36&amp;"（续贷，未扣减，详见特别提示）",C36)</f>
        <v>0</v>
      </c>
      <c r="I104" s="51"/>
    </row>
    <row r="105" spans="1:35" ht="18.75" customHeight="1" thickBot="1">
      <c r="A105" s="4806"/>
      <c r="B105" s="2039" t="s">
        <v>1403</v>
      </c>
      <c r="C105" s="4787">
        <f ca="1">I118</f>
        <v>886821</v>
      </c>
      <c r="D105" s="4788"/>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77" t="str">
        <f>IF(项目基本情况!E8="已注销","——","3.房地产抵押价值")</f>
        <v>3.房地产抵押价值</v>
      </c>
      <c r="F107" s="4760"/>
      <c r="G107" s="1408" t="s">
        <v>1401</v>
      </c>
      <c r="H107" s="3970">
        <f ca="1">IF(E107="——","——",H101-H103)</f>
        <v>612.3329</v>
      </c>
      <c r="I107" s="51"/>
    </row>
    <row r="108" spans="1:35" ht="18.75" customHeight="1">
      <c r="A108" s="51"/>
      <c r="B108" s="51"/>
      <c r="C108" s="51"/>
      <c r="D108" s="51"/>
      <c r="E108" s="4777"/>
      <c r="F108" s="4760"/>
      <c r="G108" s="1408" t="s">
        <v>1403</v>
      </c>
      <c r="H108" s="3971">
        <f ca="1">IF(H107=H101,H102,ROUND(H107*10000/'数据-汇总表'!E3,0))</f>
        <v>886821</v>
      </c>
      <c r="I108" s="51"/>
    </row>
    <row r="109" spans="1:35" ht="18.75" customHeight="1">
      <c r="A109" s="51"/>
      <c r="B109" s="51"/>
      <c r="C109" s="51"/>
      <c r="D109" s="51"/>
      <c r="E109" s="4777" t="str">
        <f>IF(项目基本情况!E8="已注销及未注销","4.抵押担保权已注销时的房地产抵押价值",IF(项目基本情况!E8="已注销","3.抵押担保权已注销时的房地产抵押价值","——"))</f>
        <v>——</v>
      </c>
      <c r="F109" s="4760"/>
      <c r="G109" s="1408" t="s">
        <v>1401</v>
      </c>
      <c r="H109" s="3974" t="str">
        <f>IF(E109="——","——",H101-H105-H106)</f>
        <v>——</v>
      </c>
      <c r="I109" s="51"/>
    </row>
    <row r="110" spans="1:35" ht="18.75" customHeight="1">
      <c r="A110" s="51"/>
      <c r="B110" s="51"/>
      <c r="C110" s="51"/>
      <c r="D110" s="51"/>
      <c r="E110" s="4777"/>
      <c r="F110" s="4760"/>
      <c r="G110" s="1408" t="s">
        <v>1403</v>
      </c>
      <c r="H110" s="3971" t="str">
        <f>IF(H109="——","——",ROUND(H109*10000/'数据-汇总表'!E3,0))</f>
        <v>——</v>
      </c>
      <c r="I110" s="51"/>
    </row>
    <row r="111" spans="1:35" ht="18.75" customHeight="1">
      <c r="A111" s="51"/>
      <c r="B111" s="51"/>
      <c r="C111" s="51"/>
      <c r="D111" s="51"/>
      <c r="E111" s="4778" t="str">
        <f>IF(项目基本情况!E9="抵押净值",IF(OR(项目基本情况!E8="已注销",项目基本情况!E8="房地产抵押价值"),"4.抵押净值","5.抵押净值"),"——")</f>
        <v>——</v>
      </c>
      <c r="F111" s="4779"/>
      <c r="G111" s="1408" t="s">
        <v>1401</v>
      </c>
      <c r="H111" s="3970" t="str">
        <f>IF(E111="——","——",N59)</f>
        <v>——</v>
      </c>
      <c r="I111" s="51"/>
    </row>
    <row r="112" spans="1:35" ht="18.75" customHeight="1" thickBot="1">
      <c r="A112" s="51"/>
      <c r="B112" s="51"/>
      <c r="C112" s="51"/>
      <c r="D112" s="51"/>
      <c r="E112" s="4780"/>
      <c r="F112" s="4781"/>
      <c r="G112" s="1411" t="s">
        <v>1403</v>
      </c>
      <c r="H112" s="3921" t="str">
        <f>IF(E111="——","——",N61)</f>
        <v>——</v>
      </c>
      <c r="I112" s="51"/>
    </row>
    <row r="113" spans="1:27" ht="18.75" customHeight="1">
      <c r="A113" s="51"/>
      <c r="B113" s="51"/>
      <c r="C113" s="51"/>
      <c r="D113" s="51"/>
      <c r="E113" s="4807" t="s">
        <v>1409</v>
      </c>
      <c r="F113" s="4807"/>
      <c r="G113" s="4807"/>
      <c r="H113" s="4807"/>
      <c r="I113" s="51"/>
    </row>
    <row r="114" spans="1:27" ht="3.75" customHeight="1">
      <c r="A114" s="1336"/>
      <c r="B114" s="1336"/>
      <c r="C114" s="1336"/>
      <c r="D114" s="1336"/>
      <c r="E114" s="1392"/>
      <c r="F114" s="1392"/>
      <c r="G114" s="1392"/>
      <c r="H114" s="1392"/>
      <c r="I114" s="1336"/>
    </row>
    <row r="115" spans="1:27" ht="18.75" customHeight="1">
      <c r="A115" s="4817" t="s">
        <v>1411</v>
      </c>
      <c r="B115" s="4818"/>
      <c r="C115" s="4818"/>
      <c r="D115" s="4818"/>
      <c r="E115" s="4818"/>
      <c r="F115" s="4818"/>
      <c r="G115" s="4818"/>
      <c r="H115" s="4818"/>
      <c r="I115" s="4819"/>
    </row>
    <row r="116" spans="1:27" ht="27" customHeight="1">
      <c r="A116" s="4782" t="s">
        <v>1412</v>
      </c>
      <c r="B116" s="4783" t="s">
        <v>1413</v>
      </c>
      <c r="C116" s="4783" t="s">
        <v>1414</v>
      </c>
      <c r="D116" s="4770" t="s">
        <v>1415</v>
      </c>
      <c r="E116" s="4771"/>
      <c r="F116" s="4816"/>
      <c r="G116" s="4816"/>
      <c r="H116" s="4782" t="s">
        <v>1416</v>
      </c>
      <c r="I116" s="4782"/>
      <c r="K116" s="3280"/>
      <c r="L116" s="3281" t="s">
        <v>3478</v>
      </c>
      <c r="M116" s="3281" t="s">
        <v>3479</v>
      </c>
      <c r="N116" s="3281" t="s">
        <v>3480</v>
      </c>
    </row>
    <row r="117" spans="1:27" ht="18.75" customHeight="1">
      <c r="A117" s="4782"/>
      <c r="B117" s="4784"/>
      <c r="C117" s="4784"/>
      <c r="D117" s="1825" t="s">
        <v>1417</v>
      </c>
      <c r="E117" s="1825" t="s">
        <v>1418</v>
      </c>
      <c r="F117" s="1825" t="s">
        <v>1417</v>
      </c>
      <c r="G117" s="1825" t="s">
        <v>1419</v>
      </c>
      <c r="H117" s="1825" t="s">
        <v>1417</v>
      </c>
      <c r="I117" s="1825" t="s">
        <v>1419</v>
      </c>
      <c r="K117" s="3281" t="s">
        <v>3476</v>
      </c>
      <c r="L117" s="3975" t="e">
        <f ca="1">C34</f>
        <v>#REF!</v>
      </c>
      <c r="M117" s="3976" t="e">
        <f ca="1">C35</f>
        <v>#REF!</v>
      </c>
      <c r="N117" s="3976">
        <f ca="1">C32</f>
        <v>23303</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612.3329</v>
      </c>
      <c r="I118" s="4346">
        <f ca="1">ROUND(IF(D32="楼面单价",C32,N117*10000/B118),0)</f>
        <v>886821</v>
      </c>
      <c r="K118" s="3280"/>
      <c r="L118" s="3977"/>
      <c r="M118" s="3977"/>
      <c r="N118" s="3977"/>
    </row>
    <row r="119" spans="1:27" ht="18.75" customHeight="1">
      <c r="A119" s="4782" t="s">
        <v>1420</v>
      </c>
      <c r="B119" s="4782"/>
      <c r="C119" s="4782"/>
      <c r="D119" s="4772" t="e">
        <f ca="1">NUMBERSTRING(INT(D118*10000),2)&amp;"元整"</f>
        <v>#REF!</v>
      </c>
      <c r="E119" s="4773"/>
      <c r="F119" s="4772" t="e">
        <f ca="1">NUMBERSTRING(INT(F118*10000),2)&amp;"元整"</f>
        <v>#REF!</v>
      </c>
      <c r="G119" s="4773"/>
      <c r="H119" s="4772" t="str">
        <f ca="1">NUMBERSTRING(INT(H118*10000),2)&amp;"元整"</f>
        <v>陆佰壹拾贰万叁仟叁佰贰拾玖元整</v>
      </c>
      <c r="I119" s="4773"/>
      <c r="K119" s="3281" t="s">
        <v>3477</v>
      </c>
      <c r="L119" s="3976" t="e">
        <f ca="1">C34</f>
        <v>#REF!</v>
      </c>
      <c r="M119" s="3976" t="e">
        <f ca="1">C35</f>
        <v>#REF!</v>
      </c>
      <c r="N119" s="3976">
        <f ca="1">C32</f>
        <v>23303</v>
      </c>
    </row>
    <row r="120" spans="1:27" ht="18.75" customHeight="1">
      <c r="A120" s="4791" t="str">
        <f>IF(项目基本情况!B9="房地产市场价值","",MID(E103,3,LEN(E103)-2))</f>
        <v/>
      </c>
      <c r="B120" s="4792"/>
      <c r="C120" s="4792"/>
      <c r="D120" s="4792"/>
      <c r="E120" s="4792"/>
      <c r="F120" s="4792"/>
      <c r="G120" s="4793"/>
      <c r="H120" s="4872">
        <f>H103</f>
        <v>0</v>
      </c>
      <c r="I120" s="4873"/>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72" t="s">
        <v>1420</v>
      </c>
      <c r="B121" s="4794"/>
      <c r="C121" s="4794"/>
      <c r="D121" s="4794"/>
      <c r="E121" s="4794"/>
      <c r="F121" s="4794"/>
      <c r="G121" s="4773"/>
      <c r="H121" s="4874" t="str">
        <f>IF(H120=0,"零元整",NUMBERSTRING(INT(H120*10000),2)&amp;"元整")</f>
        <v>零元整</v>
      </c>
      <c r="I121" s="4875"/>
      <c r="AA121" s="518"/>
    </row>
    <row r="122" spans="1:27" ht="18.75" customHeight="1">
      <c r="A122" s="4791" t="str">
        <f>IF(项目基本情况!B9="房地产市场价值","",MID(E107,3,LEN(E107)-2))</f>
        <v/>
      </c>
      <c r="B122" s="4792"/>
      <c r="C122" s="4792"/>
      <c r="D122" s="4792"/>
      <c r="E122" s="4792"/>
      <c r="F122" s="4792"/>
      <c r="G122" s="4793"/>
      <c r="H122" s="4789">
        <f ca="1">H107</f>
        <v>612.3329</v>
      </c>
      <c r="I122" s="4790"/>
      <c r="AA122" s="518"/>
    </row>
    <row r="123" spans="1:27" ht="18.75" customHeight="1">
      <c r="A123" s="4772" t="s">
        <v>1420</v>
      </c>
      <c r="B123" s="4794"/>
      <c r="C123" s="4794"/>
      <c r="D123" s="4794"/>
      <c r="E123" s="4794"/>
      <c r="F123" s="4794"/>
      <c r="G123" s="4773"/>
      <c r="H123" s="4772" t="str">
        <f ca="1">NUMBERSTRING(INT(H122*10000),2)&amp;"元整"</f>
        <v>陆佰壹拾贰万叁仟叁佰贰拾玖元整</v>
      </c>
      <c r="I123" s="4773"/>
      <c r="AA123" s="518"/>
    </row>
    <row r="124" spans="1:27" ht="18.75" customHeight="1">
      <c r="A124" s="4791" t="str">
        <f>IF(项目基本情况!B9="房地产市场价值","",MID(E109,3,LEN(E109)-2))</f>
        <v/>
      </c>
      <c r="B124" s="4792"/>
      <c r="C124" s="4792"/>
      <c r="D124" s="4792"/>
      <c r="E124" s="4792"/>
      <c r="F124" s="4792"/>
      <c r="G124" s="4793"/>
      <c r="H124" s="4789" t="str">
        <f>H109</f>
        <v>——</v>
      </c>
      <c r="I124" s="4790"/>
      <c r="AA124" s="518"/>
    </row>
    <row r="125" spans="1:27" ht="18.75" customHeight="1">
      <c r="A125" s="4772" t="s">
        <v>1420</v>
      </c>
      <c r="B125" s="4794"/>
      <c r="C125" s="4794"/>
      <c r="D125" s="4794"/>
      <c r="E125" s="4794"/>
      <c r="F125" s="4794"/>
      <c r="G125" s="4773"/>
      <c r="H125" s="4772" t="e">
        <f>NUMBERSTRING(INT(H124*10000),2)&amp;"元整"</f>
        <v>#VALUE!</v>
      </c>
      <c r="I125" s="4773"/>
      <c r="AA125" s="518"/>
    </row>
    <row r="126" spans="1:27" ht="18.75" customHeight="1">
      <c r="A126" s="4791" t="str">
        <f>IF(项目基本情况!B9="房地产市场价值","",MID(E111,3,LEN(E111)-2))</f>
        <v/>
      </c>
      <c r="B126" s="4792"/>
      <c r="C126" s="4792"/>
      <c r="D126" s="4792"/>
      <c r="E126" s="4792"/>
      <c r="F126" s="4792"/>
      <c r="G126" s="4793"/>
      <c r="H126" s="4789" t="str">
        <f>H111</f>
        <v>——</v>
      </c>
      <c r="I126" s="4790"/>
      <c r="AA126" s="518"/>
    </row>
    <row r="127" spans="1:27" ht="18.75" customHeight="1">
      <c r="A127" s="4772" t="s">
        <v>1420</v>
      </c>
      <c r="B127" s="4794"/>
      <c r="C127" s="4794"/>
      <c r="D127" s="4794"/>
      <c r="E127" s="4794"/>
      <c r="F127" s="4794"/>
      <c r="G127" s="4773"/>
      <c r="H127" s="4772" t="e">
        <f>NUMBERSTRING(INT(H126*10000),2)&amp;"元整"</f>
        <v>#VALUE!</v>
      </c>
      <c r="I127" s="4773"/>
      <c r="AA127" s="518"/>
    </row>
    <row r="128" spans="1:27" ht="21.75" customHeight="1">
      <c r="A128" s="4769" t="s">
        <v>1421</v>
      </c>
      <c r="B128" s="4769"/>
      <c r="C128" s="4769"/>
      <c r="D128" s="4769"/>
      <c r="E128" s="4769"/>
      <c r="F128" s="4769"/>
      <c r="G128" s="4769"/>
      <c r="H128" s="4769"/>
      <c r="I128" s="4769"/>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78</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2968</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124</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101</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79</v>
      </c>
      <c r="D10" s="2785"/>
      <c r="E10" s="148"/>
      <c r="F10" s="2793">
        <f ca="1">IF('数据-取费表'!B24=0,1,IF(B1="",'数据-取费表'!N16,INDIRECT("'数据-取费表'!n"&amp;$G$1)))</f>
        <v>1</v>
      </c>
      <c r="G10" s="160" t="s">
        <v>1466</v>
      </c>
    </row>
    <row r="11" spans="1:9" s="113" customFormat="1">
      <c r="A11" s="2808" t="s">
        <v>349</v>
      </c>
      <c r="B11" s="2809" t="s">
        <v>3322</v>
      </c>
      <c r="C11" s="2755">
        <f ca="1">ROUND(C10*F11,0)</f>
        <v>4</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2</v>
      </c>
      <c r="D12" s="148"/>
      <c r="E12" s="148"/>
      <c r="F12" s="2766">
        <f>'数据-取费表'!B34</f>
        <v>0.02</v>
      </c>
      <c r="G12" s="4264" t="s">
        <v>3994</v>
      </c>
    </row>
    <row r="13" spans="1:9" s="113" customFormat="1">
      <c r="A13" s="2808" t="s">
        <v>3287</v>
      </c>
      <c r="B13" s="2809" t="s">
        <v>3324</v>
      </c>
      <c r="C13" s="2755">
        <f ca="1">C14+C17+C18</f>
        <v>16</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9</v>
      </c>
      <c r="D18" s="2755">
        <f ca="1">D17</f>
        <v>262.77</v>
      </c>
      <c r="E18" s="2755">
        <f>'数据-取费表'!B35</f>
        <v>360</v>
      </c>
      <c r="F18" s="2766"/>
      <c r="G18" s="160" t="str">
        <f ca="1">IF(F10=100%,"","按工程进度计取")</f>
        <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2</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2+0.0005V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2</v>
      </c>
      <c r="D25" s="137"/>
      <c r="E25" s="137"/>
      <c r="F25" s="2762"/>
      <c r="G25" s="4264" t="s">
        <v>3990</v>
      </c>
    </row>
    <row r="26" spans="1:7" s="113" customFormat="1">
      <c r="A26" s="2815" t="s">
        <v>348</v>
      </c>
      <c r="B26" s="2813" t="s">
        <v>1453</v>
      </c>
      <c r="C26" s="2758">
        <f ca="1">ROUND(IF('数据-取费表'!B22&lt;=1,F22*F23*'数据-取费表'!B23/2,F22*(POWER((1+F23),'数据-取费表'!B23/2)-1)),4)</f>
        <v>5.0000000000000001E-4</v>
      </c>
      <c r="D26" s="137"/>
      <c r="E26" s="140"/>
      <c r="F26" s="2762"/>
      <c r="G26" s="4610" t="s">
        <v>3991</v>
      </c>
    </row>
    <row r="27" spans="1:7" s="2767" customFormat="1" ht="14.4">
      <c r="A27" s="2746" t="s">
        <v>3345</v>
      </c>
      <c r="B27" s="2807" t="s">
        <v>3297</v>
      </c>
      <c r="C27" s="2774" t="str">
        <f ca="1">C28&amp;"+"&amp;C29&amp;"V"</f>
        <v>15+0.0045V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15</v>
      </c>
      <c r="D28" s="134"/>
      <c r="E28" s="135"/>
      <c r="F28" s="2763"/>
      <c r="G28" s="3279" t="str">
        <f ca="1">IF(F10=100%,"","其中：土地取得成本产生的利润按已建工期计算")</f>
        <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46</v>
      </c>
      <c r="D31" s="2750"/>
      <c r="E31" s="2750"/>
      <c r="F31" s="2764">
        <f>IF('数据-取费表'!B24=0,'数据-取费表'!N16,1)</f>
        <v>0.6</v>
      </c>
      <c r="G31" s="2751" t="s">
        <v>3810</v>
      </c>
    </row>
    <row r="32" spans="1:7" s="113" customFormat="1" ht="15.6">
      <c r="A32" s="2738" t="s">
        <v>3300</v>
      </c>
      <c r="B32" s="2737" t="s">
        <v>3301</v>
      </c>
      <c r="C32" s="2759">
        <f ca="1">C5-C31</f>
        <v>78</v>
      </c>
      <c r="D32" s="2750"/>
      <c r="E32" s="2750"/>
      <c r="F32" s="2749"/>
      <c r="G32" s="2752" t="s">
        <v>3332</v>
      </c>
    </row>
    <row r="33" spans="1:7" s="113" customFormat="1" ht="16.2" thickBot="1">
      <c r="A33" s="2818">
        <v>4</v>
      </c>
      <c r="B33" s="2819" t="s">
        <v>3333</v>
      </c>
      <c r="C33" s="2760">
        <f ca="1">ROUND(C32*(1+F33),0)</f>
        <v>85</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94</v>
      </c>
      <c r="D40" s="3016"/>
      <c r="E40" s="3016"/>
      <c r="F40" s="3016"/>
      <c r="G40" s="4349"/>
    </row>
    <row r="41" spans="1:7" ht="15.6">
      <c r="A41" s="2800" t="s">
        <v>3304</v>
      </c>
      <c r="B41" s="2867" t="str">
        <f t="shared" ref="B41:C43" si="0">B10</f>
        <v xml:space="preserve">  建安费用</v>
      </c>
      <c r="C41" s="2735">
        <f t="shared" ca="1" si="0"/>
        <v>79</v>
      </c>
      <c r="D41" s="2730"/>
      <c r="E41" s="2730"/>
      <c r="F41" s="2731"/>
      <c r="G41" s="4350"/>
    </row>
    <row r="42" spans="1:7" ht="15.6">
      <c r="A42" s="2800" t="s">
        <v>3305</v>
      </c>
      <c r="B42" s="2867" t="str">
        <f t="shared" si="0"/>
        <v xml:space="preserve">  前期费用</v>
      </c>
      <c r="C42" s="2735">
        <f t="shared" ca="1" si="0"/>
        <v>4</v>
      </c>
      <c r="D42" s="2730"/>
      <c r="E42" s="2730"/>
      <c r="F42" s="2731"/>
      <c r="G42" s="4350"/>
    </row>
    <row r="43" spans="1:7" ht="15.6">
      <c r="A43" s="2800" t="s">
        <v>3369</v>
      </c>
      <c r="B43" s="2804" t="str">
        <f t="shared" si="0"/>
        <v xml:space="preserve">  公共配套设施费用</v>
      </c>
      <c r="C43" s="2735">
        <f t="shared" ca="1" si="0"/>
        <v>2</v>
      </c>
      <c r="D43" s="2730"/>
      <c r="E43" s="2730"/>
      <c r="F43" s="2731"/>
      <c r="G43" s="4350"/>
    </row>
    <row r="44" spans="1:7" ht="15.6">
      <c r="A44" s="2800" t="s">
        <v>3287</v>
      </c>
      <c r="B44" s="2804" t="str">
        <f>B18</f>
        <v>红线内市政费用</v>
      </c>
      <c r="C44" s="2735">
        <f ca="1">C18</f>
        <v>9</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1</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1+0.0005V建1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1</v>
      </c>
      <c r="D50" s="1070"/>
      <c r="E50" s="1070"/>
      <c r="F50" s="1053"/>
      <c r="G50" s="4876" t="str">
        <f ca="1">IF(F10=100%,"建设期均匀投入","已建工期均匀投入")</f>
        <v>建设期均匀投入</v>
      </c>
    </row>
    <row r="51" spans="1:7">
      <c r="A51" s="2800" t="s">
        <v>3305</v>
      </c>
      <c r="B51" s="2804" t="s">
        <v>3310</v>
      </c>
      <c r="C51" s="2888">
        <f ca="1">ROUND(IF('数据-取费表'!B22&lt;=1,F48*F23*'数据-取费表'!B22/2,F48*(POWER((1+F23),'数据-取费表'!B22/2)-1)),4)</f>
        <v>5.0000000000000001E-4</v>
      </c>
      <c r="D51" s="1070"/>
      <c r="E51" s="1070"/>
      <c r="F51" s="1053"/>
      <c r="G51" s="4877"/>
    </row>
    <row r="52" spans="1:7" ht="14.4">
      <c r="A52" s="2868" t="s">
        <v>3462</v>
      </c>
      <c r="B52" s="2877" t="s">
        <v>3311</v>
      </c>
      <c r="C52" s="2878" t="str">
        <f ca="1">C53&amp;"+"&amp;C54&amp;"V建1"</f>
        <v>14+0.0045V建1</v>
      </c>
      <c r="D52" s="2879"/>
      <c r="E52" s="2871"/>
      <c r="F52" s="2880">
        <f ca="1">F27</f>
        <v>0.15</v>
      </c>
      <c r="G52" s="2881" t="s">
        <v>3463</v>
      </c>
    </row>
    <row r="53" spans="1:7">
      <c r="A53" s="2800" t="s">
        <v>3308</v>
      </c>
      <c r="B53" s="2803" t="s">
        <v>3312</v>
      </c>
      <c r="C53" s="2735">
        <f ca="1">ROUND((C40+C47)*F27,0)</f>
        <v>14</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114</v>
      </c>
      <c r="D56" s="302"/>
      <c r="E56" s="302"/>
      <c r="F56" s="2884"/>
      <c r="G56" s="2883" t="s">
        <v>3317</v>
      </c>
    </row>
    <row r="57" spans="1:7" ht="14.4">
      <c r="A57" s="2746" t="s">
        <v>3433</v>
      </c>
      <c r="B57" s="2885" t="s">
        <v>3314</v>
      </c>
      <c r="C57" s="2768">
        <f ca="1">ROUND(C56*(1-F57),0)</f>
        <v>46</v>
      </c>
      <c r="D57" s="302"/>
      <c r="E57" s="302"/>
      <c r="F57" s="2884">
        <f>F31</f>
        <v>0.6</v>
      </c>
      <c r="G57" s="2883" t="s">
        <v>3318</v>
      </c>
    </row>
    <row r="58" spans="1:7" ht="16.8">
      <c r="A58" s="2746" t="s">
        <v>3467</v>
      </c>
      <c r="B58" s="2882" t="s">
        <v>3468</v>
      </c>
      <c r="C58" s="2768">
        <f ca="1">C56-C57</f>
        <v>68</v>
      </c>
      <c r="D58" s="302"/>
      <c r="E58" s="302"/>
      <c r="F58" s="2884"/>
      <c r="G58" s="2883" t="s">
        <v>3319</v>
      </c>
    </row>
    <row r="59" spans="1:7" ht="15" thickBot="1">
      <c r="A59" s="4354" t="s">
        <v>3370</v>
      </c>
      <c r="B59" s="4355" t="s">
        <v>3315</v>
      </c>
      <c r="C59" s="4356">
        <f ca="1">ROUND(C58*(1+F59),0)</f>
        <v>74</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0.128</v>
      </c>
    </row>
    <row r="64" spans="1:7" ht="21" customHeight="1">
      <c r="B64" s="216" t="s">
        <v>788</v>
      </c>
      <c r="C64" s="4428">
        <f ca="1">ROUND(C58/C32,3)</f>
        <v>0.872</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4" t="str">
        <f>项目基本情况!B1</f>
        <v>北京市房地产市场价值预评估</v>
      </c>
      <c r="C37" s="4664"/>
      <c r="D37" s="4664"/>
      <c r="E37" s="4664"/>
      <c r="F37" s="4664"/>
      <c r="G37" s="4664"/>
      <c r="H37" s="4664"/>
      <c r="I37" s="466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F31" sqref="F31"/>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580.95740000000001</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22109</v>
      </c>
      <c r="C3" s="98" t="s">
        <v>1433</v>
      </c>
      <c r="D3" s="98">
        <f ca="1">IF(C1="含税",E2+C33,E2+C32)</f>
        <v>5809574</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5789683</v>
      </c>
      <c r="D5" s="2781"/>
      <c r="E5" s="2781"/>
      <c r="F5" s="2781"/>
      <c r="G5" s="2936" t="s">
        <v>3470</v>
      </c>
      <c r="J5" s="99"/>
    </row>
    <row r="6" spans="1:10" s="2767" customFormat="1" ht="15">
      <c r="A6" s="2746" t="s">
        <v>3337</v>
      </c>
      <c r="B6" s="2805" t="s">
        <v>3338</v>
      </c>
      <c r="C6" s="2782">
        <f>C7+C8</f>
        <v>3697833</v>
      </c>
      <c r="D6" s="2745"/>
      <c r="E6" s="2745"/>
      <c r="F6" s="2745"/>
      <c r="G6" s="2783"/>
      <c r="J6" s="99"/>
    </row>
    <row r="7" spans="1:10" s="113" customFormat="1" ht="15">
      <c r="A7" s="2784" t="s">
        <v>344</v>
      </c>
      <c r="B7" s="2806" t="s">
        <v>1441</v>
      </c>
      <c r="C7" s="3264">
        <f>ROUND(基准地价修正!C33*基准地价修正!D33,0)</f>
        <v>3588387</v>
      </c>
      <c r="D7" s="2785"/>
      <c r="E7" s="2786"/>
      <c r="F7" s="2786"/>
      <c r="G7" s="160"/>
      <c r="J7" s="99"/>
    </row>
    <row r="8" spans="1:10" s="113" customFormat="1" ht="15">
      <c r="A8" s="2784" t="s">
        <v>345</v>
      </c>
      <c r="B8" s="2806" t="s">
        <v>1443</v>
      </c>
      <c r="C8" s="2755">
        <f>ROUND(C7*F8,0)</f>
        <v>109446</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980132</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788310</v>
      </c>
      <c r="D10" s="2785"/>
      <c r="E10" s="148"/>
      <c r="F10" s="2793">
        <f ca="1">IF('数据-取费表'!B24=0,1,IF(B1="",'数据-取费表'!N16,INDIRECT("'数据-取费表'!n"&amp;$G$1)))</f>
        <v>1</v>
      </c>
      <c r="G10" s="160" t="s">
        <v>1466</v>
      </c>
      <c r="J10" s="99"/>
    </row>
    <row r="11" spans="1:10" s="113" customFormat="1" ht="15">
      <c r="A11" s="2808" t="s">
        <v>349</v>
      </c>
      <c r="B11" s="2809" t="s">
        <v>3322</v>
      </c>
      <c r="C11" s="2755">
        <f ca="1">ROUND(C10*F11,0)</f>
        <v>39416</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15766</v>
      </c>
      <c r="D12" s="148"/>
      <c r="E12" s="148"/>
      <c r="F12" s="2766">
        <f>'数据-取费表'!B34</f>
        <v>0.02</v>
      </c>
      <c r="G12" s="4264" t="s">
        <v>3995</v>
      </c>
      <c r="J12" s="99"/>
    </row>
    <row r="13" spans="1:10" s="113" customFormat="1" ht="15">
      <c r="A13" s="2808" t="s">
        <v>3287</v>
      </c>
      <c r="B13" s="2809" t="s">
        <v>3324</v>
      </c>
      <c r="C13" s="2755">
        <f ca="1">C14+C17+C18</f>
        <v>136640</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94597</v>
      </c>
      <c r="D18" s="2755">
        <f ca="1">D17</f>
        <v>262.77</v>
      </c>
      <c r="E18" s="2755">
        <f>'数据-取费表'!B35</f>
        <v>360</v>
      </c>
      <c r="F18" s="2766"/>
      <c r="G18" s="160" t="str">
        <f ca="1">IF(F10=100%,"","按工程进度计取")</f>
        <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70169</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126690+0.0005V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110935</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15755</v>
      </c>
      <c r="D25" s="137"/>
      <c r="E25" s="137"/>
      <c r="F25" s="2762"/>
      <c r="G25" s="4264" t="s">
        <v>3990</v>
      </c>
      <c r="J25" s="99"/>
    </row>
    <row r="26" spans="1:10" s="113" customFormat="1" ht="15">
      <c r="A26" s="2815" t="s">
        <v>348</v>
      </c>
      <c r="B26" s="2813" t="s">
        <v>1453</v>
      </c>
      <c r="C26" s="2758">
        <f ca="1">ROUND(IF('数据-取费表'!B22&lt;=1,F22*F23*'数据-取费表'!B23/2,F22*(POWER((1+F23),'数据-取费表'!B23/2)-1)),4)</f>
        <v>5.0000000000000001E-4</v>
      </c>
      <c r="D26" s="137"/>
      <c r="E26" s="140"/>
      <c r="F26" s="2762"/>
      <c r="G26" s="4610" t="s">
        <v>3991</v>
      </c>
      <c r="J26" s="99"/>
    </row>
    <row r="27" spans="1:10" s="2767" customFormat="1" ht="15">
      <c r="A27" s="2746" t="s">
        <v>3345</v>
      </c>
      <c r="B27" s="2807" t="s">
        <v>3297</v>
      </c>
      <c r="C27" s="2774" t="str">
        <f ca="1">C28&amp;"+"&amp;C29&amp;"V"</f>
        <v>712220+0.0045V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712220</v>
      </c>
      <c r="D28" s="134"/>
      <c r="E28" s="135"/>
      <c r="F28" s="2763"/>
      <c r="G28" s="146" t="str">
        <f ca="1">IF(F10=100%,"","其中：土地取得成本产生的利润按已建工期计算")</f>
        <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459799</v>
      </c>
      <c r="D31" s="2750"/>
      <c r="E31" s="2750"/>
      <c r="F31" s="2764">
        <f>IF('数据-取费表'!B24=0,'数据-取费表'!N16,1)</f>
        <v>0.6</v>
      </c>
      <c r="G31" s="2751" t="s">
        <v>3809</v>
      </c>
      <c r="J31" s="99"/>
    </row>
    <row r="32" spans="1:10" s="113" customFormat="1" ht="15.6">
      <c r="A32" s="2738" t="s">
        <v>3300</v>
      </c>
      <c r="B32" s="2737" t="s">
        <v>3301</v>
      </c>
      <c r="C32" s="2759">
        <f ca="1">C5-C31</f>
        <v>5329884</v>
      </c>
      <c r="D32" s="2750"/>
      <c r="E32" s="2750"/>
      <c r="F32" s="2749"/>
      <c r="G32" s="2752" t="s">
        <v>3332</v>
      </c>
      <c r="J32" s="99"/>
    </row>
    <row r="33" spans="1:10" s="113" customFormat="1" ht="16.2" thickBot="1">
      <c r="A33" s="2818">
        <v>4</v>
      </c>
      <c r="B33" s="2819" t="s">
        <v>3333</v>
      </c>
      <c r="C33" s="2760">
        <f ca="1">ROUND(C32*(1+F33),0)</f>
        <v>5809574</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938089</v>
      </c>
      <c r="D40" s="3016"/>
      <c r="E40" s="3016"/>
      <c r="F40" s="3016"/>
      <c r="G40" s="4349"/>
    </row>
    <row r="41" spans="1:10" ht="15.6">
      <c r="A41" s="4489" t="s">
        <v>3304</v>
      </c>
      <c r="B41" s="4494" t="str">
        <f t="shared" ref="B41:C43" si="0">B10</f>
        <v xml:space="preserve">  建安费用</v>
      </c>
      <c r="C41" s="2735">
        <f t="shared" ca="1" si="0"/>
        <v>788310</v>
      </c>
      <c r="D41" s="2730"/>
      <c r="E41" s="2730"/>
      <c r="F41" s="2731"/>
      <c r="G41" s="4350"/>
    </row>
    <row r="42" spans="1:10" ht="15.6">
      <c r="A42" s="4489" t="s">
        <v>3305</v>
      </c>
      <c r="B42" s="4494" t="str">
        <f t="shared" si="0"/>
        <v xml:space="preserve">  前期费用</v>
      </c>
      <c r="C42" s="2735">
        <f t="shared" ca="1" si="0"/>
        <v>39416</v>
      </c>
      <c r="D42" s="2730"/>
      <c r="E42" s="2730"/>
      <c r="F42" s="2731"/>
      <c r="G42" s="4350"/>
    </row>
    <row r="43" spans="1:10" ht="15.6">
      <c r="A43" s="4489" t="s">
        <v>3369</v>
      </c>
      <c r="B43" s="4495" t="str">
        <f t="shared" si="0"/>
        <v xml:space="preserve">  公共配套设施费用</v>
      </c>
      <c r="C43" s="2735">
        <f t="shared" ca="1" si="0"/>
        <v>15766</v>
      </c>
      <c r="D43" s="2730"/>
      <c r="E43" s="2730"/>
      <c r="F43" s="2731"/>
      <c r="G43" s="4350"/>
    </row>
    <row r="44" spans="1:10" ht="15.6">
      <c r="A44" s="4489" t="s">
        <v>3287</v>
      </c>
      <c r="B44" s="4495" t="str">
        <f>B18</f>
        <v>红线内市政费用</v>
      </c>
      <c r="C44" s="2735">
        <f ca="1">C18</f>
        <v>94597</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14071</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14282+0.0005V建1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14282</v>
      </c>
      <c r="D50" s="1070"/>
      <c r="E50" s="1070"/>
      <c r="F50" s="1053"/>
      <c r="G50" s="4876" t="str">
        <f ca="1">IF(F10=100%,"建设期均匀投入","已建工期均匀投入")</f>
        <v>建设期均匀投入</v>
      </c>
    </row>
    <row r="51" spans="1:7">
      <c r="A51" s="4489" t="s">
        <v>3305</v>
      </c>
      <c r="B51" s="4495" t="s">
        <v>3310</v>
      </c>
      <c r="C51" s="2888">
        <f ca="1">ROUND(IF('数据-取费表'!B22&lt;=1,F48*F23*'数据-取费表'!B22/2,F48*(POWER((1+F23),'数据-取费表'!B22/2)-1)),4)</f>
        <v>5.0000000000000001E-4</v>
      </c>
      <c r="D51" s="1070"/>
      <c r="E51" s="1070"/>
      <c r="F51" s="1053"/>
      <c r="G51" s="4877"/>
    </row>
    <row r="52" spans="1:7" ht="14.4">
      <c r="A52" s="4491" t="s">
        <v>3462</v>
      </c>
      <c r="B52" s="3007" t="s">
        <v>3311</v>
      </c>
      <c r="C52" s="2878" t="str">
        <f ca="1">C53&amp;"+"&amp;C54&amp;"V建1"</f>
        <v>142824+0.0045V建1</v>
      </c>
      <c r="D52" s="2879"/>
      <c r="E52" s="2871"/>
      <c r="F52" s="2880">
        <f ca="1">F27</f>
        <v>0.15</v>
      </c>
      <c r="G52" s="2881" t="s">
        <v>3463</v>
      </c>
    </row>
    <row r="53" spans="1:7">
      <c r="A53" s="4489" t="s">
        <v>3304</v>
      </c>
      <c r="B53" s="4498" t="s">
        <v>3312</v>
      </c>
      <c r="C53" s="2735">
        <f ca="1">ROUND((C40+C47)*F27,0)</f>
        <v>142824</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1149498</v>
      </c>
      <c r="D56" s="302"/>
      <c r="E56" s="302"/>
      <c r="F56" s="2884"/>
      <c r="G56" s="2883" t="s">
        <v>3317</v>
      </c>
    </row>
    <row r="57" spans="1:7" ht="14.4">
      <c r="A57" s="4492" t="s">
        <v>3433</v>
      </c>
      <c r="B57" s="4499" t="s">
        <v>3299</v>
      </c>
      <c r="C57" s="2768">
        <f ca="1">ROUND(C56*(1-F57),0)</f>
        <v>459799</v>
      </c>
      <c r="D57" s="302"/>
      <c r="E57" s="302"/>
      <c r="F57" s="2884">
        <f>F31</f>
        <v>0.6</v>
      </c>
      <c r="G57" s="2883" t="s">
        <v>3318</v>
      </c>
    </row>
    <row r="58" spans="1:7" ht="16.8">
      <c r="A58" s="4492" t="s">
        <v>3467</v>
      </c>
      <c r="B58" s="4492" t="s">
        <v>3468</v>
      </c>
      <c r="C58" s="2768">
        <f ca="1">C56-C57</f>
        <v>689699</v>
      </c>
      <c r="D58" s="302"/>
      <c r="E58" s="302"/>
      <c r="F58" s="2884"/>
      <c r="G58" s="2883" t="s">
        <v>3319</v>
      </c>
    </row>
    <row r="59" spans="1:7" ht="15" thickBot="1">
      <c r="A59" s="2882" t="s">
        <v>3370</v>
      </c>
      <c r="B59" s="4500" t="s">
        <v>3315</v>
      </c>
      <c r="C59" s="4356">
        <f ca="1">ROUND(C58*(1+F59),0)</f>
        <v>751772</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0.871</v>
      </c>
    </row>
    <row r="64" spans="1:7" ht="21" customHeight="1">
      <c r="B64" s="3030" t="s">
        <v>788</v>
      </c>
      <c r="C64" s="4428">
        <f ca="1">ROUND(C58/C32,3)</f>
        <v>0.129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2644.5385000000001</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100641</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938089</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788310</v>
      </c>
      <c r="D34" s="116"/>
      <c r="E34" s="119"/>
      <c r="F34" s="156"/>
      <c r="G34" s="118"/>
    </row>
    <row r="35" spans="1:7" ht="13.5" customHeight="1">
      <c r="A35" s="540" t="s">
        <v>349</v>
      </c>
      <c r="B35" s="114" t="s">
        <v>1467</v>
      </c>
      <c r="C35" s="119">
        <f ca="1">ROUND(C34*F35,0)</f>
        <v>39416</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15766</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14071</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14282</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14071</v>
      </c>
      <c r="D42" s="137"/>
      <c r="E42" s="137"/>
      <c r="F42" s="138"/>
      <c r="G42" s="4876" t="s">
        <v>1526</v>
      </c>
    </row>
    <row r="43" spans="1:7" ht="13.5" customHeight="1">
      <c r="A43" s="540" t="s">
        <v>345</v>
      </c>
      <c r="B43" s="114" t="s">
        <v>1483</v>
      </c>
      <c r="C43" s="137">
        <f ca="1">ROUND(IF('数据-取费表'!B22&lt;=1,C39*F22*'数据-取费表'!B20/2,C39*(POWER((1+F22),'数据-取费表'!B20/2)-1)),0)</f>
        <v>211</v>
      </c>
      <c r="D43" s="137"/>
      <c r="E43" s="137"/>
      <c r="F43" s="138"/>
      <c r="G43" s="4878"/>
    </row>
    <row r="44" spans="1:7" ht="13.5" customHeight="1">
      <c r="A44" s="540" t="s">
        <v>346</v>
      </c>
      <c r="B44" s="114" t="s">
        <v>1484</v>
      </c>
      <c r="C44" s="137">
        <f ca="1">ROUND(IF('数据-取费表'!B22&lt;=1,C40*F22*'数据-取费表'!B20/2,C40*(POWER((1+F22),'数据-取费表'!B20/2)-1)),4)</f>
        <v>5.0000000000000001E-4</v>
      </c>
      <c r="D44" s="137"/>
      <c r="E44" s="137"/>
      <c r="F44" s="138"/>
      <c r="G44" s="4877"/>
    </row>
    <row r="45" spans="1:7" s="113" customFormat="1" ht="13.5" customHeight="1">
      <c r="A45" s="154" t="s">
        <v>1485</v>
      </c>
      <c r="B45" s="143" t="s">
        <v>1455</v>
      </c>
      <c r="C45" s="144">
        <f ca="1">C46</f>
        <v>142824</v>
      </c>
      <c r="D45" s="134">
        <f ca="1">C47</f>
        <v>4.4999999999999997E-3</v>
      </c>
      <c r="E45" s="135" t="s">
        <v>1478</v>
      </c>
      <c r="F45" s="145">
        <f ca="1">F27</f>
        <v>0.15</v>
      </c>
      <c r="G45" s="146" t="s">
        <v>1486</v>
      </c>
    </row>
    <row r="46" spans="1:7" s="113" customFormat="1" ht="13.5" customHeight="1">
      <c r="A46" s="540" t="s">
        <v>344</v>
      </c>
      <c r="B46" s="147" t="s">
        <v>1487</v>
      </c>
      <c r="C46" s="148">
        <f ca="1">ROUND((C33+C39)*F27,0)</f>
        <v>142824</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1150214</v>
      </c>
      <c r="D49" s="131"/>
      <c r="E49" s="131"/>
      <c r="F49" s="163"/>
      <c r="G49" s="133" t="s">
        <v>1491</v>
      </c>
    </row>
    <row r="50" spans="1:7" s="157" customFormat="1">
      <c r="A50" s="154" t="s">
        <v>1492</v>
      </c>
      <c r="B50" s="109" t="s">
        <v>1493</v>
      </c>
      <c r="C50" s="131"/>
      <c r="D50" s="131"/>
      <c r="E50" s="131"/>
      <c r="F50" s="163">
        <f>IF('数据-取费表'!B24=0,'数据-取费表'!N16,1)</f>
        <v>0.6</v>
      </c>
      <c r="G50" s="146"/>
    </row>
    <row r="51" spans="1:7" ht="16.5" customHeight="1">
      <c r="A51" s="154" t="s">
        <v>1494</v>
      </c>
      <c r="B51" s="109" t="s">
        <v>1528</v>
      </c>
      <c r="C51" s="131">
        <f ca="1">ROUND(C49*F50,0)</f>
        <v>690128</v>
      </c>
      <c r="D51" s="131"/>
      <c r="E51" s="131"/>
      <c r="F51" s="163"/>
      <c r="G51" s="133" t="s">
        <v>1495</v>
      </c>
    </row>
    <row r="52" spans="1:7" s="107" customFormat="1" ht="16.8" thickBot="1">
      <c r="A52" s="164" t="s">
        <v>1496</v>
      </c>
      <c r="B52" s="165"/>
      <c r="C52" s="166">
        <f ca="1">C31+C51</f>
        <v>26445385</v>
      </c>
      <c r="D52" s="165"/>
      <c r="E52" s="165"/>
      <c r="F52" s="165"/>
      <c r="G52" s="167"/>
    </row>
    <row r="55" spans="1:7" ht="15">
      <c r="B55" s="169" t="s">
        <v>1497</v>
      </c>
      <c r="C55" s="170"/>
    </row>
    <row r="56" spans="1:7">
      <c r="B56" s="172" t="s">
        <v>787</v>
      </c>
      <c r="C56" s="174">
        <f ca="1">1-C57</f>
        <v>0.97399999999999998</v>
      </c>
    </row>
    <row r="57" spans="1:7">
      <c r="B57" s="172" t="s">
        <v>788</v>
      </c>
      <c r="C57" s="173">
        <f ca="1">ROUND(C51/C52,3)</f>
        <v>2.5999999999999999E-2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88" t="s">
        <v>391</v>
      </c>
      <c r="B7" s="4881" t="s">
        <v>3793</v>
      </c>
      <c r="C7" s="4883">
        <f ca="1">ROUND(F6*F7*F8/10000,2)</f>
        <v>0</v>
      </c>
      <c r="D7" s="4884" t="s">
        <v>3471</v>
      </c>
      <c r="E7" s="4453" t="s">
        <v>682</v>
      </c>
      <c r="F7" s="3974">
        <f ca="1">IF(INDIRECT("'数据-取费表'!ah"&amp;$G$1)="",INDIRECT("'数据-取费表'!k"&amp;$G$1),INDIRECT("'数据-取费表'!ah"&amp;$G$1))</f>
        <v>0</v>
      </c>
      <c r="G7" s="991"/>
      <c r="H7" s="4888" t="s">
        <v>391</v>
      </c>
      <c r="I7" s="4881" t="s">
        <v>3793</v>
      </c>
      <c r="J7" s="4890">
        <f ca="1">ROUND(M6*M8*M7/10000,2)</f>
        <v>0</v>
      </c>
      <c r="K7" s="4884" t="s">
        <v>3471</v>
      </c>
      <c r="L7" s="190" t="s">
        <v>682</v>
      </c>
      <c r="M7" s="3974">
        <f ca="1">F7</f>
        <v>0</v>
      </c>
    </row>
    <row r="8" spans="1:37" ht="18" customHeight="1">
      <c r="A8" s="4889"/>
      <c r="B8" s="4882"/>
      <c r="C8" s="4883"/>
      <c r="D8" s="4884"/>
      <c r="E8" s="190" t="str">
        <f ca="1">IF(F8=1,"年",IF(F8=12,"月","天"))</f>
        <v>天</v>
      </c>
      <c r="F8" s="3677">
        <f ca="1">INDIRECT("'数据-取费表'!ai"&amp;$G$1)</f>
        <v>0</v>
      </c>
      <c r="G8" s="991"/>
      <c r="H8" s="4889"/>
      <c r="I8" s="4882"/>
      <c r="J8" s="4890"/>
      <c r="K8" s="4884"/>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5" t="s">
        <v>3793</v>
      </c>
      <c r="C59" s="4886">
        <f ca="1">ROUND(F58*F60*F59/10000,2)</f>
        <v>0</v>
      </c>
      <c r="D59" s="4884"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5"/>
      <c r="C60" s="4887"/>
      <c r="D60" s="4884"/>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79" t="s">
        <v>822</v>
      </c>
      <c r="L62" s="4880"/>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37.299999999999997</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t="s">
        <v>4023</v>
      </c>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t="e">
        <f ca="1">C6+C10+C12</f>
        <v>#DIV/0!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t="e">
        <f ca="1">C7-C9</f>
        <v>#DIV/0!</v>
      </c>
      <c r="D6" s="2952" t="s">
        <v>3799</v>
      </c>
      <c r="E6" s="2950" t="s">
        <v>3982</v>
      </c>
      <c r="F6" s="3684" t="e">
        <f ca="1">INDIRECT("'数据-取费表'!u"&amp;$G$1)</f>
        <v>#DIV/0!</v>
      </c>
      <c r="G6" s="991"/>
      <c r="H6" s="745" t="s">
        <v>392</v>
      </c>
      <c r="I6" s="2951" t="s">
        <v>3795</v>
      </c>
      <c r="J6" s="2939">
        <f ca="1">J7-J9</f>
        <v>0</v>
      </c>
      <c r="K6" s="2952" t="s">
        <v>3799</v>
      </c>
      <c r="L6" s="2950" t="s">
        <v>3982</v>
      </c>
      <c r="M6" s="3703">
        <f ca="1">INDIRECT("'数据-取费表'!z"&amp;$G$1)</f>
        <v>0</v>
      </c>
    </row>
    <row r="7" spans="1:37" ht="18" customHeight="1">
      <c r="A7" s="4888" t="s">
        <v>391</v>
      </c>
      <c r="B7" s="4881" t="s">
        <v>3793</v>
      </c>
      <c r="C7" s="4891" t="e">
        <f ca="1">ROUND(F6*F7*F8,0)</f>
        <v>#DIV/0!</v>
      </c>
      <c r="D7" s="4884" t="s">
        <v>3471</v>
      </c>
      <c r="E7" s="4453" t="s">
        <v>682</v>
      </c>
      <c r="F7" s="3974">
        <f ca="1">IF(INDIRECT("'数据-取费表'!ah"&amp;$G$1)="",INDIRECT("'数据-取费表'!k"&amp;$G$1),INDIRECT("'数据-取费表'!ah"&amp;$G$1))</f>
        <v>262.77</v>
      </c>
      <c r="G7" s="991"/>
      <c r="H7" s="4888" t="s">
        <v>391</v>
      </c>
      <c r="I7" s="4881" t="s">
        <v>3793</v>
      </c>
      <c r="J7" s="4892">
        <f ca="1">ROUND(M6*M8*M7,0)</f>
        <v>0</v>
      </c>
      <c r="K7" s="4884" t="s">
        <v>3471</v>
      </c>
      <c r="L7" s="190" t="s">
        <v>682</v>
      </c>
      <c r="M7" s="4602">
        <f ca="1">F7</f>
        <v>262.77</v>
      </c>
    </row>
    <row r="8" spans="1:37" ht="18" customHeight="1">
      <c r="A8" s="4889"/>
      <c r="B8" s="4882"/>
      <c r="C8" s="4891"/>
      <c r="D8" s="4884"/>
      <c r="E8" s="190" t="str">
        <f ca="1">IF(F8=1,"年",IF(F8=12,"月","天"))</f>
        <v>月</v>
      </c>
      <c r="F8" s="3677">
        <f ca="1">INDIRECT("'数据-取费表'!ai"&amp;$G$1)</f>
        <v>12</v>
      </c>
      <c r="G8" s="991"/>
      <c r="H8" s="4889"/>
      <c r="I8" s="4882"/>
      <c r="J8" s="4892"/>
      <c r="K8" s="4884"/>
      <c r="L8" s="190" t="str">
        <f ca="1">IF(M8=1,"年",IF(M8=12,"月","天"))</f>
        <v>月</v>
      </c>
      <c r="M8" s="3705">
        <f ca="1">INDIRECT("'数据-取费表'!ai"&amp;$G$1)</f>
        <v>12</v>
      </c>
    </row>
    <row r="9" spans="1:37" ht="18" customHeight="1">
      <c r="A9" s="2937" t="s">
        <v>3401</v>
      </c>
      <c r="B9" s="4457" t="s">
        <v>3794</v>
      </c>
      <c r="C9" s="4467" t="e">
        <f ca="1">ROUND(C7*F9,0)</f>
        <v>#DIV/0!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t="e">
        <f ca="1">ROUND(IF(F10="押一",C6/12*F11,IF(F10="押二",C6/12*2*F11,IF(F10="押三",C6/12*3*F11,C11*F11))),0)</f>
        <v>#DIV/0!</v>
      </c>
      <c r="D10" s="973" t="s">
        <v>2019</v>
      </c>
      <c r="E10" s="201" t="s">
        <v>686</v>
      </c>
      <c r="F10" s="787" t="s">
        <v>4029</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t="e">
        <f ca="1">ROUND(C14+C22+C24+C26,0)</f>
        <v>#DIV/0!</v>
      </c>
      <c r="D13" s="4607" t="s">
        <v>3921</v>
      </c>
      <c r="E13" s="4372"/>
      <c r="F13" s="4370"/>
      <c r="G13" s="4367"/>
      <c r="H13" s="754" t="s">
        <v>3676</v>
      </c>
      <c r="I13" s="755" t="s">
        <v>3920</v>
      </c>
      <c r="J13" s="4206">
        <f ca="1">ROUND(J14+J22+J24+J26,0)</f>
        <v>2260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t="e">
        <f ca="1">ROUND(IF(AND(项目基本情况!B11="自然人",项目基本情况!B10="北京市",M56="住宅"),C6*F14,C15+C19+C20),2)</f>
        <v>#DIV/0!</v>
      </c>
      <c r="D14" s="4455" t="s">
        <v>3445</v>
      </c>
      <c r="E14" s="4600" t="str">
        <f>IF(M56="非住宅","","综合税率")</f>
        <v>综合税率</v>
      </c>
      <c r="F14" s="4190" t="e">
        <f ca="1">IF(M56="非住宅","",IF(F6*F7*F8/12/(1+'数据-取费表'!F30)&gt;100000,4%,2.5%))</f>
        <v>#DIV/0!</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t="e">
        <f ca="1">C18</f>
        <v>#DIV/0!</v>
      </c>
      <c r="D15" s="4462" t="s">
        <v>3964</v>
      </c>
      <c r="E15" s="4463"/>
      <c r="F15" s="4501"/>
      <c r="G15" s="1002"/>
      <c r="H15" s="2937" t="s">
        <v>391</v>
      </c>
      <c r="I15" s="2950" t="s">
        <v>3965</v>
      </c>
      <c r="J15" s="2939">
        <f ca="1">J18</f>
        <v>-24</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t="e">
        <f ca="1">ROUND(C6*F16,0)</f>
        <v>#DIV/0!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t="e">
        <f ca="1">ROUND(C22*F16+((C24+C26)*F17),0)</f>
        <v>#DIV/0!</v>
      </c>
      <c r="D17" s="4342" t="s">
        <v>3861</v>
      </c>
      <c r="E17" s="2959"/>
      <c r="F17" s="3002">
        <v>0.06</v>
      </c>
      <c r="G17" s="1002"/>
      <c r="H17" s="2739" t="s">
        <v>3289</v>
      </c>
      <c r="I17" s="2954" t="s">
        <v>3405</v>
      </c>
      <c r="J17" s="3268">
        <f ca="1">ROUND(J22*M16+((J24+J26)*M17),0)</f>
        <v>203</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t="e">
        <f ca="1">ROUND((C16-C17)*F18,0)</f>
        <v>#DIV/0!</v>
      </c>
      <c r="D18" s="2977" t="s">
        <v>3984</v>
      </c>
      <c r="E18" s="190" t="s">
        <v>3985</v>
      </c>
      <c r="F18" s="3002">
        <f>'数据-取费表'!B44</f>
        <v>0.12000000000000001</v>
      </c>
      <c r="G18" s="1002"/>
      <c r="H18" s="2739" t="s">
        <v>3962</v>
      </c>
      <c r="I18" s="2954" t="s">
        <v>3961</v>
      </c>
      <c r="J18" s="3268">
        <f ca="1">ROUND((J16-J17)*M18,0)</f>
        <v>-24</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4030</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9494</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2260</v>
      </c>
      <c r="D22" s="4286" t="s">
        <v>724</v>
      </c>
      <c r="E22" s="190" t="s">
        <v>697</v>
      </c>
      <c r="F22" s="3004">
        <f ca="1">INDIRECT("'数据-取费表'!Ak"&amp;$G$1)</f>
        <v>2E-3</v>
      </c>
      <c r="G22" s="1002"/>
      <c r="H22" s="4212" t="s">
        <v>396</v>
      </c>
      <c r="I22" s="60" t="s">
        <v>723</v>
      </c>
      <c r="J22" s="4232">
        <f ca="1">ROUND(J35*M22,0)</f>
        <v>2260</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1130183</v>
      </c>
      <c r="G23" s="1002"/>
      <c r="H23" s="213"/>
      <c r="I23" s="199"/>
      <c r="J23" s="4233"/>
      <c r="K23" s="4287"/>
      <c r="L23" s="2950" t="s">
        <v>3819</v>
      </c>
      <c r="M23" s="3705">
        <f ca="1">J35</f>
        <v>1130183</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678</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678110</v>
      </c>
      <c r="G25" s="991"/>
      <c r="H25" s="213"/>
      <c r="I25" s="199"/>
      <c r="J25" s="4233"/>
      <c r="K25" s="4287"/>
      <c r="L25" s="4285" t="s">
        <v>3820</v>
      </c>
      <c r="M25" s="3705">
        <f ca="1">J37</f>
        <v>0</v>
      </c>
    </row>
    <row r="26" spans="1:37" s="1003" customFormat="1" ht="18" customHeight="1" thickBot="1">
      <c r="A26" s="764" t="s">
        <v>669</v>
      </c>
      <c r="B26" s="765" t="s">
        <v>713</v>
      </c>
      <c r="C26" s="3271" t="e">
        <f ca="1">ROUND(C5*F26,0)</f>
        <v>#DIV/0!</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t="e">
        <f ca="1">C5-C13</f>
        <v>#DIV/0!</v>
      </c>
      <c r="D27" s="4606" t="s">
        <v>3906</v>
      </c>
      <c r="E27" s="4376"/>
      <c r="F27" s="4377"/>
      <c r="G27" s="4378"/>
      <c r="H27" s="754" t="s">
        <v>3300</v>
      </c>
      <c r="I27" s="769" t="s">
        <v>3923</v>
      </c>
      <c r="J27" s="4206">
        <f ca="1">J5-J13</f>
        <v>-2260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0.04</v>
      </c>
      <c r="G28" s="4367"/>
      <c r="H28" s="4265" t="s">
        <v>3678</v>
      </c>
      <c r="I28" s="4273" t="s">
        <v>3811</v>
      </c>
      <c r="J28" s="4289">
        <f ca="1">IF(J5&lt;&gt;0,ROUND(J27*(1-((1+M30)/(1+M28))^M29)/(M28-M30),0),0)</f>
        <v>0</v>
      </c>
      <c r="K28" s="4381" t="s">
        <v>3924</v>
      </c>
      <c r="L28" s="4382" t="s">
        <v>3892</v>
      </c>
      <c r="M28" s="3699">
        <f ca="1">INDIRECT("'数据-取费表'!I"&amp;$G$1)</f>
        <v>0.04</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37.299999999999997</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922325</v>
      </c>
      <c r="D35" s="2973" t="s">
        <v>3415</v>
      </c>
      <c r="E35" s="2969"/>
      <c r="F35" s="2970"/>
      <c r="G35" s="991"/>
      <c r="H35" s="2983" t="s">
        <v>3407</v>
      </c>
      <c r="I35" s="2986" t="s">
        <v>3447</v>
      </c>
      <c r="J35" s="2987">
        <f ca="1">C51</f>
        <v>1130183</v>
      </c>
      <c r="K35" s="3452" t="s">
        <v>3443</v>
      </c>
      <c r="L35" s="2988"/>
      <c r="M35" s="3282"/>
    </row>
    <row r="36" spans="1:37" ht="18" customHeight="1">
      <c r="A36" s="2937" t="s">
        <v>391</v>
      </c>
      <c r="B36" s="2902" t="s">
        <v>692</v>
      </c>
      <c r="C36" s="2845">
        <f ca="1">ROUND(INDIRECT("'数据-取费表'!l"&amp;$G$1)*F32+'数据-取费表'!L14*INDIRECT("'数据-取费表'!S"&amp;$G$1),0)</f>
        <v>788310</v>
      </c>
      <c r="D36" s="3027" t="s">
        <v>693</v>
      </c>
      <c r="E36" s="3027"/>
      <c r="F36" s="220"/>
      <c r="G36" s="991"/>
      <c r="H36" s="2984" t="s">
        <v>396</v>
      </c>
      <c r="I36" s="2989" t="s">
        <v>3435</v>
      </c>
      <c r="J36" s="2887">
        <f ca="1">ROUND(J35*(1-M36),0)</f>
        <v>1130183</v>
      </c>
      <c r="K36" s="190" t="s">
        <v>3438</v>
      </c>
      <c r="L36" s="2952" t="s">
        <v>3450</v>
      </c>
      <c r="M36" s="3004">
        <f ca="1">INDIRECT("'数据-取费表'!ad"&amp;$G$1)</f>
        <v>0</v>
      </c>
    </row>
    <row r="37" spans="1:37" ht="18" customHeight="1" thickBot="1">
      <c r="A37" s="2937" t="s">
        <v>3401</v>
      </c>
      <c r="B37" s="2902" t="s">
        <v>695</v>
      </c>
      <c r="C37" s="2939">
        <f ca="1">ROUND(C36*F37,0)</f>
        <v>39416</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2</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13835</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14043+0.0005V建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14043</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140424+0.0045V建</v>
      </c>
      <c r="D47" s="2921" t="s">
        <v>3432</v>
      </c>
      <c r="E47" s="204"/>
      <c r="F47" s="3003"/>
      <c r="G47" s="991"/>
      <c r="H47" s="832"/>
      <c r="I47" s="832"/>
      <c r="J47" s="832"/>
      <c r="K47" s="2020"/>
      <c r="L47" s="832"/>
      <c r="M47" s="832"/>
    </row>
    <row r="48" spans="1:37" ht="18" customHeight="1">
      <c r="A48" s="2937" t="s">
        <v>391</v>
      </c>
      <c r="B48" s="190" t="s">
        <v>739</v>
      </c>
      <c r="C48" s="2939">
        <f ca="1">ROUND((C35+C42)*F48,0)</f>
        <v>140424</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1130183</v>
      </c>
      <c r="D51" s="2976" t="s">
        <v>3443</v>
      </c>
      <c r="E51" s="2962"/>
      <c r="F51" s="3004"/>
      <c r="K51" s="4418"/>
      <c r="Q51" s="4413"/>
    </row>
    <row r="52" spans="1:37" s="4367" customFormat="1" ht="18" customHeight="1">
      <c r="A52" s="2966" t="s">
        <v>3433</v>
      </c>
      <c r="B52" s="2965" t="s">
        <v>3435</v>
      </c>
      <c r="C52" s="4347">
        <f ca="1">ROUND(C51*(1-F52),0)</f>
        <v>452073</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678110</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t="e">
        <f ca="1">ROUND(IF(D2="含税",C83-C31,C80-C28)/10000,4)</f>
        <v>#DIV/0!</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4031</v>
      </c>
      <c r="K56" s="1022" t="s">
        <v>801</v>
      </c>
      <c r="L56" s="4251">
        <f ca="1">INDIRECT("'数据-取费表'!d"&amp;$G$1)</f>
        <v>70</v>
      </c>
      <c r="M56" s="987" t="str">
        <f>IF(ISNUMBER(FIND("住宅",C1)),"住宅","非住宅")</f>
        <v>住宅</v>
      </c>
      <c r="O56" s="4406" t="s">
        <v>397</v>
      </c>
      <c r="P56" s="4410" t="s">
        <v>3947</v>
      </c>
      <c r="Q56" s="4411" t="e">
        <f ca="1">C28+J31</f>
        <v>#DIV/0!</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4032</v>
      </c>
      <c r="K57" s="1029" t="s">
        <v>805</v>
      </c>
      <c r="L57" s="4240">
        <f ca="1">INDIRECT("'数据-取费表'!f"&amp;$G$1)</f>
        <v>37.299999999999997</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1130183</v>
      </c>
      <c r="R58" s="1026" t="s">
        <v>803</v>
      </c>
    </row>
    <row r="59" spans="1:37" s="991" customFormat="1" ht="15" customHeight="1" thickBot="1">
      <c r="A59" s="4224" t="s">
        <v>3796</v>
      </c>
      <c r="B59" s="4881" t="s">
        <v>3793</v>
      </c>
      <c r="C59" s="4271">
        <f ca="1">ROUND(F58*F60*F59,0)</f>
        <v>0</v>
      </c>
      <c r="D59" s="4884"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82"/>
      <c r="C60" s="4205"/>
      <c r="D60" s="4884"/>
      <c r="E60" s="691" t="str">
        <f ca="1">IF(F60=1,"年",IF(F60=12,"月","天"))</f>
        <v>月</v>
      </c>
      <c r="F60" s="2998">
        <f ca="1">F8</f>
        <v>12</v>
      </c>
      <c r="I60" s="1038" t="s">
        <v>814</v>
      </c>
      <c r="J60" s="4240">
        <f>IF(J58="",J59,J58+J59-YEAR('数据-取费表'!B2))</f>
        <v>18</v>
      </c>
      <c r="K60" s="1040" t="s">
        <v>815</v>
      </c>
      <c r="L60" s="4229" t="e">
        <f ca="1">ROUND(-PV(INDIRECT("'数据-取费表'!h"&amp;$G$1),J60,(C27-C52*C88),0),0)</f>
        <v>#DIV/0!</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37.299999999999997</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37.299999999999997</v>
      </c>
      <c r="K62" s="4879" t="s">
        <v>822</v>
      </c>
      <c r="L62" s="4880"/>
      <c r="O62" s="4406" t="s">
        <v>403</v>
      </c>
      <c r="P62" s="4410" t="s">
        <v>3949</v>
      </c>
      <c r="Q62" s="4411" t="e">
        <f ca="1">ROUND((Q56+Q57)*(1+F31),0)</f>
        <v>#DIV/0!</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2938</v>
      </c>
      <c r="D65" s="668" t="s">
        <v>3939</v>
      </c>
      <c r="E65" s="4421"/>
      <c r="F65" s="672"/>
      <c r="I65" s="1055" t="s">
        <v>827</v>
      </c>
      <c r="J65" s="1056" t="s">
        <v>4004</v>
      </c>
      <c r="K65" s="1027" t="s">
        <v>828</v>
      </c>
      <c r="L65" s="4240">
        <f ca="1">IF(L57&lt;J60,"——",L57-J62)</f>
        <v>0</v>
      </c>
      <c r="O65" s="4406" t="s">
        <v>397</v>
      </c>
      <c r="P65" s="4410" t="s">
        <v>3947</v>
      </c>
      <c r="Q65" s="4411" t="e">
        <f ca="1">C28+J31</f>
        <v>#DIV/0!</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t="e">
        <f ca="1">IF(L57&lt;J60,"——",IF(L64="比较法",L58,IF(L64="基准地价",L59,L60)))</f>
        <v>#DIV/0!</v>
      </c>
      <c r="O66" s="4406" t="s">
        <v>398</v>
      </c>
      <c r="P66" s="4407" t="s">
        <v>3914</v>
      </c>
      <c r="Q66" s="4411">
        <f ca="1">L69</f>
        <v>0</v>
      </c>
      <c r="R66" s="4408" t="s">
        <v>3915</v>
      </c>
    </row>
    <row r="67" spans="1:18" s="991" customFormat="1" ht="24.6" thickBot="1">
      <c r="A67" s="2937" t="s">
        <v>391</v>
      </c>
      <c r="B67" s="2950" t="s">
        <v>3965</v>
      </c>
      <c r="C67" s="2939">
        <f ca="1">C70</f>
        <v>-29</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244</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-29</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2260</v>
      </c>
      <c r="D74" s="4215" t="s">
        <v>724</v>
      </c>
      <c r="E74" s="2932" t="s">
        <v>3807</v>
      </c>
      <c r="F74" s="4229">
        <f ca="1">C51</f>
        <v>1130183</v>
      </c>
      <c r="I74" s="3689" t="s">
        <v>851</v>
      </c>
      <c r="J74" s="3685">
        <v>40</v>
      </c>
      <c r="K74" s="3685">
        <v>30</v>
      </c>
      <c r="L74" s="3685">
        <v>50</v>
      </c>
      <c r="M74" s="1071">
        <v>0.02</v>
      </c>
      <c r="O74" s="4406" t="s">
        <v>397</v>
      </c>
      <c r="P74" s="4407" t="s">
        <v>3910</v>
      </c>
      <c r="Q74" s="4409" t="e">
        <f ca="1">C28+J31</f>
        <v>#DIV/0!</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678</v>
      </c>
      <c r="D76" s="4215" t="s">
        <v>3442</v>
      </c>
      <c r="E76" s="2932" t="s">
        <v>3441</v>
      </c>
      <c r="F76" s="4230">
        <f ca="1">C53</f>
        <v>678110</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t="e">
        <f ca="1">L60</f>
        <v>#DIV/0!</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-2938</v>
      </c>
      <c r="D79" s="677" t="s">
        <v>3889</v>
      </c>
      <c r="E79" s="4395"/>
      <c r="F79" s="4396"/>
      <c r="O79" s="1034" t="s">
        <v>400</v>
      </c>
      <c r="P79" s="1073" t="s">
        <v>3941</v>
      </c>
      <c r="Q79" s="3698" t="e">
        <f ca="1">ROUND(Q80-Q81*Q82,0)</f>
        <v>#DIV/0!</v>
      </c>
      <c r="R79" s="1026" t="s">
        <v>408</v>
      </c>
    </row>
    <row r="80" spans="1:18" s="4367" customFormat="1" ht="13.8" thickBot="1">
      <c r="A80" s="3453" t="s">
        <v>388</v>
      </c>
      <c r="B80" s="658" t="s">
        <v>3890</v>
      </c>
      <c r="C80" s="4271">
        <f ca="1">ROUND(C79*(1-((1+F82)/(1+F80))^F81)/(F80-F82),0)</f>
        <v>-70101</v>
      </c>
      <c r="D80" s="4397" t="s">
        <v>3891</v>
      </c>
      <c r="E80" s="668" t="s">
        <v>3892</v>
      </c>
      <c r="F80" s="3004">
        <f ca="1">F28</f>
        <v>0.04</v>
      </c>
      <c r="O80" s="1034" t="s">
        <v>405</v>
      </c>
      <c r="P80" s="1073" t="s">
        <v>3942</v>
      </c>
      <c r="Q80" s="3698" t="e">
        <f ca="1">C27</f>
        <v>#DIV/0!</v>
      </c>
      <c r="R80" s="1026" t="s">
        <v>803</v>
      </c>
    </row>
    <row r="81" spans="1:18" s="4367" customFormat="1" ht="13.8" thickBot="1">
      <c r="A81" s="3454"/>
      <c r="B81" s="662"/>
      <c r="C81" s="4467"/>
      <c r="D81" s="4398" t="s">
        <v>3896</v>
      </c>
      <c r="E81" s="668" t="s">
        <v>3895</v>
      </c>
      <c r="F81" s="3005">
        <f ca="1">F29</f>
        <v>37.299999999999997</v>
      </c>
      <c r="O81" s="1034" t="s">
        <v>406</v>
      </c>
      <c r="P81" s="1073" t="s">
        <v>3943</v>
      </c>
      <c r="Q81" s="3698">
        <f ca="1">C52</f>
        <v>452073</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-76410</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-291</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93" t="s">
        <v>679</v>
      </c>
      <c r="C6" s="750">
        <f ca="1">ROUND(F6*F8*F7*(1-F9),0)</f>
        <v>0</v>
      </c>
      <c r="D6" s="60" t="s">
        <v>2012</v>
      </c>
      <c r="E6" s="190" t="s">
        <v>681</v>
      </c>
      <c r="F6" s="191">
        <f ca="1">INDIRECT("'数据-取费表'!u"&amp;$G$1)</f>
        <v>0</v>
      </c>
      <c r="G6" s="991"/>
      <c r="H6" s="745" t="s">
        <v>392</v>
      </c>
      <c r="I6" s="4893" t="s">
        <v>679</v>
      </c>
      <c r="J6" s="189">
        <f ca="1">ROUND(M6*M8*M7*(1-M9),0)</f>
        <v>0</v>
      </c>
      <c r="K6" s="983" t="s">
        <v>2013</v>
      </c>
      <c r="L6" s="190" t="s">
        <v>681</v>
      </c>
      <c r="M6" s="191">
        <f ca="1">INDIRECT("'数据-取费表'!z"&amp;$G$1)</f>
        <v>0</v>
      </c>
    </row>
    <row r="7" spans="1:37" ht="18" customHeight="1">
      <c r="A7" s="749"/>
      <c r="B7" s="4894"/>
      <c r="C7" s="751"/>
      <c r="D7" s="195"/>
      <c r="E7" s="752" t="s">
        <v>682</v>
      </c>
      <c r="F7" s="191">
        <f ca="1">IF(INDIRECT("'数据-取费表'!ah"&amp;$G$1)="",INDIRECT("'数据-取费表'!k"&amp;$G$1),INDIRECT("'数据-取费表'!ah"&amp;$G$1))</f>
        <v>0</v>
      </c>
      <c r="G7" s="991"/>
      <c r="H7" s="192"/>
      <c r="I7" s="4894"/>
      <c r="J7" s="194"/>
      <c r="K7" s="195"/>
      <c r="L7" s="190" t="s">
        <v>682</v>
      </c>
      <c r="M7" s="191">
        <f ca="1">F7</f>
        <v>0</v>
      </c>
    </row>
    <row r="8" spans="1:37" ht="18" customHeight="1">
      <c r="A8" s="192"/>
      <c r="B8" s="4894"/>
      <c r="C8" s="194"/>
      <c r="D8" s="195"/>
      <c r="E8" s="190" t="s">
        <v>683</v>
      </c>
      <c r="F8" s="191">
        <f ca="1">INDIRECT("'数据-取费表'!ai"&amp;$G$1)</f>
        <v>0</v>
      </c>
      <c r="G8" s="991"/>
      <c r="H8" s="192"/>
      <c r="I8" s="4894"/>
      <c r="J8" s="194"/>
      <c r="K8" s="195"/>
      <c r="L8" s="190" t="s">
        <v>683</v>
      </c>
      <c r="M8" s="191">
        <f ca="1">INDIRECT("'数据-取费表'!ai"&amp;$G$1)</f>
        <v>0</v>
      </c>
    </row>
    <row r="9" spans="1:37" ht="18" customHeight="1">
      <c r="A9" s="192"/>
      <c r="B9" s="4895"/>
      <c r="C9" s="194"/>
      <c r="D9" s="195"/>
      <c r="E9" s="190" t="s">
        <v>684</v>
      </c>
      <c r="F9" s="200">
        <f ca="1">INDIRECT("'数据-取费表'!w"&amp;$G$1)</f>
        <v>0</v>
      </c>
      <c r="G9" s="991"/>
      <c r="H9" s="192"/>
      <c r="I9" s="4895"/>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79" t="s">
        <v>822</v>
      </c>
      <c r="L53" s="4880"/>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896" t="s">
        <v>2211</v>
      </c>
      <c r="K2" s="4897"/>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898" t="s">
        <v>2221</v>
      </c>
      <c r="K3" s="4899"/>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898" t="s">
        <v>2223</v>
      </c>
      <c r="K4" s="4899"/>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900" t="s">
        <v>3791</v>
      </c>
      <c r="B6" s="4901"/>
      <c r="C6" s="4902"/>
      <c r="D6" s="3709"/>
      <c r="E6" s="3859"/>
      <c r="F6" s="2276"/>
      <c r="G6" s="2277"/>
      <c r="H6" s="2255"/>
      <c r="I6" s="2256"/>
      <c r="J6" s="4903">
        <v>1</v>
      </c>
      <c r="K6" s="4904"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903"/>
      <c r="K7" s="4905"/>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07" t="s">
        <v>2240</v>
      </c>
      <c r="C8" s="4908"/>
      <c r="D8" s="4434" t="s">
        <v>3953</v>
      </c>
      <c r="E8" s="2291" t="s">
        <v>2241</v>
      </c>
      <c r="F8" s="2292" t="s">
        <v>2242</v>
      </c>
      <c r="G8" s="2293"/>
      <c r="H8" s="2255"/>
      <c r="I8" s="2256"/>
      <c r="J8" s="4903"/>
      <c r="K8" s="4905"/>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07" t="s">
        <v>2245</v>
      </c>
      <c r="C9" s="4908"/>
      <c r="D9" s="3711">
        <f>ROUND(D6*E9,0)</f>
        <v>0</v>
      </c>
      <c r="E9" s="3712"/>
      <c r="F9" s="2294" t="s">
        <v>2246</v>
      </c>
      <c r="G9" s="2277"/>
      <c r="H9" s="2255"/>
      <c r="I9" s="2256"/>
      <c r="J9" s="4903"/>
      <c r="K9" s="4905"/>
      <c r="L9" s="2286" t="s">
        <v>2247</v>
      </c>
      <c r="M9" s="3982"/>
      <c r="N9" s="3981"/>
      <c r="O9" s="4625"/>
      <c r="P9" s="4625"/>
      <c r="Q9" s="3981">
        <v>365</v>
      </c>
      <c r="R9" s="3980">
        <f t="shared" si="0"/>
        <v>0</v>
      </c>
      <c r="S9" s="2249"/>
      <c r="T9" s="2249"/>
      <c r="U9" s="2249"/>
      <c r="V9" s="2256"/>
    </row>
    <row r="10" spans="1:22" s="2260" customFormat="1" ht="13.2" customHeight="1">
      <c r="A10" s="2290">
        <v>2</v>
      </c>
      <c r="B10" s="4907" t="s">
        <v>2248</v>
      </c>
      <c r="C10" s="4908"/>
      <c r="D10" s="3711">
        <f>ROUND(D6*E10,0)</f>
        <v>0</v>
      </c>
      <c r="E10" s="3712"/>
      <c r="F10" s="3854" t="s">
        <v>3716</v>
      </c>
      <c r="G10" s="2277"/>
      <c r="H10" s="2255"/>
      <c r="I10" s="2256"/>
      <c r="J10" s="4903"/>
      <c r="K10" s="4905"/>
      <c r="L10" s="2286" t="s">
        <v>2249</v>
      </c>
      <c r="M10" s="3982"/>
      <c r="N10" s="3981"/>
      <c r="O10" s="4625"/>
      <c r="P10" s="4625"/>
      <c r="Q10" s="3981">
        <v>365</v>
      </c>
      <c r="R10" s="3980">
        <f t="shared" si="0"/>
        <v>0</v>
      </c>
      <c r="S10" s="2249"/>
      <c r="T10" s="2249"/>
      <c r="U10" s="2249"/>
      <c r="V10" s="2256"/>
    </row>
    <row r="11" spans="1:22" s="2260" customFormat="1" ht="13.2" customHeight="1">
      <c r="A11" s="2290">
        <v>3</v>
      </c>
      <c r="B11" s="4907" t="s">
        <v>2250</v>
      </c>
      <c r="C11" s="4908"/>
      <c r="D11" s="3711">
        <f>D12+D14+D15+D16</f>
        <v>0</v>
      </c>
      <c r="E11" s="3713" t="e">
        <f>D11/D6</f>
        <v>#DIV/0!</v>
      </c>
      <c r="F11" s="2292"/>
      <c r="G11" s="2293"/>
      <c r="H11" s="2255"/>
      <c r="I11" s="2256"/>
      <c r="J11" s="4903"/>
      <c r="K11" s="4905"/>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9" t="s">
        <v>2253</v>
      </c>
      <c r="C12" s="4910"/>
      <c r="D12" s="3714">
        <f>ROUND(D13*1.2%*(1-30%),0)</f>
        <v>0</v>
      </c>
      <c r="E12" s="3715">
        <v>1.2E-2</v>
      </c>
      <c r="F12" s="2292" t="s">
        <v>2254</v>
      </c>
      <c r="G12" s="2293"/>
      <c r="H12" s="2255"/>
      <c r="I12" s="2256"/>
      <c r="J12" s="4903"/>
      <c r="K12" s="4905"/>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903"/>
      <c r="K13" s="4905"/>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9" t="s">
        <v>2259</v>
      </c>
      <c r="C14" s="4910"/>
      <c r="D14" s="3714">
        <f>ROUND(E14*B5/10000,0)</f>
        <v>0</v>
      </c>
      <c r="E14" s="3717"/>
      <c r="F14" s="2292" t="s">
        <v>2260</v>
      </c>
      <c r="G14" s="2293"/>
      <c r="H14" s="2255"/>
      <c r="I14" s="2256"/>
      <c r="J14" s="4903"/>
      <c r="K14" s="4906"/>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11" t="s">
        <v>3788</v>
      </c>
      <c r="C15" s="4910"/>
      <c r="D15" s="3714">
        <f>IF(F15="酒店",E48*(1+E15),IF(F15="购物中心",E67*(1+E15),IF(F15="按比例计算-酒店",E46,E65)))</f>
        <v>0</v>
      </c>
      <c r="E15" s="3715">
        <f>'数据-取费表'!B44</f>
        <v>0.12000000000000001</v>
      </c>
      <c r="F15" s="3857" t="s">
        <v>3847</v>
      </c>
      <c r="G15" s="3858"/>
      <c r="H15" s="2255"/>
      <c r="I15" s="2256"/>
      <c r="J15" s="4903">
        <v>2</v>
      </c>
      <c r="K15" s="4904"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9" t="s">
        <v>2270</v>
      </c>
      <c r="C16" s="4910"/>
      <c r="D16" s="3718">
        <f>D6*E16</f>
        <v>0</v>
      </c>
      <c r="E16" s="3719"/>
      <c r="F16" s="2294" t="s">
        <v>2271</v>
      </c>
      <c r="G16" s="2277"/>
      <c r="H16" s="2255"/>
      <c r="I16" s="2256"/>
      <c r="J16" s="4903"/>
      <c r="K16" s="4905"/>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12" t="s">
        <v>2273</v>
      </c>
      <c r="C17" s="4913"/>
      <c r="D17" s="3720">
        <f>ROUND(D6*E17,0)</f>
        <v>0</v>
      </c>
      <c r="E17" s="3721"/>
      <c r="F17" s="3855" t="s">
        <v>3717</v>
      </c>
      <c r="G17" s="2277"/>
      <c r="H17" s="2255"/>
      <c r="I17" s="2256"/>
      <c r="J17" s="4903"/>
      <c r="K17" s="4905"/>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903"/>
      <c r="K18" s="4905"/>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903"/>
      <c r="K19" s="4906"/>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03">
        <v>3</v>
      </c>
      <c r="K20" s="4904"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903"/>
      <c r="K21" s="4905"/>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903"/>
      <c r="K22" s="4905"/>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903"/>
      <c r="K23" s="4905"/>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903"/>
      <c r="K24" s="4906"/>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914">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915"/>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896" t="s">
        <v>2211</v>
      </c>
      <c r="K32" s="4897"/>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898" t="s">
        <v>2221</v>
      </c>
      <c r="K33" s="4899"/>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898" t="s">
        <v>2223</v>
      </c>
      <c r="K34" s="4899"/>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903">
        <v>1</v>
      </c>
      <c r="K36" s="4904"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903"/>
      <c r="K37" s="4905"/>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903"/>
      <c r="K38" s="4905"/>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903"/>
      <c r="K39" s="4905"/>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903"/>
      <c r="K40" s="4906"/>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914">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915"/>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t="e">
        <f ca="1">SUMIF(B6:B13,"&lt;&gt;#ref!",B6:B13)</f>
        <v>#DIV/0!</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t="e">
        <f ca="1">ROUND(B2*10000/E2,0)</f>
        <v>#DIV/0!</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6" t="s">
        <v>1560</v>
      </c>
      <c r="C5" s="4917"/>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收益法 (元)</v>
      </c>
      <c r="B6" s="3986" t="e">
        <f ca="1">IF(F6="是",'数据-取费表'!AO6,0)</f>
        <v>#DIV/0!</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21" t="s">
        <v>1990</v>
      </c>
      <c r="D1" s="4922"/>
      <c r="E1" s="4922"/>
      <c r="F1" s="4922"/>
      <c r="G1" s="4922"/>
      <c r="H1" s="4922"/>
      <c r="I1" s="4922"/>
      <c r="J1" s="4922"/>
      <c r="K1" s="4922"/>
      <c r="L1" s="4922"/>
      <c r="M1" s="4922"/>
      <c r="N1" s="4922"/>
      <c r="O1" s="4922"/>
      <c r="P1" s="4922"/>
      <c r="Q1" s="4922"/>
      <c r="R1" s="4922"/>
      <c r="S1" s="4923"/>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8" t="s">
        <v>25</v>
      </c>
      <c r="D22" s="4919"/>
      <c r="E22" s="4919"/>
      <c r="F22" s="4919"/>
      <c r="G22" s="4919"/>
      <c r="H22" s="4919"/>
      <c r="I22" s="4919"/>
      <c r="J22" s="4919"/>
      <c r="K22" s="4919"/>
      <c r="L22" s="4919"/>
      <c r="M22" s="4919"/>
      <c r="N22" s="4919"/>
      <c r="O22" s="4919"/>
      <c r="P22" s="4919"/>
      <c r="Q22" s="4920"/>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80" zoomScaleNormal="60" zoomScaleSheetLayoutView="80" workbookViewId="0">
      <selection activeCell="H84" sqref="H84"/>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4118</v>
      </c>
      <c r="F1" s="1453" t="s">
        <v>4112</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643.68140000000005</v>
      </c>
      <c r="C2" s="3021" t="s">
        <v>4023</v>
      </c>
      <c r="D2" s="4024">
        <f>IF(E1="项目模式",IF(E2="——",ROUND(C49*D3/10000,0),ROUND(C49*D3/10000,0)-F2),IF(E1="单套模式",IF(E2="——",ROUND(C49*D3/10000,4),ROUND(C49*D3/10000,4)-F2)))</f>
        <v>643.68140000000005</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24496</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27" t="s">
        <v>1573</v>
      </c>
      <c r="D4" s="4928"/>
      <c r="E4" s="4929" t="s">
        <v>1574</v>
      </c>
      <c r="F4" s="4930"/>
      <c r="G4" s="4927" t="s">
        <v>1575</v>
      </c>
      <c r="H4" s="4928"/>
      <c r="I4" s="4927" t="s">
        <v>1576</v>
      </c>
      <c r="J4" s="4928"/>
      <c r="K4" s="3050" t="s">
        <v>1577</v>
      </c>
      <c r="L4" s="2146"/>
      <c r="M4" s="2147"/>
      <c r="N4" s="2147"/>
      <c r="O4" s="2147"/>
      <c r="P4" s="4931" t="s">
        <v>1578</v>
      </c>
      <c r="Q4" s="4932"/>
      <c r="R4" s="4937" t="s">
        <v>1574</v>
      </c>
      <c r="S4" s="4938"/>
      <c r="T4" s="4937" t="s">
        <v>1575</v>
      </c>
      <c r="U4" s="4938"/>
      <c r="V4" s="4952" t="s">
        <v>1576</v>
      </c>
      <c r="W4" s="4952"/>
      <c r="X4" s="4619"/>
      <c r="Y4" s="4953" t="s">
        <v>1578</v>
      </c>
      <c r="Z4" s="4954"/>
      <c r="AA4" s="4924" t="s">
        <v>1574</v>
      </c>
      <c r="AB4" s="4924" t="s">
        <v>1575</v>
      </c>
      <c r="AC4" s="4924" t="s">
        <v>1576</v>
      </c>
    </row>
    <row r="5" spans="1:29">
      <c r="A5" s="244"/>
      <c r="B5" s="245"/>
      <c r="C5" s="4941" t="s">
        <v>1579</v>
      </c>
      <c r="D5" s="4942"/>
      <c r="E5" s="4943" t="str">
        <f>Sheet1!E87</f>
        <v>富力湾</v>
      </c>
      <c r="F5" s="4944"/>
      <c r="G5" s="4941" t="str">
        <f>Sheet1!E89</f>
        <v>富力湾</v>
      </c>
      <c r="H5" s="4942"/>
      <c r="I5" s="4945" t="s">
        <v>4131</v>
      </c>
      <c r="J5" s="4942"/>
      <c r="K5" s="3051"/>
      <c r="L5" s="2146"/>
      <c r="M5" s="2147"/>
      <c r="N5" s="2147"/>
      <c r="O5" s="2147"/>
      <c r="P5" s="4933"/>
      <c r="Q5" s="4934"/>
      <c r="R5" s="4939"/>
      <c r="S5" s="4940"/>
      <c r="T5" s="4939"/>
      <c r="U5" s="4940"/>
      <c r="V5" s="4952"/>
      <c r="W5" s="4952"/>
      <c r="X5" s="4619"/>
      <c r="Y5" s="4955"/>
      <c r="Z5" s="4956"/>
      <c r="AA5" s="4925"/>
      <c r="AB5" s="4925"/>
      <c r="AC5" s="4925"/>
    </row>
    <row r="6" spans="1:29" ht="15" thickBot="1">
      <c r="A6" s="246"/>
      <c r="B6" s="812"/>
      <c r="C6" s="4946" t="s">
        <v>1583</v>
      </c>
      <c r="D6" s="4947"/>
      <c r="E6" s="4948" t="s">
        <v>1583</v>
      </c>
      <c r="F6" s="4949"/>
      <c r="G6" s="4946" t="s">
        <v>1583</v>
      </c>
      <c r="H6" s="4947"/>
      <c r="I6" s="4946" t="s">
        <v>1583</v>
      </c>
      <c r="J6" s="4947"/>
      <c r="K6" s="3051" t="s">
        <v>1584</v>
      </c>
      <c r="L6" s="2146"/>
      <c r="M6" s="2147"/>
      <c r="N6" s="2147"/>
      <c r="O6" s="2147"/>
      <c r="P6" s="4935"/>
      <c r="Q6" s="4936"/>
      <c r="R6" s="4939"/>
      <c r="S6" s="4940"/>
      <c r="T6" s="4950"/>
      <c r="U6" s="4951"/>
      <c r="V6" s="4952"/>
      <c r="W6" s="4952"/>
      <c r="X6" s="4619"/>
      <c r="Y6" s="4957"/>
      <c r="Z6" s="4958"/>
      <c r="AA6" s="4926"/>
      <c r="AB6" s="4926"/>
      <c r="AC6" s="4926"/>
    </row>
    <row r="7" spans="1:29" s="49" customFormat="1" ht="15" thickBot="1">
      <c r="A7" s="248" t="s">
        <v>1585</v>
      </c>
      <c r="B7" s="249"/>
      <c r="C7" s="3052">
        <f>'数据-取费表'!B2</f>
        <v>46087</v>
      </c>
      <c r="D7" s="3128">
        <v>100</v>
      </c>
      <c r="E7" s="3082">
        <f>Sheet1!S87</f>
        <v>45741</v>
      </c>
      <c r="F7" s="4026">
        <f>SUMIF(58:58,YEAR(E7)&amp;"-"&amp;MONTH(E7),59:59)</f>
        <v>104</v>
      </c>
      <c r="G7" s="3082">
        <f>Sheet1!S89</f>
        <v>45632</v>
      </c>
      <c r="H7" s="4038">
        <f>SUMIF(58:58,YEAR(G7)&amp;"-"&amp;MONTH(G7),59:59)</f>
        <v>105</v>
      </c>
      <c r="I7" s="3082">
        <v>45611</v>
      </c>
      <c r="J7" s="4038">
        <f>SUMIF(58:58,YEAR(I7)&amp;"-"&amp;MONTH(I7),59:59)</f>
        <v>105</v>
      </c>
      <c r="K7" s="3043"/>
      <c r="L7" s="2148"/>
      <c r="M7" s="2149"/>
      <c r="N7" s="2149"/>
      <c r="O7" s="2149"/>
      <c r="P7" s="4959" t="s">
        <v>1586</v>
      </c>
      <c r="Q7" s="4960"/>
      <c r="R7" s="3923" t="s">
        <v>18</v>
      </c>
      <c r="S7" s="3405">
        <f t="shared" ref="S7:S15" si="0">F7</f>
        <v>104</v>
      </c>
      <c r="T7" s="3923" t="s">
        <v>18</v>
      </c>
      <c r="U7" s="3405">
        <f t="shared" ref="U7:U15" si="1">H7</f>
        <v>105</v>
      </c>
      <c r="V7" s="3923" t="s">
        <v>18</v>
      </c>
      <c r="W7" s="3405">
        <f t="shared" ref="W7:W15" si="2">J7</f>
        <v>105</v>
      </c>
      <c r="X7" s="504"/>
      <c r="Y7" s="4962" t="s">
        <v>1586</v>
      </c>
      <c r="Z7" s="4963"/>
      <c r="AA7" s="4612">
        <f>D7/F7</f>
        <v>0.96153846153846156</v>
      </c>
      <c r="AB7" s="4612">
        <f>D7/H7</f>
        <v>0.95238095238095233</v>
      </c>
      <c r="AC7" s="4612">
        <f>D7/J7</f>
        <v>0.95238095238095233</v>
      </c>
    </row>
    <row r="8" spans="1:29" s="49" customFormat="1" ht="15" thickBot="1">
      <c r="A8" s="248" t="s">
        <v>1587</v>
      </c>
      <c r="B8" s="249"/>
      <c r="C8" s="3053" t="s">
        <v>4107</v>
      </c>
      <c r="D8" s="3128">
        <v>100</v>
      </c>
      <c r="E8" s="3107" t="s">
        <v>4107</v>
      </c>
      <c r="F8" s="4026">
        <f>SUMIF(61:61,E8,62:62)-SUMIF(61:61,C8,62:62)+100</f>
        <v>100</v>
      </c>
      <c r="G8" s="3053" t="s">
        <v>4107</v>
      </c>
      <c r="H8" s="4038">
        <f>SUMIF(61:61,G8,62:62)-SUMIF(61:61,C8,62:62)+100</f>
        <v>100</v>
      </c>
      <c r="I8" s="3107" t="s">
        <v>4107</v>
      </c>
      <c r="J8" s="4038">
        <f>SUMIF(61:61,I8,62:62)-SUMIF(61:61,C8,62:62)+100</f>
        <v>100</v>
      </c>
      <c r="K8" s="3043"/>
      <c r="L8" s="2148"/>
      <c r="M8" s="2149"/>
      <c r="N8" s="2149"/>
      <c r="O8" s="2149"/>
      <c r="P8" s="4959" t="s">
        <v>1589</v>
      </c>
      <c r="Q8" s="4961"/>
      <c r="R8" s="3923" t="s">
        <v>18</v>
      </c>
      <c r="S8" s="3405">
        <f t="shared" si="0"/>
        <v>100</v>
      </c>
      <c r="T8" s="3923" t="s">
        <v>18</v>
      </c>
      <c r="U8" s="3405">
        <f t="shared" si="1"/>
        <v>100</v>
      </c>
      <c r="V8" s="3923" t="s">
        <v>18</v>
      </c>
      <c r="W8" s="3405">
        <f t="shared" si="2"/>
        <v>100</v>
      </c>
      <c r="X8" s="504"/>
      <c r="Y8" s="4962" t="s">
        <v>1589</v>
      </c>
      <c r="Z8" s="4963"/>
      <c r="AA8" s="4612">
        <f t="shared" ref="AA8:AA19" si="3">D8/F8</f>
        <v>1</v>
      </c>
      <c r="AB8" s="4612">
        <f t="shared" ref="AB8:AB19" si="4">D8/H8</f>
        <v>1</v>
      </c>
      <c r="AC8" s="4612">
        <f t="shared" ref="AC8:AC19" si="5">D8/J8</f>
        <v>1</v>
      </c>
    </row>
    <row r="9" spans="1:29" s="49" customFormat="1" ht="14.4">
      <c r="A9" s="253" t="s">
        <v>1590</v>
      </c>
      <c r="B9" s="3033" t="s">
        <v>1591</v>
      </c>
      <c r="C9" s="4656" t="s">
        <v>4109</v>
      </c>
      <c r="D9" s="3129">
        <v>100</v>
      </c>
      <c r="E9" s="3083" t="s">
        <v>4067</v>
      </c>
      <c r="F9" s="4027">
        <f>SUMIF(63:63,E9,64:64)-SUMIF(63:63,C9,64:64)+100</f>
        <v>100</v>
      </c>
      <c r="G9" s="3112" t="s">
        <v>4067</v>
      </c>
      <c r="H9" s="4039">
        <f>SUMIF(63:63,G9,64:64)-SUMIF(63:63,C9,64:64)+100</f>
        <v>100</v>
      </c>
      <c r="I9" s="3112" t="s">
        <v>4067</v>
      </c>
      <c r="J9" s="4039">
        <f>SUMIF(63:63,I9,64:64)-SUMIF(63:63,C9,64:64)+100</f>
        <v>100</v>
      </c>
      <c r="K9" s="3043"/>
      <c r="L9" s="2148"/>
      <c r="M9" s="2149"/>
      <c r="N9" s="2149"/>
      <c r="O9" s="2149"/>
      <c r="P9" s="4964" t="s">
        <v>1592</v>
      </c>
      <c r="Q9" s="4614" t="str">
        <f t="shared" ref="Q9:Q15" si="6">B9</f>
        <v>用途</v>
      </c>
      <c r="R9" s="3923" t="s">
        <v>13</v>
      </c>
      <c r="S9" s="3405">
        <f t="shared" si="0"/>
        <v>100</v>
      </c>
      <c r="T9" s="3923" t="s">
        <v>13</v>
      </c>
      <c r="U9" s="3405">
        <f t="shared" si="1"/>
        <v>100</v>
      </c>
      <c r="V9" s="3923" t="s">
        <v>13</v>
      </c>
      <c r="W9" s="3405">
        <f t="shared" si="2"/>
        <v>100</v>
      </c>
      <c r="X9" s="504"/>
      <c r="Y9" s="4965"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64"/>
      <c r="Q10" s="4614" t="str">
        <f t="shared" si="6"/>
        <v>土地使用年限（年）</v>
      </c>
      <c r="R10" s="3923" t="s">
        <v>13</v>
      </c>
      <c r="S10" s="3405">
        <f t="shared" si="0"/>
        <v>100</v>
      </c>
      <c r="T10" s="3923" t="s">
        <v>13</v>
      </c>
      <c r="U10" s="3405">
        <f t="shared" si="1"/>
        <v>100</v>
      </c>
      <c r="V10" s="3923" t="s">
        <v>13</v>
      </c>
      <c r="W10" s="3405">
        <f t="shared" si="2"/>
        <v>100</v>
      </c>
      <c r="X10" s="504"/>
      <c r="Y10" s="4965"/>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64"/>
      <c r="Q11" s="4614" t="str">
        <f t="shared" si="6"/>
        <v>容积率</v>
      </c>
      <c r="R11" s="3923" t="s">
        <v>16</v>
      </c>
      <c r="S11" s="3405">
        <f t="shared" si="0"/>
        <v>100</v>
      </c>
      <c r="T11" s="3923" t="s">
        <v>16</v>
      </c>
      <c r="U11" s="3405">
        <f t="shared" si="1"/>
        <v>100</v>
      </c>
      <c r="V11" s="3923" t="s">
        <v>16</v>
      </c>
      <c r="W11" s="3405">
        <f t="shared" si="2"/>
        <v>100</v>
      </c>
      <c r="X11" s="504"/>
      <c r="Y11" s="4965"/>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64"/>
      <c r="Q12" s="4614">
        <f t="shared" si="6"/>
        <v>111</v>
      </c>
      <c r="R12" s="3923" t="s">
        <v>16</v>
      </c>
      <c r="S12" s="3405">
        <f t="shared" si="0"/>
        <v>100</v>
      </c>
      <c r="T12" s="3923" t="s">
        <v>16</v>
      </c>
      <c r="U12" s="3405">
        <f t="shared" si="1"/>
        <v>100</v>
      </c>
      <c r="V12" s="3923" t="s">
        <v>16</v>
      </c>
      <c r="W12" s="3405">
        <f t="shared" si="2"/>
        <v>100</v>
      </c>
      <c r="X12" s="504"/>
      <c r="Y12" s="4965"/>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64"/>
      <c r="Q13" s="4614">
        <f t="shared" si="6"/>
        <v>111</v>
      </c>
      <c r="R13" s="3923" t="s">
        <v>16</v>
      </c>
      <c r="S13" s="3405">
        <f t="shared" si="0"/>
        <v>100</v>
      </c>
      <c r="T13" s="3923" t="s">
        <v>16</v>
      </c>
      <c r="U13" s="3405">
        <f t="shared" si="1"/>
        <v>100</v>
      </c>
      <c r="V13" s="3923" t="s">
        <v>16</v>
      </c>
      <c r="W13" s="3405">
        <f t="shared" si="2"/>
        <v>100</v>
      </c>
      <c r="X13" s="504"/>
      <c r="Y13" s="4965"/>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64"/>
      <c r="Q14" s="4614">
        <f t="shared" si="6"/>
        <v>111</v>
      </c>
      <c r="R14" s="3923" t="s">
        <v>16</v>
      </c>
      <c r="S14" s="3405">
        <f t="shared" si="0"/>
        <v>100</v>
      </c>
      <c r="T14" s="3923" t="s">
        <v>16</v>
      </c>
      <c r="U14" s="3405">
        <f t="shared" si="1"/>
        <v>100</v>
      </c>
      <c r="V14" s="3923" t="s">
        <v>16</v>
      </c>
      <c r="W14" s="3405">
        <f t="shared" si="2"/>
        <v>100</v>
      </c>
      <c r="X14" s="504"/>
      <c r="Y14" s="4965"/>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66" t="s">
        <v>1597</v>
      </c>
      <c r="Q15" s="4615" t="str">
        <f t="shared" si="6"/>
        <v>居住社区成熟度</v>
      </c>
      <c r="R15" s="4044" t="s">
        <v>16</v>
      </c>
      <c r="S15" s="3406">
        <f t="shared" si="0"/>
        <v>100</v>
      </c>
      <c r="T15" s="4044" t="s">
        <v>16</v>
      </c>
      <c r="U15" s="3406">
        <f t="shared" si="1"/>
        <v>100</v>
      </c>
      <c r="V15" s="4044" t="s">
        <v>16</v>
      </c>
      <c r="W15" s="3406">
        <f t="shared" si="2"/>
        <v>100</v>
      </c>
      <c r="X15" s="4619"/>
      <c r="Y15" s="4968"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67"/>
      <c r="Q16" s="4615"/>
      <c r="R16" s="4044"/>
      <c r="S16" s="3406"/>
      <c r="T16" s="4044"/>
      <c r="U16" s="3406"/>
      <c r="V16" s="4044"/>
      <c r="W16" s="3406"/>
      <c r="X16" s="4619"/>
      <c r="Y16" s="4969"/>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67"/>
      <c r="Q17" s="4615" t="str">
        <f>B17</f>
        <v>交通便捷度</v>
      </c>
      <c r="R17" s="4044" t="s">
        <v>16</v>
      </c>
      <c r="S17" s="3406">
        <f>F17</f>
        <v>100</v>
      </c>
      <c r="T17" s="4044" t="s">
        <v>16</v>
      </c>
      <c r="U17" s="3406">
        <f>H17</f>
        <v>100</v>
      </c>
      <c r="V17" s="4044" t="s">
        <v>16</v>
      </c>
      <c r="W17" s="3406">
        <f>J17</f>
        <v>100</v>
      </c>
      <c r="X17" s="4619"/>
      <c r="Y17" s="4969"/>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67"/>
      <c r="Q18" s="4615"/>
      <c r="R18" s="4044"/>
      <c r="S18" s="3406"/>
      <c r="T18" s="4044"/>
      <c r="U18" s="3406"/>
      <c r="V18" s="4044"/>
      <c r="W18" s="3406"/>
      <c r="X18" s="4619"/>
      <c r="Y18" s="4969"/>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67"/>
      <c r="Q19" s="4615" t="str">
        <f>B19</f>
        <v>公共配套设施</v>
      </c>
      <c r="R19" s="4044" t="s">
        <v>16</v>
      </c>
      <c r="S19" s="3406">
        <f>F19</f>
        <v>100</v>
      </c>
      <c r="T19" s="4044" t="s">
        <v>16</v>
      </c>
      <c r="U19" s="3406">
        <f>H19</f>
        <v>100</v>
      </c>
      <c r="V19" s="4044" t="s">
        <v>16</v>
      </c>
      <c r="W19" s="3406">
        <f>J19</f>
        <v>100</v>
      </c>
      <c r="X19" s="4619"/>
      <c r="Y19" s="4969"/>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67"/>
      <c r="Q20" s="4615"/>
      <c r="R20" s="4044"/>
      <c r="S20" s="3406"/>
      <c r="T20" s="4044"/>
      <c r="U20" s="3406"/>
      <c r="V20" s="4044"/>
      <c r="W20" s="3406"/>
      <c r="X20" s="4619"/>
      <c r="Y20" s="4969"/>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67"/>
      <c r="Q21" s="4615" t="str">
        <f>B21</f>
        <v>基础设施水平</v>
      </c>
      <c r="R21" s="4044" t="s">
        <v>13</v>
      </c>
      <c r="S21" s="3406">
        <f>F21</f>
        <v>100</v>
      </c>
      <c r="T21" s="4044" t="s">
        <v>13</v>
      </c>
      <c r="U21" s="3406">
        <f>H21</f>
        <v>100</v>
      </c>
      <c r="V21" s="4044" t="s">
        <v>13</v>
      </c>
      <c r="W21" s="3406">
        <f>J21</f>
        <v>100</v>
      </c>
      <c r="X21" s="4619"/>
      <c r="Y21" s="4969"/>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67"/>
      <c r="Q22" s="4615"/>
      <c r="R22" s="4044"/>
      <c r="S22" s="3406"/>
      <c r="T22" s="4044"/>
      <c r="U22" s="3406"/>
      <c r="V22" s="4044"/>
      <c r="W22" s="3406"/>
      <c r="X22" s="4619"/>
      <c r="Y22" s="4969"/>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67"/>
      <c r="Q23" s="4615" t="str">
        <f>B23</f>
        <v>自然及人文环境</v>
      </c>
      <c r="R23" s="4044" t="s">
        <v>16</v>
      </c>
      <c r="S23" s="3406">
        <f>F23</f>
        <v>100</v>
      </c>
      <c r="T23" s="4044" t="s">
        <v>16</v>
      </c>
      <c r="U23" s="3406">
        <f>H23</f>
        <v>100</v>
      </c>
      <c r="V23" s="4044" t="s">
        <v>16</v>
      </c>
      <c r="W23" s="3406">
        <f>J23</f>
        <v>100</v>
      </c>
      <c r="X23" s="4619"/>
      <c r="Y23" s="4969"/>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67"/>
      <c r="Q24" s="4615"/>
      <c r="R24" s="4044"/>
      <c r="S24" s="3406"/>
      <c r="T24" s="4044"/>
      <c r="U24" s="3406"/>
      <c r="V24" s="4044"/>
      <c r="W24" s="3406"/>
      <c r="X24" s="4619"/>
      <c r="Y24" s="4969"/>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67"/>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69"/>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67"/>
      <c r="Q26" s="4615" t="str">
        <f t="shared" si="11"/>
        <v>朝向</v>
      </c>
      <c r="R26" s="4044" t="s">
        <v>16</v>
      </c>
      <c r="S26" s="3406">
        <f t="shared" si="12"/>
        <v>100</v>
      </c>
      <c r="T26" s="4044" t="s">
        <v>16</v>
      </c>
      <c r="U26" s="3406">
        <f t="shared" si="13"/>
        <v>100</v>
      </c>
      <c r="V26" s="4044" t="s">
        <v>16</v>
      </c>
      <c r="W26" s="3406">
        <f t="shared" si="14"/>
        <v>100</v>
      </c>
      <c r="X26" s="4619"/>
      <c r="Y26" s="4969"/>
      <c r="Z26" s="4620" t="str">
        <f>Q26</f>
        <v>朝向</v>
      </c>
      <c r="AA26" s="4620">
        <f t="shared" si="15"/>
        <v>1</v>
      </c>
      <c r="AB26" s="4620">
        <f t="shared" si="16"/>
        <v>1</v>
      </c>
      <c r="AC26" s="4620">
        <f t="shared" si="17"/>
        <v>1</v>
      </c>
    </row>
    <row r="27" spans="1:29" s="49" customFormat="1" ht="15">
      <c r="A27" s="378"/>
      <c r="B27" s="4653" t="s">
        <v>4110</v>
      </c>
      <c r="C27" s="3057">
        <v>2</v>
      </c>
      <c r="D27" s="3138">
        <v>100</v>
      </c>
      <c r="E27" s="3108" t="s">
        <v>4111</v>
      </c>
      <c r="F27" s="4035">
        <f>SUMIF(90:90,E27,91:91)-SUMIF(90:90,C27,91:91)+100</f>
        <v>95</v>
      </c>
      <c r="G27" s="3114" t="s">
        <v>4111</v>
      </c>
      <c r="H27" s="4035">
        <f>SUMIF(90:90,G27,91:91)-SUMIF(90:90,C27,91:91)+100</f>
        <v>95</v>
      </c>
      <c r="I27" s="3114" t="s">
        <v>4135</v>
      </c>
      <c r="J27" s="4035">
        <f>SUMIF(90:90,I27,91:91)-SUMIF(90:90,C27,91:91)+100</f>
        <v>100</v>
      </c>
      <c r="K27" s="3045"/>
      <c r="L27" s="2148"/>
      <c r="M27" s="2149"/>
      <c r="N27" s="2149"/>
      <c r="O27" s="2149"/>
      <c r="P27" s="4967"/>
      <c r="Q27" s="4614" t="str">
        <f t="shared" si="11"/>
        <v>楼层</v>
      </c>
      <c r="R27" s="3923" t="s">
        <v>16</v>
      </c>
      <c r="S27" s="3405">
        <f t="shared" si="12"/>
        <v>95</v>
      </c>
      <c r="T27" s="3923" t="s">
        <v>16</v>
      </c>
      <c r="U27" s="3405">
        <f t="shared" si="13"/>
        <v>95</v>
      </c>
      <c r="V27" s="3923" t="s">
        <v>16</v>
      </c>
      <c r="W27" s="3405">
        <f t="shared" si="14"/>
        <v>100</v>
      </c>
      <c r="X27" s="504"/>
      <c r="Y27" s="4969"/>
      <c r="Z27" s="4612" t="str">
        <f>Q27</f>
        <v>楼层</v>
      </c>
      <c r="AA27" s="4620">
        <f t="shared" si="15"/>
        <v>1.0526315789473684</v>
      </c>
      <c r="AB27" s="4620">
        <f t="shared" si="16"/>
        <v>1.0526315789473684</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67"/>
      <c r="Q28" s="4615">
        <f t="shared" si="11"/>
        <v>111</v>
      </c>
      <c r="R28" s="4044" t="s">
        <v>16</v>
      </c>
      <c r="S28" s="3406">
        <f t="shared" si="12"/>
        <v>100</v>
      </c>
      <c r="T28" s="4044" t="s">
        <v>16</v>
      </c>
      <c r="U28" s="3406">
        <f t="shared" si="13"/>
        <v>100</v>
      </c>
      <c r="V28" s="4044" t="s">
        <v>16</v>
      </c>
      <c r="W28" s="3406">
        <f t="shared" si="14"/>
        <v>100</v>
      </c>
      <c r="X28" s="4619"/>
      <c r="Y28" s="4969"/>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67"/>
      <c r="Q29" s="4615">
        <f t="shared" si="11"/>
        <v>111</v>
      </c>
      <c r="R29" s="4044" t="s">
        <v>16</v>
      </c>
      <c r="S29" s="3406">
        <f t="shared" si="12"/>
        <v>100</v>
      </c>
      <c r="T29" s="4044" t="s">
        <v>16</v>
      </c>
      <c r="U29" s="3406">
        <f t="shared" si="13"/>
        <v>100</v>
      </c>
      <c r="V29" s="4044" t="s">
        <v>16</v>
      </c>
      <c r="W29" s="3406">
        <f t="shared" si="14"/>
        <v>100</v>
      </c>
      <c r="X29" s="4619"/>
      <c r="Y29" s="4969"/>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67"/>
      <c r="Q30" s="4615">
        <f t="shared" si="11"/>
        <v>111</v>
      </c>
      <c r="R30" s="4044" t="s">
        <v>16</v>
      </c>
      <c r="S30" s="3406">
        <f t="shared" si="12"/>
        <v>100</v>
      </c>
      <c r="T30" s="4044" t="s">
        <v>16</v>
      </c>
      <c r="U30" s="3406">
        <f t="shared" si="13"/>
        <v>100</v>
      </c>
      <c r="V30" s="4044" t="s">
        <v>16</v>
      </c>
      <c r="W30" s="3406">
        <f t="shared" si="14"/>
        <v>100</v>
      </c>
      <c r="X30" s="4619"/>
      <c r="Y30" s="4969"/>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67"/>
      <c r="Q31" s="4615">
        <f t="shared" si="11"/>
        <v>111</v>
      </c>
      <c r="R31" s="4044" t="s">
        <v>16</v>
      </c>
      <c r="S31" s="3406">
        <f t="shared" si="12"/>
        <v>100</v>
      </c>
      <c r="T31" s="4044" t="s">
        <v>16</v>
      </c>
      <c r="U31" s="3406">
        <f t="shared" si="13"/>
        <v>100</v>
      </c>
      <c r="V31" s="4044" t="s">
        <v>16</v>
      </c>
      <c r="W31" s="3406">
        <f t="shared" si="14"/>
        <v>100</v>
      </c>
      <c r="X31" s="4619"/>
      <c r="Y31" s="4969"/>
      <c r="Z31" s="4620">
        <f t="shared" si="18"/>
        <v>111</v>
      </c>
      <c r="AA31" s="4620">
        <f t="shared" si="15"/>
        <v>1</v>
      </c>
      <c r="AB31" s="4620">
        <f t="shared" si="16"/>
        <v>1</v>
      </c>
      <c r="AC31" s="4620">
        <f t="shared" si="17"/>
        <v>1</v>
      </c>
    </row>
    <row r="32" spans="1:29" ht="15">
      <c r="A32" s="329" t="s">
        <v>1600</v>
      </c>
      <c r="B32" s="3033" t="s">
        <v>1601</v>
      </c>
      <c r="C32" s="3065" t="s">
        <v>4125</v>
      </c>
      <c r="D32" s="3139">
        <v>100</v>
      </c>
      <c r="E32" s="3109" t="s">
        <v>4125</v>
      </c>
      <c r="F32" s="4037">
        <f>SUMIF(100:100,E32,101:101)-SUMIF(100:100,C32,101:101)+100</f>
        <v>100</v>
      </c>
      <c r="G32" s="3065" t="s">
        <v>4125</v>
      </c>
      <c r="H32" s="4041">
        <f>SUMIF(100:100,G32,101:101)-SUMIF(100:100,C32,101:101)+100</f>
        <v>100</v>
      </c>
      <c r="I32" s="3109" t="s">
        <v>4125</v>
      </c>
      <c r="J32" s="4034">
        <f>SUMIF(100:100,I32,101:101)-SUMIF(100:100,C32,101:101)+100</f>
        <v>100</v>
      </c>
      <c r="K32" s="3044"/>
      <c r="L32" s="2153"/>
      <c r="M32" s="2147"/>
      <c r="N32" s="2147"/>
      <c r="O32" s="2147"/>
      <c r="P32" s="4970" t="s">
        <v>1602</v>
      </c>
      <c r="Q32" s="4615" t="str">
        <f t="shared" si="11"/>
        <v>建筑类型</v>
      </c>
      <c r="R32" s="4044" t="s">
        <v>16</v>
      </c>
      <c r="S32" s="3406">
        <f t="shared" si="12"/>
        <v>100</v>
      </c>
      <c r="T32" s="4044" t="s">
        <v>16</v>
      </c>
      <c r="U32" s="3406">
        <f t="shared" si="13"/>
        <v>100</v>
      </c>
      <c r="V32" s="4044" t="s">
        <v>16</v>
      </c>
      <c r="W32" s="3406">
        <f t="shared" si="14"/>
        <v>100</v>
      </c>
      <c r="X32" s="4619"/>
      <c r="Y32" s="4973"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98</v>
      </c>
      <c r="G33" s="3055">
        <f>Sheet1!H89</f>
        <v>429.49</v>
      </c>
      <c r="H33" s="4040">
        <f>LOOKUP(G33,103:103,104:104)-LOOKUP(C33,103:103,104:104)+100</f>
        <v>99</v>
      </c>
      <c r="I33" s="3084">
        <v>381</v>
      </c>
      <c r="J33" s="4040">
        <f>LOOKUP(I33,103:103,104:104)-LOOKUP(C33,103:103,104:104)+100</f>
        <v>99</v>
      </c>
      <c r="K33" s="3045"/>
      <c r="L33" s="2152"/>
      <c r="M33" s="2154"/>
      <c r="N33" s="2154"/>
      <c r="O33" s="2154"/>
      <c r="P33" s="4971"/>
      <c r="Q33" s="3106" t="str">
        <f t="shared" si="11"/>
        <v>项目建筑规模</v>
      </c>
      <c r="R33" s="4045" t="s">
        <v>16</v>
      </c>
      <c r="S33" s="3407">
        <f t="shared" si="12"/>
        <v>98</v>
      </c>
      <c r="T33" s="4045" t="s">
        <v>16</v>
      </c>
      <c r="U33" s="3407">
        <f t="shared" si="13"/>
        <v>99</v>
      </c>
      <c r="V33" s="4045" t="s">
        <v>16</v>
      </c>
      <c r="W33" s="3407">
        <f t="shared" si="14"/>
        <v>99</v>
      </c>
      <c r="X33" s="507"/>
      <c r="Y33" s="4973"/>
      <c r="Z33" s="508" t="str">
        <f t="shared" si="18"/>
        <v>项目建筑规模</v>
      </c>
      <c r="AA33" s="4620">
        <f t="shared" si="15"/>
        <v>1.0204081632653061</v>
      </c>
      <c r="AB33" s="4620">
        <f t="shared" si="16"/>
        <v>1.0101010101010102</v>
      </c>
      <c r="AC33" s="4620">
        <f t="shared" si="17"/>
        <v>1.0101010101010102</v>
      </c>
    </row>
    <row r="34" spans="1:29" ht="15">
      <c r="A34" s="398"/>
      <c r="B34" s="4613" t="s">
        <v>1604</v>
      </c>
      <c r="C34" s="3067" t="s">
        <v>4127</v>
      </c>
      <c r="D34" s="3132">
        <v>100</v>
      </c>
      <c r="E34" s="3110" t="s">
        <v>4127</v>
      </c>
      <c r="F34" s="4037">
        <f>SUMIF(105:105,E34,106:106)-SUMIF(105:105,C34,106:106)+100</f>
        <v>100</v>
      </c>
      <c r="G34" s="3067" t="s">
        <v>4127</v>
      </c>
      <c r="H34" s="4034">
        <f>SUMIF(105:105,G34,106:106)-SUMIF(105:105,C34,106:106)+100</f>
        <v>100</v>
      </c>
      <c r="I34" s="3110" t="s">
        <v>4127</v>
      </c>
      <c r="J34" s="4034">
        <f>SUMIF(105:105,I34,106:106)-SUMIF(105:105,C34,106:106)+100</f>
        <v>100</v>
      </c>
      <c r="K34" s="3044"/>
      <c r="L34" s="2153"/>
      <c r="M34" s="2147"/>
      <c r="N34" s="2147"/>
      <c r="O34" s="2147"/>
      <c r="P34" s="4971"/>
      <c r="Q34" s="4615" t="str">
        <f t="shared" si="11"/>
        <v>建筑结构</v>
      </c>
      <c r="R34" s="4044" t="s">
        <v>16</v>
      </c>
      <c r="S34" s="3406">
        <f t="shared" si="12"/>
        <v>100</v>
      </c>
      <c r="T34" s="4044" t="s">
        <v>16</v>
      </c>
      <c r="U34" s="3406">
        <f t="shared" si="13"/>
        <v>100</v>
      </c>
      <c r="V34" s="4044" t="s">
        <v>16</v>
      </c>
      <c r="W34" s="3406">
        <f t="shared" si="14"/>
        <v>100</v>
      </c>
      <c r="X34" s="4619"/>
      <c r="Y34" s="4973"/>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71"/>
      <c r="Q35" s="4615" t="str">
        <f t="shared" si="11"/>
        <v>建筑品质</v>
      </c>
      <c r="R35" s="4044" t="s">
        <v>16</v>
      </c>
      <c r="S35" s="3406">
        <f t="shared" si="12"/>
        <v>100</v>
      </c>
      <c r="T35" s="4044" t="s">
        <v>16</v>
      </c>
      <c r="U35" s="3406">
        <f t="shared" si="13"/>
        <v>100</v>
      </c>
      <c r="V35" s="4044" t="s">
        <v>16</v>
      </c>
      <c r="W35" s="3406">
        <f t="shared" si="14"/>
        <v>100</v>
      </c>
      <c r="X35" s="4619"/>
      <c r="Y35" s="4973"/>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71"/>
      <c r="Q36" s="4615" t="str">
        <f t="shared" si="11"/>
        <v>公共部分装修</v>
      </c>
      <c r="R36" s="4044" t="s">
        <v>16</v>
      </c>
      <c r="S36" s="3406">
        <f t="shared" si="12"/>
        <v>100</v>
      </c>
      <c r="T36" s="4044" t="s">
        <v>16</v>
      </c>
      <c r="U36" s="3406">
        <f t="shared" si="13"/>
        <v>100</v>
      </c>
      <c r="V36" s="4044" t="s">
        <v>16</v>
      </c>
      <c r="W36" s="3406">
        <f t="shared" si="14"/>
        <v>100</v>
      </c>
      <c r="X36" s="4619"/>
      <c r="Y36" s="4973"/>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106</v>
      </c>
      <c r="G37" s="3117">
        <v>0.75</v>
      </c>
      <c r="H37" s="4040">
        <f>LOOKUP(G37,112:112,113:113)-LOOKUP(C37,112:112,113:113)+100</f>
        <v>106</v>
      </c>
      <c r="I37" s="3118">
        <v>0.6</v>
      </c>
      <c r="J37" s="4040">
        <f>LOOKUP(I37,112:112,113:113)-LOOKUP(C37,112:112,113:113)+100</f>
        <v>100</v>
      </c>
      <c r="K37" s="3044">
        <v>2</v>
      </c>
      <c r="L37" s="2148"/>
      <c r="M37" s="2149"/>
      <c r="N37" s="2149"/>
      <c r="O37" s="2149"/>
      <c r="P37" s="4971"/>
      <c r="Q37" s="4614" t="str">
        <f t="shared" si="11"/>
        <v>成新度</v>
      </c>
      <c r="R37" s="3923" t="s">
        <v>16</v>
      </c>
      <c r="S37" s="3405">
        <f t="shared" si="12"/>
        <v>106</v>
      </c>
      <c r="T37" s="3923" t="s">
        <v>16</v>
      </c>
      <c r="U37" s="3405">
        <f t="shared" si="13"/>
        <v>106</v>
      </c>
      <c r="V37" s="3923" t="s">
        <v>16</v>
      </c>
      <c r="W37" s="3405">
        <f t="shared" si="14"/>
        <v>100</v>
      </c>
      <c r="X37" s="504"/>
      <c r="Y37" s="4973"/>
      <c r="Z37" s="4612" t="str">
        <f t="shared" si="18"/>
        <v>成新度</v>
      </c>
      <c r="AA37" s="4612">
        <f t="shared" si="15"/>
        <v>0.94339622641509435</v>
      </c>
      <c r="AB37" s="4612">
        <f t="shared" si="16"/>
        <v>0.94339622641509435</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71" t="s">
        <v>1602</v>
      </c>
      <c r="Q38" s="4615" t="str">
        <f t="shared" si="11"/>
        <v>物业管理</v>
      </c>
      <c r="R38" s="4044" t="s">
        <v>16</v>
      </c>
      <c r="S38" s="3406">
        <f t="shared" si="12"/>
        <v>100</v>
      </c>
      <c r="T38" s="4044" t="s">
        <v>16</v>
      </c>
      <c r="U38" s="3406">
        <f t="shared" si="13"/>
        <v>100</v>
      </c>
      <c r="V38" s="4044" t="s">
        <v>16</v>
      </c>
      <c r="W38" s="3406">
        <f t="shared" si="14"/>
        <v>100</v>
      </c>
      <c r="X38" s="4619"/>
      <c r="Y38" s="4973"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71"/>
      <c r="Q39" s="4615" t="str">
        <f t="shared" si="11"/>
        <v>市政基础设施</v>
      </c>
      <c r="R39" s="4044" t="s">
        <v>16</v>
      </c>
      <c r="S39" s="3406">
        <f t="shared" si="12"/>
        <v>100</v>
      </c>
      <c r="T39" s="4044" t="s">
        <v>16</v>
      </c>
      <c r="U39" s="3406">
        <f t="shared" si="13"/>
        <v>100</v>
      </c>
      <c r="V39" s="4044" t="s">
        <v>16</v>
      </c>
      <c r="W39" s="3406">
        <f t="shared" si="14"/>
        <v>100</v>
      </c>
      <c r="X39" s="4619"/>
      <c r="Y39" s="4973"/>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71"/>
      <c r="Q40" s="4615" t="str">
        <f t="shared" si="11"/>
        <v>房型</v>
      </c>
      <c r="R40" s="4044" t="s">
        <v>16</v>
      </c>
      <c r="S40" s="3406">
        <f t="shared" si="12"/>
        <v>100</v>
      </c>
      <c r="T40" s="4044" t="s">
        <v>16</v>
      </c>
      <c r="U40" s="3406">
        <f t="shared" si="13"/>
        <v>100</v>
      </c>
      <c r="V40" s="4044" t="s">
        <v>16</v>
      </c>
      <c r="W40" s="3406">
        <f t="shared" si="14"/>
        <v>100</v>
      </c>
      <c r="X40" s="4619"/>
      <c r="Y40" s="4973"/>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71"/>
      <c r="Q41" s="3106" t="str">
        <f t="shared" si="11"/>
        <v>单套/主力户型建筑面积</v>
      </c>
      <c r="R41" s="4045" t="s">
        <v>16</v>
      </c>
      <c r="S41" s="3407">
        <f t="shared" si="12"/>
        <v>100</v>
      </c>
      <c r="T41" s="4045" t="s">
        <v>16</v>
      </c>
      <c r="U41" s="3407">
        <f t="shared" si="13"/>
        <v>100</v>
      </c>
      <c r="V41" s="4045" t="s">
        <v>16</v>
      </c>
      <c r="W41" s="3407">
        <f t="shared" si="14"/>
        <v>100</v>
      </c>
      <c r="X41" s="507"/>
      <c r="Y41" s="4973"/>
      <c r="Z41" s="508" t="str">
        <f t="shared" si="18"/>
        <v>单套/主力户型建筑面积</v>
      </c>
      <c r="AA41" s="4620">
        <f t="shared" si="15"/>
        <v>1</v>
      </c>
      <c r="AB41" s="4620">
        <f t="shared" si="16"/>
        <v>1</v>
      </c>
      <c r="AC41" s="4620">
        <f t="shared" si="17"/>
        <v>1</v>
      </c>
    </row>
    <row r="42" spans="1:29" ht="15">
      <c r="A42" s="398"/>
      <c r="B42" s="4613" t="s">
        <v>1612</v>
      </c>
      <c r="C42" s="3068" t="s">
        <v>4119</v>
      </c>
      <c r="D42" s="3132">
        <v>100</v>
      </c>
      <c r="E42" s="3111" t="s">
        <v>4119</v>
      </c>
      <c r="F42" s="4037">
        <f>SUMIF(122:122,E42,123:123)-SUMIF(122:122,C42,123:123)+100</f>
        <v>100</v>
      </c>
      <c r="G42" s="3068" t="s">
        <v>4123</v>
      </c>
      <c r="H42" s="4034">
        <f>SUMIF(122:122,G42,123:123)-SUMIF(122:122,C42,123:123)+100</f>
        <v>98</v>
      </c>
      <c r="I42" s="3111" t="s">
        <v>4119</v>
      </c>
      <c r="J42" s="4034">
        <f>SUMIF(122:122,I42,123:123)-SUMIF(122:122,C42,123:123)+100</f>
        <v>100</v>
      </c>
      <c r="K42" s="3044">
        <v>1</v>
      </c>
      <c r="L42" s="2153"/>
      <c r="M42" s="2147"/>
      <c r="N42" s="2147"/>
      <c r="O42" s="2147"/>
      <c r="P42" s="4971"/>
      <c r="Q42" s="4615" t="str">
        <f t="shared" si="11"/>
        <v>内部装修</v>
      </c>
      <c r="R42" s="4044" t="s">
        <v>16</v>
      </c>
      <c r="S42" s="3406">
        <f t="shared" si="12"/>
        <v>100</v>
      </c>
      <c r="T42" s="4044" t="s">
        <v>16</v>
      </c>
      <c r="U42" s="3406">
        <f t="shared" si="13"/>
        <v>98</v>
      </c>
      <c r="V42" s="4044" t="s">
        <v>16</v>
      </c>
      <c r="W42" s="3406">
        <f t="shared" si="14"/>
        <v>100</v>
      </c>
      <c r="X42" s="4619"/>
      <c r="Y42" s="4973"/>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71"/>
      <c r="Q43" s="4615" t="str">
        <f t="shared" si="11"/>
        <v>内部装修维护情况</v>
      </c>
      <c r="R43" s="4044" t="s">
        <v>16</v>
      </c>
      <c r="S43" s="3406">
        <f t="shared" si="12"/>
        <v>100</v>
      </c>
      <c r="T43" s="4044" t="s">
        <v>16</v>
      </c>
      <c r="U43" s="3406">
        <f t="shared" si="13"/>
        <v>100</v>
      </c>
      <c r="V43" s="4044" t="s">
        <v>16</v>
      </c>
      <c r="W43" s="3406">
        <f t="shared" si="14"/>
        <v>100</v>
      </c>
      <c r="X43" s="4619"/>
      <c r="Y43" s="4973"/>
      <c r="Z43" s="4620" t="str">
        <f t="shared" si="18"/>
        <v>内部装修维护情况</v>
      </c>
      <c r="AA43" s="4620">
        <f t="shared" si="15"/>
        <v>1</v>
      </c>
      <c r="AB43" s="4620">
        <f t="shared" si="16"/>
        <v>1</v>
      </c>
      <c r="AC43" s="4620">
        <f t="shared" si="17"/>
        <v>1</v>
      </c>
    </row>
    <row r="44" spans="1:29" s="49" customFormat="1" ht="15">
      <c r="A44" s="287"/>
      <c r="B44" s="4653" t="s">
        <v>4139</v>
      </c>
      <c r="C44" s="4654" t="s">
        <v>4137</v>
      </c>
      <c r="D44" s="3130">
        <v>100</v>
      </c>
      <c r="E44" s="4654" t="s">
        <v>4134</v>
      </c>
      <c r="F44" s="4028">
        <f>SUMIF(126:126,E44,127:127)-SUMIF(126:126,C44,127:127)+100</f>
        <v>98</v>
      </c>
      <c r="G44" s="4654" t="str">
        <f>E44</f>
        <v>无</v>
      </c>
      <c r="H44" s="4040">
        <f>SUMIF(126:126,G44,127:127)-SUMIF(126:126,C44,127:127)+100</f>
        <v>98</v>
      </c>
      <c r="I44" s="4654" t="s">
        <v>4134</v>
      </c>
      <c r="J44" s="4040">
        <f>SUMIF(126:126,I44,127:127)-SUMIF(126:126,C44,127:127)+100</f>
        <v>98</v>
      </c>
      <c r="K44" s="3045"/>
      <c r="L44" s="2148"/>
      <c r="M44" s="2149"/>
      <c r="N44" s="2149"/>
      <c r="O44" s="2149"/>
      <c r="P44" s="4971"/>
      <c r="Q44" s="4614" t="str">
        <f t="shared" si="11"/>
        <v>是否有赠送面积</v>
      </c>
      <c r="R44" s="3923" t="s">
        <v>16</v>
      </c>
      <c r="S44" s="3405">
        <f t="shared" si="12"/>
        <v>98</v>
      </c>
      <c r="T44" s="3923" t="s">
        <v>16</v>
      </c>
      <c r="U44" s="3405">
        <f t="shared" si="13"/>
        <v>98</v>
      </c>
      <c r="V44" s="3923" t="s">
        <v>16</v>
      </c>
      <c r="W44" s="3405">
        <f t="shared" si="14"/>
        <v>98</v>
      </c>
      <c r="X44" s="504"/>
      <c r="Y44" s="4973"/>
      <c r="Z44" s="4612" t="str">
        <f t="shared" si="18"/>
        <v>是否有赠送面积</v>
      </c>
      <c r="AA44" s="4612">
        <f t="shared" si="15"/>
        <v>1.0204081632653061</v>
      </c>
      <c r="AB44" s="4612">
        <f t="shared" si="16"/>
        <v>1.0204081632653061</v>
      </c>
      <c r="AC44" s="4612">
        <f t="shared" si="17"/>
        <v>1.0204081632653061</v>
      </c>
    </row>
    <row r="45" spans="1:29" ht="15">
      <c r="A45" s="398"/>
      <c r="B45" s="4653"/>
      <c r="C45" s="4660"/>
      <c r="D45" s="3132">
        <v>100</v>
      </c>
      <c r="E45" s="4660"/>
      <c r="F45" s="4037">
        <f>SUMIF(128:128,E45,129:129)-SUMIF(128:128,C45,129:129)+100</f>
        <v>100</v>
      </c>
      <c r="G45" s="4660"/>
      <c r="H45" s="4034">
        <f>SUMIF(128:128,G45,129:129)-SUMIF(128:128,C45,129:129)+100</f>
        <v>100</v>
      </c>
      <c r="I45" s="4660"/>
      <c r="J45" s="4034">
        <f>SUMIF(128:128,I45,129:129)-SUMIF(128:128,C45,129:129)+100</f>
        <v>100</v>
      </c>
      <c r="K45" s="3045"/>
      <c r="L45" s="2153"/>
      <c r="M45" s="2147"/>
      <c r="N45" s="2147"/>
      <c r="O45" s="2147"/>
      <c r="P45" s="4971"/>
      <c r="Q45" s="4615">
        <f t="shared" si="11"/>
        <v>0</v>
      </c>
      <c r="R45" s="4044" t="s">
        <v>16</v>
      </c>
      <c r="S45" s="3406">
        <f t="shared" si="12"/>
        <v>100</v>
      </c>
      <c r="T45" s="4044" t="s">
        <v>16</v>
      </c>
      <c r="U45" s="3406">
        <f t="shared" si="13"/>
        <v>100</v>
      </c>
      <c r="V45" s="4044" t="s">
        <v>16</v>
      </c>
      <c r="W45" s="3406">
        <f t="shared" si="14"/>
        <v>100</v>
      </c>
      <c r="X45" s="4619"/>
      <c r="Y45" s="4973"/>
      <c r="Z45" s="4620">
        <f t="shared" si="18"/>
        <v>0</v>
      </c>
      <c r="AA45" s="4620">
        <f t="shared" si="15"/>
        <v>1</v>
      </c>
      <c r="AB45" s="4620">
        <f t="shared" si="16"/>
        <v>1</v>
      </c>
      <c r="AC45" s="4620">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72"/>
      <c r="Q46" s="4615">
        <f t="shared" si="11"/>
        <v>111</v>
      </c>
      <c r="R46" s="4044" t="s">
        <v>15</v>
      </c>
      <c r="S46" s="3406">
        <f t="shared" si="12"/>
        <v>100</v>
      </c>
      <c r="T46" s="4044" t="s">
        <v>15</v>
      </c>
      <c r="U46" s="3406">
        <f t="shared" si="13"/>
        <v>100</v>
      </c>
      <c r="V46" s="4044" t="s">
        <v>15</v>
      </c>
      <c r="W46" s="3406">
        <f t="shared" si="14"/>
        <v>100</v>
      </c>
      <c r="X46" s="4619"/>
      <c r="Y46" s="4974"/>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v>25263</v>
      </c>
      <c r="J47" s="811"/>
      <c r="K47" s="3049"/>
      <c r="L47" s="2155"/>
      <c r="M47" s="2156"/>
      <c r="N47" s="2147"/>
      <c r="O47" s="2156"/>
      <c r="P47" s="4975" t="str">
        <f>A47</f>
        <v>成交单价（元/平方米）</v>
      </c>
      <c r="Q47" s="4975"/>
      <c r="R47" s="4976">
        <f>E47</f>
        <v>24138</v>
      </c>
      <c r="S47" s="4976"/>
      <c r="T47" s="4976">
        <f>G47</f>
        <v>24820</v>
      </c>
      <c r="U47" s="4976"/>
      <c r="V47" s="4976">
        <f>I47</f>
        <v>25263</v>
      </c>
      <c r="W47" s="4976"/>
      <c r="X47" s="493"/>
      <c r="Y47" s="509"/>
      <c r="Z47" s="493"/>
      <c r="AA47" s="493"/>
      <c r="AB47" s="493"/>
      <c r="AC47" s="493"/>
    </row>
    <row r="48" spans="1:29" ht="15" thickBot="1">
      <c r="A48" s="295" t="s">
        <v>1615</v>
      </c>
      <c r="B48" s="296"/>
      <c r="C48" s="4042">
        <f>R49</f>
        <v>24496</v>
      </c>
      <c r="D48" s="4199" t="s">
        <v>2041</v>
      </c>
      <c r="E48" s="3127">
        <f>R48</f>
        <v>23999</v>
      </c>
      <c r="F48" s="3042"/>
      <c r="G48" s="3126">
        <f>T48</f>
        <v>24689</v>
      </c>
      <c r="H48" s="3042"/>
      <c r="I48" s="3127">
        <f>V48</f>
        <v>24799</v>
      </c>
      <c r="J48" s="3042"/>
      <c r="K48" s="3097">
        <f>F48+H48+J48</f>
        <v>0</v>
      </c>
      <c r="L48" s="2155"/>
      <c r="M48" s="2156"/>
      <c r="N48" s="2156"/>
      <c r="O48" s="2156"/>
      <c r="P48" s="4975" t="str">
        <f>A48</f>
        <v>比较价值（元/平方米）</v>
      </c>
      <c r="Q48" s="4975"/>
      <c r="R48" s="4976">
        <f>IF(F1="售价",ROUND(PRODUCT(R47,AA7:AA46),0),ROUND(PRODUCT(R47,AA7:AA46),1))</f>
        <v>23999</v>
      </c>
      <c r="S48" s="4976"/>
      <c r="T48" s="4976">
        <f>IF(F1="售价",ROUND(PRODUCT(T47,AB7:AB46),0),ROUND(PRODUCT(T47,AB7:AB46),1))</f>
        <v>24689</v>
      </c>
      <c r="U48" s="4976"/>
      <c r="V48" s="4976">
        <f>IF(F1="售价",ROUND(PRODUCT(V47,AC7:AC46),0),ROUND(PRODUCT(V47,AC7:AC46),1))</f>
        <v>24799</v>
      </c>
      <c r="W48" s="4976"/>
      <c r="X48" s="493"/>
      <c r="Y48" s="493"/>
      <c r="Z48" s="493"/>
      <c r="AA48" s="493"/>
      <c r="AB48" s="493"/>
      <c r="AC48" s="493"/>
    </row>
    <row r="49" spans="1:29" ht="15" thickBot="1">
      <c r="A49" s="297" t="s">
        <v>1616</v>
      </c>
      <c r="B49" s="298"/>
      <c r="C49" s="4043">
        <f>R49</f>
        <v>24496</v>
      </c>
      <c r="D49" s="812"/>
      <c r="E49" s="812"/>
      <c r="F49" s="812"/>
      <c r="G49" s="812"/>
      <c r="H49" s="812"/>
      <c r="I49" s="812"/>
      <c r="J49" s="812"/>
      <c r="K49" s="1474"/>
      <c r="L49" s="2155"/>
      <c r="M49" s="2156"/>
      <c r="N49" s="2156"/>
      <c r="O49" s="2156"/>
      <c r="P49" s="4977" t="str">
        <f>A49</f>
        <v>估价对象XX用房的比较价值（楼面单价，元/平方米）</v>
      </c>
      <c r="Q49" s="4978"/>
      <c r="R49" s="4979">
        <f>IF(F1="售价",ROUND(IF(D48="简单平均",AVERAGE(R48:V48),R48*F48+T48*H48+V48*J48),0),ROUND(IF(D48="简单平均",AVERAGE(R48:V48),R48*F48+T48*H48+V48*J48),1))</f>
        <v>24496</v>
      </c>
      <c r="S49" s="4979"/>
      <c r="T49" s="4979"/>
      <c r="U49" s="4979"/>
      <c r="V49" s="4979"/>
      <c r="W49" s="497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5.7919079961665787E-3</v>
      </c>
      <c r="F52" s="305" t="str">
        <f>IF(OR(E52&gt;=0.3,E52&lt;=-0.3),"超过30%","")</f>
        <v/>
      </c>
      <c r="G52" s="304">
        <f>IF(G47&lt;G48,G48/G47-1,G47/G48-1)</f>
        <v>5.3060067236421204E-3</v>
      </c>
      <c r="H52" s="305" t="str">
        <f>IF(OR(G52&gt;=0.3,G52&lt;=-0.3),"超过30%","")</f>
        <v/>
      </c>
      <c r="I52" s="304">
        <f>IF(I47&lt;I48,I48/I47-1,I47/I48-1)</f>
        <v>1.8710431872252853E-2</v>
      </c>
      <c r="J52" s="305" t="str">
        <f>IF(OR(I52&gt;=0.3,I52&lt;=-0.3),"超过30%","")</f>
        <v/>
      </c>
      <c r="K52" s="2161"/>
      <c r="L52" s="2157"/>
      <c r="M52" s="2156"/>
      <c r="N52" s="2156"/>
      <c r="O52" s="2156"/>
    </row>
    <row r="53" spans="1:29" ht="13.5" customHeight="1">
      <c r="A53" s="2156"/>
      <c r="B53" s="2156"/>
      <c r="C53" s="302" t="s">
        <v>1618</v>
      </c>
      <c r="D53" s="306"/>
      <c r="E53" s="304">
        <f>IF(E48&lt;G48,G48/E48-1,E48/G48-1)</f>
        <v>2.8751197966581987E-2</v>
      </c>
      <c r="F53" s="305" t="str">
        <f>IF(OR(E53&gt;=0.2,E53&lt;=-0.2),"超过20%","")</f>
        <v/>
      </c>
      <c r="G53" s="304">
        <f>IF(G48&lt;I48,I48/G48-1,G48/I48-1)</f>
        <v>4.4554254931346016E-3</v>
      </c>
      <c r="H53" s="305" t="str">
        <f>IF(OR(G53&gt;=0.2,G53&lt;=-0.2),"超过20%","")</f>
        <v/>
      </c>
      <c r="I53" s="304">
        <f>IF(I48&lt;E48,E48/I48-1,I48/E48-1)</f>
        <v>3.3334722280095042E-2</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1.7848509266720436E-2</v>
      </c>
      <c r="H54" s="305" t="str">
        <f>IF(OR(G54&gt;=0.3,G54&lt;=-0.3),"超过30%","")</f>
        <v/>
      </c>
      <c r="I54" s="304">
        <f>IF(I47&lt;E47,E47/I47-1,I47/E47-1)</f>
        <v>4.6607009694257906E-2</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4650">
        <f t="shared" ref="P58" si="20">EDATE(O58,-1)</f>
        <v>45689</v>
      </c>
      <c r="Q58" s="4650">
        <f t="shared" ref="Q58" si="21">EDATE(P58,-1)</f>
        <v>45658</v>
      </c>
      <c r="R58" s="311" t="s">
        <v>4129</v>
      </c>
      <c r="S58" s="311" t="s">
        <v>4132</v>
      </c>
    </row>
    <row r="59" spans="1:29" s="49" customFormat="1">
      <c r="A59" s="435"/>
      <c r="B59" s="1478"/>
      <c r="C59" s="827">
        <v>100</v>
      </c>
      <c r="D59" s="314">
        <v>100</v>
      </c>
      <c r="E59" s="315">
        <v>100</v>
      </c>
      <c r="F59" s="315">
        <v>101</v>
      </c>
      <c r="G59" s="315">
        <f>F59</f>
        <v>101</v>
      </c>
      <c r="H59" s="315">
        <v>101</v>
      </c>
      <c r="I59" s="315">
        <v>102</v>
      </c>
      <c r="J59" s="315">
        <f>I59</f>
        <v>102</v>
      </c>
      <c r="K59" s="315">
        <v>102</v>
      </c>
      <c r="L59" s="315">
        <v>103</v>
      </c>
      <c r="M59" s="1462">
        <f>L59</f>
        <v>103</v>
      </c>
      <c r="N59" s="315">
        <f>M59</f>
        <v>103</v>
      </c>
      <c r="O59" s="1462">
        <v>104</v>
      </c>
      <c r="P59" s="1479">
        <f>O59</f>
        <v>104</v>
      </c>
      <c r="Q59" s="49">
        <f>O59</f>
        <v>104</v>
      </c>
      <c r="R59" s="49">
        <v>105</v>
      </c>
      <c r="S59" s="49">
        <f>R59</f>
        <v>105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4108</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v>3</v>
      </c>
      <c r="F90" s="356"/>
      <c r="G90" s="356"/>
      <c r="H90" s="357"/>
      <c r="I90" s="357"/>
      <c r="J90" s="357"/>
      <c r="K90" s="357"/>
      <c r="L90" s="358"/>
      <c r="M90" s="359"/>
      <c r="N90" s="647"/>
      <c r="O90" s="647"/>
      <c r="P90" s="1482"/>
      <c r="Q90" s="360"/>
    </row>
    <row r="91" spans="1:17" s="285" customFormat="1" ht="14.4" thickBot="1">
      <c r="A91" s="355"/>
      <c r="B91" s="345"/>
      <c r="C91" s="361">
        <v>100</v>
      </c>
      <c r="D91" s="361">
        <v>95</v>
      </c>
      <c r="E91" s="361">
        <v>100</v>
      </c>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4126</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99</v>
      </c>
      <c r="E104" s="338">
        <v>98</v>
      </c>
      <c r="F104" s="338">
        <v>97</v>
      </c>
      <c r="G104" s="338"/>
      <c r="H104" s="338"/>
      <c r="I104" s="338"/>
      <c r="J104" s="338"/>
      <c r="K104" s="338"/>
      <c r="L104" s="338"/>
      <c r="M104" s="338"/>
      <c r="N104" s="646"/>
      <c r="O104" s="646"/>
      <c r="P104" s="1482"/>
      <c r="Q104" s="360"/>
    </row>
    <row r="105" spans="1:17" ht="15" thickTop="1">
      <c r="A105" s="398"/>
      <c r="B105" s="340" t="s">
        <v>1644</v>
      </c>
      <c r="C105" s="4655" t="s">
        <v>4128</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102</v>
      </c>
      <c r="E113" s="346">
        <f>D113+$K37</f>
        <v>104</v>
      </c>
      <c r="F113" s="346">
        <f>E113+$K37</f>
        <v>106</v>
      </c>
      <c r="G113" s="346">
        <f>F113+$K37</f>
        <v>108</v>
      </c>
      <c r="H113" s="346">
        <f>G113+$K37</f>
        <v>110</v>
      </c>
      <c r="I113" s="346">
        <f t="shared" ref="I113:M113" si="34">H113+$K37</f>
        <v>112</v>
      </c>
      <c r="J113" s="346">
        <f t="shared" si="34"/>
        <v>114</v>
      </c>
      <c r="K113" s="346">
        <f t="shared" si="34"/>
        <v>116</v>
      </c>
      <c r="L113" s="346">
        <f t="shared" si="34"/>
        <v>118</v>
      </c>
      <c r="M113" s="346">
        <f t="shared" si="34"/>
        <v>120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4121</v>
      </c>
      <c r="D122" s="356" t="s">
        <v>4120</v>
      </c>
      <c r="E122" s="4655" t="s">
        <v>4122</v>
      </c>
      <c r="F122" s="4658" t="s">
        <v>4124</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是否有赠送面积</v>
      </c>
      <c r="C126" s="4655" t="s">
        <v>4138</v>
      </c>
      <c r="D126" s="4655"/>
      <c r="E126" s="4655" t="s">
        <v>4133</v>
      </c>
      <c r="F126" s="356"/>
      <c r="G126" s="356"/>
      <c r="H126" s="357"/>
      <c r="I126" s="357"/>
      <c r="J126" s="357"/>
      <c r="K126" s="357"/>
      <c r="L126" s="358"/>
      <c r="M126" s="359"/>
      <c r="N126" s="647"/>
      <c r="O126" s="647"/>
      <c r="P126" s="1482"/>
      <c r="Q126" s="360"/>
    </row>
    <row r="127" spans="1:17" s="285" customFormat="1" ht="14.4" thickBot="1">
      <c r="A127" s="355"/>
      <c r="B127" s="345"/>
      <c r="C127" s="361">
        <v>100</v>
      </c>
      <c r="D127" s="338"/>
      <c r="E127" s="338">
        <v>98</v>
      </c>
      <c r="F127" s="338"/>
      <c r="G127" s="361"/>
      <c r="H127" s="363"/>
      <c r="I127" s="363"/>
      <c r="J127" s="363"/>
      <c r="K127" s="363"/>
      <c r="L127" s="363"/>
      <c r="M127" s="364"/>
      <c r="N127" s="647"/>
      <c r="O127" s="647"/>
      <c r="P127" s="1482"/>
      <c r="Q127" s="360"/>
    </row>
    <row r="128" spans="1:17" ht="15" thickTop="1">
      <c r="A128" s="398"/>
      <c r="B128" s="340">
        <f>B45</f>
        <v>0</v>
      </c>
      <c r="C128" s="4655" t="s">
        <v>4136</v>
      </c>
      <c r="D128" s="4655" t="s">
        <v>4133</v>
      </c>
      <c r="E128" s="356"/>
      <c r="F128" s="356"/>
      <c r="G128" s="382"/>
      <c r="H128" s="382"/>
      <c r="I128" s="382"/>
      <c r="J128" s="382"/>
      <c r="K128" s="383"/>
      <c r="L128" s="384"/>
      <c r="M128" s="385"/>
      <c r="N128" s="645"/>
      <c r="O128" s="645"/>
      <c r="P128" s="1481"/>
      <c r="Q128" s="308"/>
    </row>
    <row r="129" spans="1:17" ht="14.4" thickBot="1">
      <c r="A129" s="336"/>
      <c r="B129" s="345"/>
      <c r="C129" s="361">
        <v>100</v>
      </c>
      <c r="D129" s="361">
        <v>102</v>
      </c>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73" workbookViewId="0">
      <selection activeCell="K87" sqref="K87"/>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4035</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4036</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4040</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4037</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4034</v>
      </c>
      <c r="B30" s="4630">
        <v>45857</v>
      </c>
      <c r="C30">
        <v>352.59</v>
      </c>
      <c r="D30">
        <v>10000</v>
      </c>
      <c r="E30">
        <f>D30/C30</f>
        <v>28.36155307864659</v>
      </c>
    </row>
    <row r="31" spans="1:14">
      <c r="B31" s="4630">
        <v>45453</v>
      </c>
      <c r="C31">
        <v>343.06</v>
      </c>
      <c r="D31">
        <v>15000</v>
      </c>
      <c r="E31" s="2373">
        <f>D31/C31</f>
        <v>43.724129889815195</v>
      </c>
    </row>
    <row r="33" spans="1:5">
      <c r="A33" s="2526" t="s">
        <v>4038</v>
      </c>
      <c r="B33" s="4630">
        <v>45508</v>
      </c>
      <c r="C33">
        <v>331.56</v>
      </c>
      <c r="D33">
        <v>14000</v>
      </c>
      <c r="E33" s="2373">
        <f>D33/C33</f>
        <v>42.224635058511282</v>
      </c>
    </row>
    <row r="75" spans="1:19" ht="15" thickBot="1"/>
    <row r="76" spans="1:19">
      <c r="A76" s="4643" t="s">
        <v>4041</v>
      </c>
      <c r="B76" s="4643" t="s">
        <v>4042</v>
      </c>
      <c r="C76" s="4643" t="s">
        <v>4043</v>
      </c>
      <c r="D76" s="4643" t="s">
        <v>4044</v>
      </c>
      <c r="E76" s="4643" t="s">
        <v>4045</v>
      </c>
      <c r="F76" s="4643" t="s">
        <v>4046</v>
      </c>
      <c r="G76" s="4643" t="s">
        <v>4047</v>
      </c>
      <c r="H76" s="4643" t="s">
        <v>4048</v>
      </c>
      <c r="I76" s="4643" t="s">
        <v>4049</v>
      </c>
      <c r="J76" s="4643" t="s">
        <v>4050</v>
      </c>
      <c r="K76" s="4643" t="s">
        <v>4051</v>
      </c>
      <c r="L76" s="4643" t="s">
        <v>4052</v>
      </c>
      <c r="M76" s="4643" t="s">
        <v>4053</v>
      </c>
      <c r="N76" s="4643" t="s">
        <v>4054</v>
      </c>
      <c r="O76" s="4643" t="s">
        <v>4055</v>
      </c>
      <c r="P76" s="4643" t="s">
        <v>4056</v>
      </c>
      <c r="Q76" s="4643" t="s">
        <v>4057</v>
      </c>
      <c r="R76" s="4643" t="s">
        <v>4058</v>
      </c>
      <c r="S76" s="4643" t="s">
        <v>4059</v>
      </c>
    </row>
    <row r="77" spans="1:19" ht="34.799999999999997" thickBot="1">
      <c r="A77" s="4637" t="s">
        <v>4060</v>
      </c>
      <c r="B77" s="4637" t="s">
        <v>4061</v>
      </c>
      <c r="C77" s="4637" t="s">
        <v>4062</v>
      </c>
      <c r="D77" s="4637" t="s">
        <v>4063</v>
      </c>
      <c r="E77" s="4637" t="s">
        <v>4064</v>
      </c>
      <c r="F77" s="4637" t="s">
        <v>4065</v>
      </c>
      <c r="G77" s="4637" t="s">
        <v>4066</v>
      </c>
      <c r="H77" s="4637">
        <v>416.25</v>
      </c>
      <c r="I77" s="4637" t="s">
        <v>4067</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4068</v>
      </c>
      <c r="B78" s="4639" t="s">
        <v>4061</v>
      </c>
      <c r="C78" s="4639" t="s">
        <v>4062</v>
      </c>
      <c r="D78" s="4639" t="s">
        <v>4069</v>
      </c>
      <c r="E78" s="4639" t="s">
        <v>4064</v>
      </c>
      <c r="F78" s="4639" t="s">
        <v>4065</v>
      </c>
      <c r="G78" s="4639" t="s">
        <v>4066</v>
      </c>
      <c r="H78" s="4639">
        <v>710.26</v>
      </c>
      <c r="I78" s="4639" t="s">
        <v>4067</v>
      </c>
      <c r="J78" s="4639" t="s">
        <v>4070</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4071</v>
      </c>
      <c r="B79" s="4637" t="s">
        <v>4061</v>
      </c>
      <c r="C79" s="4637" t="s">
        <v>4062</v>
      </c>
      <c r="D79" s="4637" t="s">
        <v>4063</v>
      </c>
      <c r="E79" s="4637" t="s">
        <v>4064</v>
      </c>
      <c r="F79" s="4637" t="s">
        <v>4065</v>
      </c>
      <c r="G79" s="4637" t="s">
        <v>4066</v>
      </c>
      <c r="H79" s="4637">
        <v>416.25</v>
      </c>
      <c r="I79" s="4637" t="s">
        <v>3271</v>
      </c>
      <c r="J79" s="4637" t="s">
        <v>4070</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4072</v>
      </c>
      <c r="B80" s="4641" t="s">
        <v>4061</v>
      </c>
      <c r="C80" s="4641" t="s">
        <v>4089</v>
      </c>
      <c r="D80" s="4641" t="s">
        <v>4073</v>
      </c>
      <c r="E80" s="4641" t="s">
        <v>4033</v>
      </c>
      <c r="F80" s="4641" t="s">
        <v>4065</v>
      </c>
      <c r="G80" s="4641" t="s">
        <v>4066</v>
      </c>
      <c r="H80" s="4641">
        <v>285.95999999999998</v>
      </c>
      <c r="I80" s="4641" t="s">
        <v>4067</v>
      </c>
      <c r="J80" s="4641" t="s">
        <v>4070</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4074</v>
      </c>
      <c r="B81" s="4637" t="s">
        <v>4075</v>
      </c>
      <c r="C81" s="4637" t="s">
        <v>4062</v>
      </c>
      <c r="D81" s="4637" t="s">
        <v>4076</v>
      </c>
      <c r="E81" s="4637" t="s">
        <v>4033</v>
      </c>
      <c r="F81" s="4637" t="s">
        <v>4065</v>
      </c>
      <c r="G81" s="4637" t="s">
        <v>4066</v>
      </c>
      <c r="H81" s="4637">
        <v>285.95999999999998</v>
      </c>
      <c r="I81" s="4637" t="s">
        <v>3271</v>
      </c>
      <c r="J81" s="4637">
        <v>2</v>
      </c>
      <c r="K81" s="4637">
        <f t="shared" si="0"/>
        <v>-3</v>
      </c>
      <c r="L81" s="4637">
        <v>1995</v>
      </c>
      <c r="M81" s="4637" t="s">
        <v>41</v>
      </c>
      <c r="N81" s="4637"/>
      <c r="O81" s="4637" t="s">
        <v>4077</v>
      </c>
      <c r="P81" s="4637">
        <v>0</v>
      </c>
      <c r="Q81" s="4637">
        <v>28904</v>
      </c>
      <c r="R81" s="4637">
        <v>8265388</v>
      </c>
      <c r="S81" s="4638">
        <v>45701</v>
      </c>
    </row>
    <row r="82" spans="1:19" ht="34.799999999999997" thickBot="1">
      <c r="A82" s="4641" t="s">
        <v>4078</v>
      </c>
      <c r="B82" s="4641" t="s">
        <v>4061</v>
      </c>
      <c r="C82" s="4641" t="s">
        <v>4062</v>
      </c>
      <c r="D82" s="4641" t="s">
        <v>4079</v>
      </c>
      <c r="E82" s="4641" t="s">
        <v>4064</v>
      </c>
      <c r="F82" s="4641" t="s">
        <v>4065</v>
      </c>
      <c r="G82" s="4641" t="s">
        <v>4066</v>
      </c>
      <c r="H82" s="4641">
        <v>591.48</v>
      </c>
      <c r="I82" s="4641" t="s">
        <v>4067</v>
      </c>
      <c r="J82" s="4641" t="s">
        <v>4080</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4081</v>
      </c>
      <c r="B83" s="4637" t="s">
        <v>4075</v>
      </c>
      <c r="C83" s="4637" t="s">
        <v>4062</v>
      </c>
      <c r="D83" s="4637" t="s">
        <v>4073</v>
      </c>
      <c r="E83" s="4637" t="s">
        <v>4033</v>
      </c>
      <c r="F83" s="4637" t="s">
        <v>4065</v>
      </c>
      <c r="G83" s="4637" t="s">
        <v>4066</v>
      </c>
      <c r="H83" s="4637">
        <v>285.95999999999998</v>
      </c>
      <c r="I83" s="4637" t="s">
        <v>3271</v>
      </c>
      <c r="J83" s="4637">
        <v>2</v>
      </c>
      <c r="K83" s="4637">
        <f t="shared" si="0"/>
        <v>-3</v>
      </c>
      <c r="L83" s="4637">
        <v>1995</v>
      </c>
      <c r="M83" s="4637" t="s">
        <v>627</v>
      </c>
      <c r="N83" s="4637" t="s">
        <v>627</v>
      </c>
      <c r="O83" s="4637" t="s">
        <v>4077</v>
      </c>
      <c r="P83" s="4637">
        <v>0</v>
      </c>
      <c r="Q83" s="4637">
        <v>28904</v>
      </c>
      <c r="R83" s="4637">
        <v>8265388</v>
      </c>
      <c r="S83" s="4638">
        <v>45643</v>
      </c>
    </row>
    <row r="84" spans="1:19" ht="34.799999999999997" thickBot="1">
      <c r="A84" s="4641" t="s">
        <v>4082</v>
      </c>
      <c r="B84" s="4641" t="s">
        <v>4083</v>
      </c>
      <c r="C84" s="4641" t="s">
        <v>4062</v>
      </c>
      <c r="D84" s="4641" t="s">
        <v>4084</v>
      </c>
      <c r="E84" s="4641" t="s">
        <v>4085</v>
      </c>
      <c r="F84" s="4641"/>
      <c r="G84" s="4641" t="s">
        <v>4066</v>
      </c>
      <c r="H84" s="4641">
        <v>591.48</v>
      </c>
      <c r="I84" s="4641" t="s">
        <v>4067</v>
      </c>
      <c r="J84" s="4641" t="s">
        <v>4086</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4087</v>
      </c>
      <c r="B85" s="4637" t="s">
        <v>4088</v>
      </c>
      <c r="C85" s="4637" t="s">
        <v>4062</v>
      </c>
      <c r="D85" s="4637" t="s">
        <v>4076</v>
      </c>
      <c r="E85" s="4637" t="s">
        <v>4033</v>
      </c>
      <c r="F85" s="4637" t="s">
        <v>4065</v>
      </c>
      <c r="G85" s="4637" t="s">
        <v>4066</v>
      </c>
      <c r="H85" s="4637">
        <v>285.95999999999998</v>
      </c>
      <c r="I85" s="4637" t="s">
        <v>3271</v>
      </c>
      <c r="J85" s="4637" t="s">
        <v>4070</v>
      </c>
      <c r="K85" s="4637">
        <f t="shared" si="0"/>
        <v>-3</v>
      </c>
      <c r="L85" s="4637">
        <v>1995</v>
      </c>
      <c r="M85" s="4637" t="s">
        <v>627</v>
      </c>
      <c r="N85" s="4637" t="s">
        <v>627</v>
      </c>
      <c r="O85" s="4637" t="s">
        <v>4077</v>
      </c>
      <c r="P85" s="4637">
        <v>0</v>
      </c>
      <c r="Q85" s="4637">
        <v>35765</v>
      </c>
      <c r="R85" s="4637">
        <v>10227359</v>
      </c>
      <c r="S85" s="4638">
        <v>44439</v>
      </c>
    </row>
    <row r="86" spans="1:19" ht="34.799999999999997" thickBot="1">
      <c r="A86" s="4645" t="s">
        <v>4090</v>
      </c>
      <c r="B86" s="4645" t="s">
        <v>4061</v>
      </c>
      <c r="C86" s="4645" t="s">
        <v>4062</v>
      </c>
      <c r="D86" s="4645" t="s">
        <v>4091</v>
      </c>
      <c r="E86" s="4645" t="s">
        <v>4092</v>
      </c>
      <c r="F86" s="4645" t="s">
        <v>4065</v>
      </c>
      <c r="G86" s="4645" t="s">
        <v>4066</v>
      </c>
      <c r="H86" s="4645">
        <v>439.03</v>
      </c>
      <c r="I86" s="4645" t="s">
        <v>4093</v>
      </c>
      <c r="J86" s="4645" t="s">
        <v>4094</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4115</v>
      </c>
      <c r="B87" s="4647" t="s">
        <v>4095</v>
      </c>
      <c r="C87" s="4647" t="s">
        <v>4062</v>
      </c>
      <c r="D87" s="4647" t="s">
        <v>4096</v>
      </c>
      <c r="E87" s="4647" t="s">
        <v>4092</v>
      </c>
      <c r="F87" s="4647" t="s">
        <v>4065</v>
      </c>
      <c r="G87" s="4647" t="s">
        <v>4066</v>
      </c>
      <c r="H87" s="4647">
        <v>543.95000000000005</v>
      </c>
      <c r="I87" s="4647" t="s">
        <v>4093</v>
      </c>
      <c r="J87" s="4647" t="s">
        <v>4097</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4098</v>
      </c>
      <c r="B88" s="4641" t="s">
        <v>4061</v>
      </c>
      <c r="C88" s="4641" t="s">
        <v>4062</v>
      </c>
      <c r="D88" s="4641" t="s">
        <v>4091</v>
      </c>
      <c r="E88" s="4641" t="s">
        <v>4092</v>
      </c>
      <c r="F88" s="4641" t="s">
        <v>4065</v>
      </c>
      <c r="G88" s="4641" t="s">
        <v>4066</v>
      </c>
      <c r="H88" s="4641">
        <v>439.03</v>
      </c>
      <c r="I88" s="4641" t="s">
        <v>4093</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4116</v>
      </c>
      <c r="B89" s="4647" t="s">
        <v>4099</v>
      </c>
      <c r="C89" s="4647" t="s">
        <v>4062</v>
      </c>
      <c r="D89" s="4647" t="s">
        <v>4100</v>
      </c>
      <c r="E89" s="4647" t="s">
        <v>4092</v>
      </c>
      <c r="F89" s="4647" t="s">
        <v>4065</v>
      </c>
      <c r="G89" s="4647" t="s">
        <v>4066</v>
      </c>
      <c r="H89" s="4647">
        <v>429.49</v>
      </c>
      <c r="I89" s="4647" t="s">
        <v>4093</v>
      </c>
      <c r="J89" s="4647" t="s">
        <v>4097</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4101</v>
      </c>
      <c r="B90" s="4639" t="s">
        <v>4102</v>
      </c>
      <c r="C90" s="4639" t="s">
        <v>4062</v>
      </c>
      <c r="D90" s="4639" t="s">
        <v>4103</v>
      </c>
      <c r="E90" s="4639" t="s">
        <v>4092</v>
      </c>
      <c r="F90" s="4639" t="s">
        <v>4065</v>
      </c>
      <c r="G90" s="4639" t="s">
        <v>4066</v>
      </c>
      <c r="H90" s="4639">
        <v>337.42</v>
      </c>
      <c r="I90" s="4639" t="s">
        <v>4093</v>
      </c>
      <c r="J90" s="4639" t="s">
        <v>4094</v>
      </c>
      <c r="K90" s="4639">
        <f>-1-3</f>
        <v>-4</v>
      </c>
      <c r="L90" s="4639" t="s">
        <v>627</v>
      </c>
      <c r="M90" s="4639">
        <v>2009</v>
      </c>
      <c r="N90" s="4639" t="s">
        <v>627</v>
      </c>
      <c r="O90" s="4639" t="s">
        <v>627</v>
      </c>
      <c r="P90" s="4639">
        <v>28155</v>
      </c>
      <c r="Q90" s="4639">
        <v>28180</v>
      </c>
      <c r="R90" s="4639">
        <v>9508496</v>
      </c>
      <c r="S90" s="4640">
        <v>45455</v>
      </c>
    </row>
    <row r="124" spans="1:6">
      <c r="A124" s="4644" t="s">
        <v>4130</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2026年3月6日（评估专业人员实地查勘之日）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G17" sqref="G17"/>
    </sheetView>
  </sheetViews>
  <sheetFormatPr defaultRowHeight="14.4"/>
  <cols>
    <col min="5" max="5" width="15.88671875" customWidth="1"/>
  </cols>
  <sheetData>
    <row r="1" spans="1:6">
      <c r="A1" s="4663" t="s">
        <v>4045</v>
      </c>
      <c r="B1" s="4663" t="s">
        <v>4047</v>
      </c>
      <c r="C1" s="4663" t="s">
        <v>4048</v>
      </c>
      <c r="D1" s="4663" t="s">
        <v>4056</v>
      </c>
      <c r="E1" s="4663" t="s">
        <v>4140</v>
      </c>
      <c r="F1" s="4663" t="s">
        <v>3330</v>
      </c>
    </row>
    <row r="2" spans="1:6">
      <c r="A2" s="4661" t="s">
        <v>4092</v>
      </c>
      <c r="B2" s="4661" t="s">
        <v>4066</v>
      </c>
      <c r="C2" s="4661">
        <v>543.95000000000005</v>
      </c>
      <c r="D2" s="4661">
        <v>24138</v>
      </c>
      <c r="E2" s="4662">
        <v>45741</v>
      </c>
      <c r="F2" s="4661" t="s">
        <v>4142</v>
      </c>
    </row>
    <row r="3" spans="1:6">
      <c r="A3" s="4661" t="s">
        <v>4092</v>
      </c>
      <c r="B3" s="4661" t="s">
        <v>4066</v>
      </c>
      <c r="C3" s="4661">
        <v>429.49</v>
      </c>
      <c r="D3" s="4661">
        <v>24820</v>
      </c>
      <c r="E3" s="4662">
        <v>45632</v>
      </c>
      <c r="F3" s="4661" t="s">
        <v>4143</v>
      </c>
    </row>
    <row r="4" spans="1:6" ht="22.8">
      <c r="A4" s="4661" t="s">
        <v>4144</v>
      </c>
      <c r="B4" s="4661" t="s">
        <v>4066</v>
      </c>
      <c r="C4" s="4661">
        <v>381</v>
      </c>
      <c r="D4" s="4661">
        <v>25263</v>
      </c>
      <c r="E4" s="4662">
        <v>45611</v>
      </c>
      <c r="F4" s="4661" t="s">
        <v>4142</v>
      </c>
    </row>
    <row r="5" spans="1:6">
      <c r="A5" s="4661" t="s">
        <v>4145</v>
      </c>
      <c r="B5" s="4661" t="s">
        <v>4066</v>
      </c>
      <c r="C5" s="4661">
        <v>354.14</v>
      </c>
      <c r="D5" s="4661">
        <v>20227</v>
      </c>
      <c r="E5" s="4662">
        <v>45846</v>
      </c>
      <c r="F5" s="4661" t="s">
        <v>4141</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27" t="s">
        <v>1573</v>
      </c>
      <c r="D4" s="4928"/>
      <c r="E4" s="4929" t="s">
        <v>1574</v>
      </c>
      <c r="F4" s="4930"/>
      <c r="G4" s="4927" t="s">
        <v>1575</v>
      </c>
      <c r="H4" s="4928"/>
      <c r="I4" s="4927" t="s">
        <v>1576</v>
      </c>
      <c r="J4" s="4928"/>
      <c r="K4" s="3050" t="s">
        <v>1577</v>
      </c>
      <c r="L4" s="2146"/>
      <c r="M4" s="2147"/>
      <c r="N4" s="2147"/>
      <c r="O4" s="2147"/>
      <c r="P4" s="4931" t="s">
        <v>1578</v>
      </c>
      <c r="Q4" s="4932"/>
      <c r="R4" s="4937" t="s">
        <v>1574</v>
      </c>
      <c r="S4" s="4938"/>
      <c r="T4" s="4937" t="s">
        <v>1575</v>
      </c>
      <c r="U4" s="4938"/>
      <c r="V4" s="4952" t="s">
        <v>1576</v>
      </c>
      <c r="W4" s="4952"/>
      <c r="X4" s="963"/>
      <c r="Y4" s="4953" t="s">
        <v>1578</v>
      </c>
      <c r="Z4" s="4954"/>
      <c r="AA4" s="4924" t="s">
        <v>1574</v>
      </c>
      <c r="AB4" s="4924" t="s">
        <v>1575</v>
      </c>
      <c r="AC4" s="4924" t="s">
        <v>1576</v>
      </c>
    </row>
    <row r="5" spans="1:29">
      <c r="A5" s="244"/>
      <c r="B5" s="245"/>
      <c r="C5" s="4941" t="s">
        <v>1579</v>
      </c>
      <c r="D5" s="4942"/>
      <c r="E5" s="4943" t="s">
        <v>4039</v>
      </c>
      <c r="F5" s="4944"/>
      <c r="G5" s="4941" t="str">
        <f>Sheet1!A25</f>
        <v>阳光花园别墅</v>
      </c>
      <c r="H5" s="4942"/>
      <c r="I5" s="4941" t="str">
        <f>Sheet1!A26</f>
        <v>富力湾(别墅)</v>
      </c>
      <c r="J5" s="4942"/>
      <c r="K5" s="3051"/>
      <c r="L5" s="2146"/>
      <c r="M5" s="2147"/>
      <c r="N5" s="2147"/>
      <c r="O5" s="2147"/>
      <c r="P5" s="4933"/>
      <c r="Q5" s="4934"/>
      <c r="R5" s="4939"/>
      <c r="S5" s="4940"/>
      <c r="T5" s="4939"/>
      <c r="U5" s="4940"/>
      <c r="V5" s="4952"/>
      <c r="W5" s="4952"/>
      <c r="X5" s="963"/>
      <c r="Y5" s="4955"/>
      <c r="Z5" s="4956"/>
      <c r="AA5" s="4925"/>
      <c r="AB5" s="4925"/>
      <c r="AC5" s="4925"/>
    </row>
    <row r="6" spans="1:29" ht="15" thickBot="1">
      <c r="A6" s="246"/>
      <c r="B6" s="247"/>
      <c r="C6" s="4946" t="s">
        <v>1583</v>
      </c>
      <c r="D6" s="4947"/>
      <c r="E6" s="4948" t="s">
        <v>1583</v>
      </c>
      <c r="F6" s="4949"/>
      <c r="G6" s="4946" t="s">
        <v>1583</v>
      </c>
      <c r="H6" s="4947"/>
      <c r="I6" s="4946" t="s">
        <v>1583</v>
      </c>
      <c r="J6" s="4947"/>
      <c r="K6" s="3051" t="s">
        <v>1584</v>
      </c>
      <c r="L6" s="2146"/>
      <c r="M6" s="2147"/>
      <c r="N6" s="2147"/>
      <c r="O6" s="2147"/>
      <c r="P6" s="4935"/>
      <c r="Q6" s="4936"/>
      <c r="R6" s="4939"/>
      <c r="S6" s="4940"/>
      <c r="T6" s="4950"/>
      <c r="U6" s="4951"/>
      <c r="V6" s="4952"/>
      <c r="W6" s="4952"/>
      <c r="X6" s="963"/>
      <c r="Y6" s="4957"/>
      <c r="Z6" s="4958"/>
      <c r="AA6" s="4926"/>
      <c r="AB6" s="4926"/>
      <c r="AC6" s="4926"/>
    </row>
    <row r="7" spans="1:29" s="49" customFormat="1" ht="15" thickBot="1">
      <c r="A7" s="248" t="s">
        <v>1585</v>
      </c>
      <c r="B7" s="249"/>
      <c r="C7" s="3052">
        <f>'数据-取费表'!B2</f>
        <v>46087</v>
      </c>
      <c r="D7" s="3128">
        <v>100</v>
      </c>
      <c r="E7" s="3082">
        <v>46023</v>
      </c>
      <c r="F7" s="4026">
        <f>SUMIF(58:58,YEAR(E7)&amp;"-"&amp;MONTH(E7),59:59)</f>
        <v>0</v>
      </c>
      <c r="G7" s="3082">
        <v>46023</v>
      </c>
      <c r="H7" s="4038">
        <f>SUMIF(58:58,YEAR(G7)&amp;"-"&amp;MONTH(G7),59:59)</f>
        <v>0</v>
      </c>
      <c r="I7" s="3082">
        <v>46023</v>
      </c>
      <c r="J7" s="4038">
        <f>SUMIF(58:58,YEAR(I7)&amp;"-"&amp;MONTH(I7),59:59)</f>
        <v>0</v>
      </c>
      <c r="K7" s="3043"/>
      <c r="L7" s="2148"/>
      <c r="M7" s="2149"/>
      <c r="N7" s="2149"/>
      <c r="O7" s="2149"/>
      <c r="P7" s="4959" t="s">
        <v>1586</v>
      </c>
      <c r="Q7" s="4960"/>
      <c r="R7" s="3923" t="s">
        <v>18</v>
      </c>
      <c r="S7" s="3405">
        <f t="shared" ref="S7:S15" si="0">F7</f>
        <v>0</v>
      </c>
      <c r="T7" s="3923" t="s">
        <v>18</v>
      </c>
      <c r="U7" s="3405">
        <f t="shared" ref="U7:U15" si="1">H7</f>
        <v>0</v>
      </c>
      <c r="V7" s="3923" t="s">
        <v>18</v>
      </c>
      <c r="W7" s="3405">
        <f t="shared" ref="W7:W15" si="2">J7</f>
        <v>0</v>
      </c>
      <c r="X7" s="504"/>
      <c r="Y7" s="4962" t="s">
        <v>1586</v>
      </c>
      <c r="Z7" s="4963"/>
      <c r="AA7" s="505" t="e">
        <f>D7/F7</f>
        <v>#DIV/0!</v>
      </c>
      <c r="AB7" s="505" t="e">
        <f>D7/H7</f>
        <v>#DIV/0!</v>
      </c>
      <c r="AC7" s="505" t="e">
        <f>D7/J7</f>
        <v>#DIV/0!</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59" t="s">
        <v>1589</v>
      </c>
      <c r="Q8" s="4961"/>
      <c r="R8" s="3923" t="s">
        <v>18</v>
      </c>
      <c r="S8" s="3405">
        <f t="shared" si="0"/>
        <v>100</v>
      </c>
      <c r="T8" s="3923" t="s">
        <v>18</v>
      </c>
      <c r="U8" s="3405">
        <f t="shared" si="1"/>
        <v>100</v>
      </c>
      <c r="V8" s="3923" t="s">
        <v>18</v>
      </c>
      <c r="W8" s="3405">
        <f t="shared" si="2"/>
        <v>100</v>
      </c>
      <c r="X8" s="504"/>
      <c r="Y8" s="4962" t="s">
        <v>1589</v>
      </c>
      <c r="Z8" s="4963"/>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64" t="s">
        <v>1592</v>
      </c>
      <c r="Q9" s="3026" t="str">
        <f t="shared" ref="Q9:Q15" si="6">B9</f>
        <v>用途</v>
      </c>
      <c r="R9" s="3923" t="s">
        <v>13</v>
      </c>
      <c r="S9" s="3405">
        <f t="shared" si="0"/>
        <v>100</v>
      </c>
      <c r="T9" s="3923" t="s">
        <v>13</v>
      </c>
      <c r="U9" s="3405">
        <f t="shared" si="1"/>
        <v>100</v>
      </c>
      <c r="V9" s="3923" t="s">
        <v>13</v>
      </c>
      <c r="W9" s="3405">
        <f t="shared" si="2"/>
        <v>100</v>
      </c>
      <c r="X9" s="504"/>
      <c r="Y9" s="4965"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64"/>
      <c r="Q10" s="3026" t="str">
        <f t="shared" si="6"/>
        <v>土地使用年限（年）</v>
      </c>
      <c r="R10" s="3923" t="s">
        <v>13</v>
      </c>
      <c r="S10" s="3405">
        <f t="shared" si="0"/>
        <v>100</v>
      </c>
      <c r="T10" s="3923" t="s">
        <v>13</v>
      </c>
      <c r="U10" s="3405">
        <f t="shared" si="1"/>
        <v>100</v>
      </c>
      <c r="V10" s="3923" t="s">
        <v>13</v>
      </c>
      <c r="W10" s="3405">
        <f t="shared" si="2"/>
        <v>100</v>
      </c>
      <c r="X10" s="504"/>
      <c r="Y10" s="4965"/>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64"/>
      <c r="Q11" s="3026" t="str">
        <f t="shared" si="6"/>
        <v>容积率</v>
      </c>
      <c r="R11" s="3923" t="s">
        <v>16</v>
      </c>
      <c r="S11" s="3405">
        <f t="shared" si="0"/>
        <v>100</v>
      </c>
      <c r="T11" s="3923" t="s">
        <v>16</v>
      </c>
      <c r="U11" s="3405">
        <f t="shared" si="1"/>
        <v>100</v>
      </c>
      <c r="V11" s="3923" t="s">
        <v>16</v>
      </c>
      <c r="W11" s="3405">
        <f t="shared" si="2"/>
        <v>100</v>
      </c>
      <c r="X11" s="504"/>
      <c r="Y11" s="4965"/>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64"/>
      <c r="Q12" s="3026">
        <f t="shared" si="6"/>
        <v>111</v>
      </c>
      <c r="R12" s="3923" t="s">
        <v>16</v>
      </c>
      <c r="S12" s="3405">
        <f t="shared" si="0"/>
        <v>100</v>
      </c>
      <c r="T12" s="3923" t="s">
        <v>16</v>
      </c>
      <c r="U12" s="3405">
        <f t="shared" si="1"/>
        <v>100</v>
      </c>
      <c r="V12" s="3923" t="s">
        <v>16</v>
      </c>
      <c r="W12" s="3405">
        <f t="shared" si="2"/>
        <v>100</v>
      </c>
      <c r="X12" s="504"/>
      <c r="Y12" s="4965"/>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64"/>
      <c r="Q13" s="3026">
        <f t="shared" si="6"/>
        <v>111</v>
      </c>
      <c r="R13" s="3923" t="s">
        <v>16</v>
      </c>
      <c r="S13" s="3405">
        <f t="shared" si="0"/>
        <v>100</v>
      </c>
      <c r="T13" s="3923" t="s">
        <v>16</v>
      </c>
      <c r="U13" s="3405">
        <f t="shared" si="1"/>
        <v>100</v>
      </c>
      <c r="V13" s="3923" t="s">
        <v>16</v>
      </c>
      <c r="W13" s="3405">
        <f t="shared" si="2"/>
        <v>100</v>
      </c>
      <c r="X13" s="504"/>
      <c r="Y13" s="4965"/>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64"/>
      <c r="Q14" s="3026">
        <f t="shared" si="6"/>
        <v>111</v>
      </c>
      <c r="R14" s="3923" t="s">
        <v>16</v>
      </c>
      <c r="S14" s="3405">
        <f t="shared" si="0"/>
        <v>100</v>
      </c>
      <c r="T14" s="3923" t="s">
        <v>16</v>
      </c>
      <c r="U14" s="3405">
        <f t="shared" si="1"/>
        <v>100</v>
      </c>
      <c r="V14" s="3923" t="s">
        <v>16</v>
      </c>
      <c r="W14" s="3405">
        <f t="shared" si="2"/>
        <v>100</v>
      </c>
      <c r="X14" s="504"/>
      <c r="Y14" s="4965"/>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66" t="s">
        <v>1597</v>
      </c>
      <c r="Q15" s="1618" t="str">
        <f t="shared" si="6"/>
        <v>居住社区成熟度</v>
      </c>
      <c r="R15" s="4044" t="s">
        <v>16</v>
      </c>
      <c r="S15" s="3406">
        <f t="shared" si="0"/>
        <v>100</v>
      </c>
      <c r="T15" s="4044" t="s">
        <v>16</v>
      </c>
      <c r="U15" s="3406">
        <f t="shared" si="1"/>
        <v>100</v>
      </c>
      <c r="V15" s="4044" t="s">
        <v>16</v>
      </c>
      <c r="W15" s="3406">
        <f t="shared" si="2"/>
        <v>100</v>
      </c>
      <c r="X15" s="963"/>
      <c r="Y15" s="4968"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67"/>
      <c r="Q16" s="1618"/>
      <c r="R16" s="4044"/>
      <c r="S16" s="3406"/>
      <c r="T16" s="4044"/>
      <c r="U16" s="3406"/>
      <c r="V16" s="4044"/>
      <c r="W16" s="3406"/>
      <c r="X16" s="963"/>
      <c r="Y16" s="4969"/>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67"/>
      <c r="Q17" s="1618" t="str">
        <f>B17</f>
        <v>交通便捷度</v>
      </c>
      <c r="R17" s="4044" t="s">
        <v>16</v>
      </c>
      <c r="S17" s="3406">
        <f>F17</f>
        <v>100</v>
      </c>
      <c r="T17" s="4044" t="s">
        <v>16</v>
      </c>
      <c r="U17" s="3406">
        <f>H17</f>
        <v>100</v>
      </c>
      <c r="V17" s="4044" t="s">
        <v>16</v>
      </c>
      <c r="W17" s="3406">
        <f>J17</f>
        <v>100</v>
      </c>
      <c r="X17" s="963"/>
      <c r="Y17" s="4969"/>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67"/>
      <c r="Q18" s="1618"/>
      <c r="R18" s="4044"/>
      <c r="S18" s="3406"/>
      <c r="T18" s="4044"/>
      <c r="U18" s="3406"/>
      <c r="V18" s="4044"/>
      <c r="W18" s="3406"/>
      <c r="X18" s="963"/>
      <c r="Y18" s="4969"/>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67"/>
      <c r="Q19" s="1618" t="str">
        <f>B19</f>
        <v>公共配套设施</v>
      </c>
      <c r="R19" s="4044" t="s">
        <v>16</v>
      </c>
      <c r="S19" s="3406">
        <f>F19</f>
        <v>100</v>
      </c>
      <c r="T19" s="4044" t="s">
        <v>16</v>
      </c>
      <c r="U19" s="3406">
        <f>H19</f>
        <v>100</v>
      </c>
      <c r="V19" s="4044" t="s">
        <v>16</v>
      </c>
      <c r="W19" s="3406">
        <f>J19</f>
        <v>100</v>
      </c>
      <c r="X19" s="963"/>
      <c r="Y19" s="4969"/>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67"/>
      <c r="Q20" s="1618"/>
      <c r="R20" s="4044"/>
      <c r="S20" s="3406"/>
      <c r="T20" s="4044"/>
      <c r="U20" s="3406"/>
      <c r="V20" s="4044"/>
      <c r="W20" s="3406"/>
      <c r="X20" s="963"/>
      <c r="Y20" s="4969"/>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67"/>
      <c r="Q21" s="1618" t="str">
        <f>B21</f>
        <v>基础设施水平</v>
      </c>
      <c r="R21" s="4044" t="s">
        <v>13</v>
      </c>
      <c r="S21" s="3406">
        <f>F21</f>
        <v>100</v>
      </c>
      <c r="T21" s="4044" t="s">
        <v>13</v>
      </c>
      <c r="U21" s="3406">
        <f>H21</f>
        <v>100</v>
      </c>
      <c r="V21" s="4044" t="s">
        <v>13</v>
      </c>
      <c r="W21" s="3406">
        <f>J21</f>
        <v>100</v>
      </c>
      <c r="X21" s="963"/>
      <c r="Y21" s="4969"/>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67"/>
      <c r="Q22" s="1618"/>
      <c r="R22" s="4044"/>
      <c r="S22" s="3406"/>
      <c r="T22" s="4044"/>
      <c r="U22" s="3406"/>
      <c r="V22" s="4044"/>
      <c r="W22" s="3406"/>
      <c r="X22" s="963"/>
      <c r="Y22" s="4969"/>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67"/>
      <c r="Q23" s="1618" t="str">
        <f>B23</f>
        <v>自然及人文环境</v>
      </c>
      <c r="R23" s="4044" t="s">
        <v>16</v>
      </c>
      <c r="S23" s="3406">
        <f>F23</f>
        <v>100</v>
      </c>
      <c r="T23" s="4044" t="s">
        <v>16</v>
      </c>
      <c r="U23" s="3406">
        <f>H23</f>
        <v>100</v>
      </c>
      <c r="V23" s="4044" t="s">
        <v>16</v>
      </c>
      <c r="W23" s="3406">
        <f>J23</f>
        <v>100</v>
      </c>
      <c r="X23" s="963"/>
      <c r="Y23" s="4969"/>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67"/>
      <c r="Q24" s="1618"/>
      <c r="R24" s="4044"/>
      <c r="S24" s="3406"/>
      <c r="T24" s="4044"/>
      <c r="U24" s="3406"/>
      <c r="V24" s="4044"/>
      <c r="W24" s="3406"/>
      <c r="X24" s="963"/>
      <c r="Y24" s="4969"/>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67"/>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69"/>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67"/>
      <c r="Q26" s="1618" t="str">
        <f t="shared" si="11"/>
        <v>朝向</v>
      </c>
      <c r="R26" s="4044" t="s">
        <v>16</v>
      </c>
      <c r="S26" s="3406">
        <f t="shared" si="12"/>
        <v>100</v>
      </c>
      <c r="T26" s="4044" t="s">
        <v>16</v>
      </c>
      <c r="U26" s="3406">
        <f t="shared" si="13"/>
        <v>100</v>
      </c>
      <c r="V26" s="4044" t="s">
        <v>16</v>
      </c>
      <c r="W26" s="3406">
        <f t="shared" si="14"/>
        <v>100</v>
      </c>
      <c r="X26" s="963"/>
      <c r="Y26" s="4969"/>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67"/>
      <c r="Q27" s="3026">
        <f t="shared" si="11"/>
        <v>111</v>
      </c>
      <c r="R27" s="3923" t="s">
        <v>16</v>
      </c>
      <c r="S27" s="3405">
        <f t="shared" si="12"/>
        <v>100</v>
      </c>
      <c r="T27" s="3923" t="s">
        <v>16</v>
      </c>
      <c r="U27" s="3405">
        <f t="shared" si="13"/>
        <v>100</v>
      </c>
      <c r="V27" s="3923" t="s">
        <v>16</v>
      </c>
      <c r="W27" s="3405">
        <f t="shared" si="14"/>
        <v>100</v>
      </c>
      <c r="X27" s="504"/>
      <c r="Y27" s="4969"/>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67"/>
      <c r="Q28" s="1618">
        <f t="shared" si="11"/>
        <v>111</v>
      </c>
      <c r="R28" s="4044" t="s">
        <v>16</v>
      </c>
      <c r="S28" s="3406">
        <f t="shared" si="12"/>
        <v>100</v>
      </c>
      <c r="T28" s="4044" t="s">
        <v>16</v>
      </c>
      <c r="U28" s="3406">
        <f t="shared" si="13"/>
        <v>100</v>
      </c>
      <c r="V28" s="4044" t="s">
        <v>16</v>
      </c>
      <c r="W28" s="3406">
        <f t="shared" si="14"/>
        <v>100</v>
      </c>
      <c r="X28" s="963"/>
      <c r="Y28" s="4969"/>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67"/>
      <c r="Q29" s="1618">
        <f t="shared" si="11"/>
        <v>111</v>
      </c>
      <c r="R29" s="4044" t="s">
        <v>16</v>
      </c>
      <c r="S29" s="3406">
        <f t="shared" si="12"/>
        <v>100</v>
      </c>
      <c r="T29" s="4044" t="s">
        <v>16</v>
      </c>
      <c r="U29" s="3406">
        <f t="shared" si="13"/>
        <v>100</v>
      </c>
      <c r="V29" s="4044" t="s">
        <v>16</v>
      </c>
      <c r="W29" s="3406">
        <f t="shared" si="14"/>
        <v>100</v>
      </c>
      <c r="X29" s="963"/>
      <c r="Y29" s="4969"/>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67"/>
      <c r="Q30" s="1618">
        <f t="shared" si="11"/>
        <v>111</v>
      </c>
      <c r="R30" s="4044" t="s">
        <v>16</v>
      </c>
      <c r="S30" s="3406">
        <f t="shared" si="12"/>
        <v>100</v>
      </c>
      <c r="T30" s="4044" t="s">
        <v>16</v>
      </c>
      <c r="U30" s="3406">
        <f t="shared" si="13"/>
        <v>100</v>
      </c>
      <c r="V30" s="4044" t="s">
        <v>16</v>
      </c>
      <c r="W30" s="3406">
        <f t="shared" si="14"/>
        <v>100</v>
      </c>
      <c r="X30" s="963"/>
      <c r="Y30" s="4969"/>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67"/>
      <c r="Q31" s="1618">
        <f t="shared" si="11"/>
        <v>111</v>
      </c>
      <c r="R31" s="4044" t="s">
        <v>16</v>
      </c>
      <c r="S31" s="3406">
        <f t="shared" si="12"/>
        <v>100</v>
      </c>
      <c r="T31" s="4044" t="s">
        <v>16</v>
      </c>
      <c r="U31" s="3406">
        <f t="shared" si="13"/>
        <v>100</v>
      </c>
      <c r="V31" s="4044" t="s">
        <v>16</v>
      </c>
      <c r="W31" s="3406">
        <f t="shared" si="14"/>
        <v>100</v>
      </c>
      <c r="X31" s="963"/>
      <c r="Y31" s="4969"/>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70" t="s">
        <v>1602</v>
      </c>
      <c r="Q32" s="1618" t="str">
        <f t="shared" si="11"/>
        <v>建筑类型</v>
      </c>
      <c r="R32" s="4044" t="s">
        <v>16</v>
      </c>
      <c r="S32" s="3406">
        <f t="shared" si="12"/>
        <v>100</v>
      </c>
      <c r="T32" s="4044" t="s">
        <v>16</v>
      </c>
      <c r="U32" s="3406">
        <f t="shared" si="13"/>
        <v>100</v>
      </c>
      <c r="V32" s="4044" t="s">
        <v>16</v>
      </c>
      <c r="W32" s="3406">
        <f t="shared" si="14"/>
        <v>100</v>
      </c>
      <c r="X32" s="963"/>
      <c r="Y32" s="4973"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71"/>
      <c r="Q33" s="3106" t="str">
        <f t="shared" si="11"/>
        <v>项目建筑规模</v>
      </c>
      <c r="R33" s="4045" t="s">
        <v>16</v>
      </c>
      <c r="S33" s="3407">
        <f t="shared" si="12"/>
        <v>100</v>
      </c>
      <c r="T33" s="4045" t="s">
        <v>16</v>
      </c>
      <c r="U33" s="3407">
        <f t="shared" si="13"/>
        <v>100</v>
      </c>
      <c r="V33" s="4045" t="s">
        <v>16</v>
      </c>
      <c r="W33" s="3407">
        <f t="shared" si="14"/>
        <v>105</v>
      </c>
      <c r="X33" s="507"/>
      <c r="Y33" s="4973"/>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71"/>
      <c r="Q34" s="1618" t="str">
        <f t="shared" si="11"/>
        <v>建筑结构</v>
      </c>
      <c r="R34" s="4044" t="s">
        <v>16</v>
      </c>
      <c r="S34" s="3406">
        <f t="shared" si="12"/>
        <v>100</v>
      </c>
      <c r="T34" s="4044" t="s">
        <v>16</v>
      </c>
      <c r="U34" s="3406">
        <f t="shared" si="13"/>
        <v>100</v>
      </c>
      <c r="V34" s="4044" t="s">
        <v>16</v>
      </c>
      <c r="W34" s="3406">
        <f t="shared" si="14"/>
        <v>100</v>
      </c>
      <c r="X34" s="963"/>
      <c r="Y34" s="4973"/>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71"/>
      <c r="Q35" s="1618" t="str">
        <f t="shared" si="11"/>
        <v>建筑品质</v>
      </c>
      <c r="R35" s="4044" t="s">
        <v>16</v>
      </c>
      <c r="S35" s="3406">
        <f t="shared" si="12"/>
        <v>100</v>
      </c>
      <c r="T35" s="4044" t="s">
        <v>16</v>
      </c>
      <c r="U35" s="3406">
        <f t="shared" si="13"/>
        <v>100</v>
      </c>
      <c r="V35" s="4044" t="s">
        <v>16</v>
      </c>
      <c r="W35" s="3406">
        <f t="shared" si="14"/>
        <v>100</v>
      </c>
      <c r="X35" s="963"/>
      <c r="Y35" s="4973"/>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71"/>
      <c r="Q36" s="1618" t="str">
        <f t="shared" si="11"/>
        <v>公共部分装修</v>
      </c>
      <c r="R36" s="4044" t="s">
        <v>16</v>
      </c>
      <c r="S36" s="3406">
        <f t="shared" si="12"/>
        <v>100</v>
      </c>
      <c r="T36" s="4044" t="s">
        <v>16</v>
      </c>
      <c r="U36" s="3406">
        <f t="shared" si="13"/>
        <v>100</v>
      </c>
      <c r="V36" s="4044" t="s">
        <v>16</v>
      </c>
      <c r="W36" s="3406">
        <f t="shared" si="14"/>
        <v>100</v>
      </c>
      <c r="X36" s="963"/>
      <c r="Y36" s="4973"/>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71"/>
      <c r="Q37" s="3026" t="str">
        <f t="shared" si="11"/>
        <v>成新度</v>
      </c>
      <c r="R37" s="3923" t="s">
        <v>16</v>
      </c>
      <c r="S37" s="3405">
        <f t="shared" si="12"/>
        <v>100</v>
      </c>
      <c r="T37" s="3923" t="s">
        <v>16</v>
      </c>
      <c r="U37" s="3405">
        <f t="shared" si="13"/>
        <v>101</v>
      </c>
      <c r="V37" s="3923" t="s">
        <v>16</v>
      </c>
      <c r="W37" s="3405">
        <f t="shared" si="14"/>
        <v>101.5</v>
      </c>
      <c r="X37" s="504"/>
      <c r="Y37" s="4973"/>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71" t="s">
        <v>1602</v>
      </c>
      <c r="Q38" s="1618" t="str">
        <f t="shared" si="11"/>
        <v>物业管理</v>
      </c>
      <c r="R38" s="4044" t="s">
        <v>16</v>
      </c>
      <c r="S38" s="3406">
        <f t="shared" si="12"/>
        <v>100</v>
      </c>
      <c r="T38" s="4044" t="s">
        <v>16</v>
      </c>
      <c r="U38" s="3406">
        <f t="shared" si="13"/>
        <v>100</v>
      </c>
      <c r="V38" s="4044" t="s">
        <v>16</v>
      </c>
      <c r="W38" s="3406">
        <f t="shared" si="14"/>
        <v>100</v>
      </c>
      <c r="X38" s="963"/>
      <c r="Y38" s="4973"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71"/>
      <c r="Q39" s="1618" t="str">
        <f t="shared" si="11"/>
        <v>市政基础设施</v>
      </c>
      <c r="R39" s="4044" t="s">
        <v>16</v>
      </c>
      <c r="S39" s="3406">
        <f t="shared" si="12"/>
        <v>100</v>
      </c>
      <c r="T39" s="4044" t="s">
        <v>16</v>
      </c>
      <c r="U39" s="3406">
        <f t="shared" si="13"/>
        <v>100</v>
      </c>
      <c r="V39" s="4044" t="s">
        <v>16</v>
      </c>
      <c r="W39" s="3406">
        <f t="shared" si="14"/>
        <v>100</v>
      </c>
      <c r="X39" s="963"/>
      <c r="Y39" s="4973"/>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71"/>
      <c r="Q40" s="1618" t="str">
        <f t="shared" si="11"/>
        <v>房型</v>
      </c>
      <c r="R40" s="4044" t="s">
        <v>16</v>
      </c>
      <c r="S40" s="3406">
        <f t="shared" si="12"/>
        <v>100</v>
      </c>
      <c r="T40" s="4044" t="s">
        <v>16</v>
      </c>
      <c r="U40" s="3406">
        <f t="shared" si="13"/>
        <v>100</v>
      </c>
      <c r="V40" s="4044" t="s">
        <v>16</v>
      </c>
      <c r="W40" s="3406">
        <f t="shared" si="14"/>
        <v>100</v>
      </c>
      <c r="X40" s="963"/>
      <c r="Y40" s="4973"/>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71"/>
      <c r="Q41" s="3106" t="str">
        <f t="shared" si="11"/>
        <v>单套/主力户型建筑面积</v>
      </c>
      <c r="R41" s="4045" t="s">
        <v>16</v>
      </c>
      <c r="S41" s="3407">
        <f t="shared" si="12"/>
        <v>100</v>
      </c>
      <c r="T41" s="4045" t="s">
        <v>16</v>
      </c>
      <c r="U41" s="3407">
        <f t="shared" si="13"/>
        <v>100</v>
      </c>
      <c r="V41" s="4045" t="s">
        <v>16</v>
      </c>
      <c r="W41" s="3407">
        <f t="shared" si="14"/>
        <v>100</v>
      </c>
      <c r="X41" s="507"/>
      <c r="Y41" s="4973"/>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71"/>
      <c r="Q42" s="1618" t="str">
        <f t="shared" si="11"/>
        <v>内部装修</v>
      </c>
      <c r="R42" s="4044" t="s">
        <v>16</v>
      </c>
      <c r="S42" s="3406">
        <f t="shared" si="12"/>
        <v>100</v>
      </c>
      <c r="T42" s="4044" t="s">
        <v>16</v>
      </c>
      <c r="U42" s="3406">
        <f t="shared" si="13"/>
        <v>100</v>
      </c>
      <c r="V42" s="4044" t="s">
        <v>16</v>
      </c>
      <c r="W42" s="3406">
        <f t="shared" si="14"/>
        <v>100</v>
      </c>
      <c r="X42" s="963"/>
      <c r="Y42" s="4973"/>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71"/>
      <c r="Q43" s="1618" t="str">
        <f t="shared" si="11"/>
        <v>内部装修维护情况</v>
      </c>
      <c r="R43" s="4044" t="s">
        <v>16</v>
      </c>
      <c r="S43" s="3406">
        <f t="shared" si="12"/>
        <v>100</v>
      </c>
      <c r="T43" s="4044" t="s">
        <v>16</v>
      </c>
      <c r="U43" s="3406">
        <f t="shared" si="13"/>
        <v>100</v>
      </c>
      <c r="V43" s="4044" t="s">
        <v>16</v>
      </c>
      <c r="W43" s="3406">
        <f t="shared" si="14"/>
        <v>100</v>
      </c>
      <c r="X43" s="963"/>
      <c r="Y43" s="4973"/>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71"/>
      <c r="Q44" s="3026">
        <f t="shared" si="11"/>
        <v>111</v>
      </c>
      <c r="R44" s="3923" t="s">
        <v>16</v>
      </c>
      <c r="S44" s="3405">
        <f t="shared" si="12"/>
        <v>100</v>
      </c>
      <c r="T44" s="3923" t="s">
        <v>16</v>
      </c>
      <c r="U44" s="3405">
        <f t="shared" si="13"/>
        <v>100</v>
      </c>
      <c r="V44" s="3923" t="s">
        <v>16</v>
      </c>
      <c r="W44" s="3405">
        <f t="shared" si="14"/>
        <v>100</v>
      </c>
      <c r="X44" s="504"/>
      <c r="Y44" s="4973"/>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71"/>
      <c r="Q45" s="1618">
        <f t="shared" si="11"/>
        <v>111</v>
      </c>
      <c r="R45" s="4044" t="s">
        <v>16</v>
      </c>
      <c r="S45" s="3406">
        <f t="shared" si="12"/>
        <v>100</v>
      </c>
      <c r="T45" s="4044" t="s">
        <v>16</v>
      </c>
      <c r="U45" s="3406">
        <f t="shared" si="13"/>
        <v>100</v>
      </c>
      <c r="V45" s="4044" t="s">
        <v>16</v>
      </c>
      <c r="W45" s="3406">
        <f t="shared" si="14"/>
        <v>100</v>
      </c>
      <c r="X45" s="963"/>
      <c r="Y45" s="4973"/>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72"/>
      <c r="Q46" s="1618">
        <f t="shared" si="11"/>
        <v>111</v>
      </c>
      <c r="R46" s="4044" t="s">
        <v>15</v>
      </c>
      <c r="S46" s="3406">
        <f t="shared" si="12"/>
        <v>100</v>
      </c>
      <c r="T46" s="4044" t="s">
        <v>15</v>
      </c>
      <c r="U46" s="3406">
        <f t="shared" si="13"/>
        <v>100</v>
      </c>
      <c r="V46" s="4044" t="s">
        <v>15</v>
      </c>
      <c r="W46" s="3406">
        <f t="shared" si="14"/>
        <v>100</v>
      </c>
      <c r="X46" s="963"/>
      <c r="Y46" s="4974"/>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75" t="str">
        <f>A47</f>
        <v>成交单价（元/平方米）</v>
      </c>
      <c r="Q47" s="4975"/>
      <c r="R47" s="4976">
        <f>E47</f>
        <v>34.57</v>
      </c>
      <c r="S47" s="4976"/>
      <c r="T47" s="4976">
        <f>G47</f>
        <v>35.18</v>
      </c>
      <c r="U47" s="4976"/>
      <c r="V47" s="4976">
        <f>I47</f>
        <v>42.99</v>
      </c>
      <c r="W47" s="4976"/>
      <c r="X47" s="493"/>
      <c r="Y47" s="509"/>
      <c r="Z47" s="493"/>
      <c r="AA47" s="493"/>
      <c r="AB47" s="493"/>
      <c r="AC47" s="493"/>
    </row>
    <row r="48" spans="1:29" ht="15" thickBot="1">
      <c r="A48" s="295" t="s">
        <v>1615</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975" t="str">
        <f>A48</f>
        <v>比较价值（元/平方米）</v>
      </c>
      <c r="Q48" s="4975"/>
      <c r="R48" s="4976" t="e">
        <f>IF(F1="售价",ROUND(PRODUCT(R47,AA7:AA46),0),ROUND(PRODUCT(R47,AA7:AA46),1))</f>
        <v>#DIV/0!</v>
      </c>
      <c r="S48" s="4976"/>
      <c r="T48" s="4976" t="e">
        <f>IF(F1="售价",ROUND(PRODUCT(T47,AB7:AB46),0),ROUND(PRODUCT(T47,AB7:AB46),1))</f>
        <v>#DIV/0!</v>
      </c>
      <c r="U48" s="4976"/>
      <c r="V48" s="4976" t="e">
        <f>IF(F1="售价",ROUND(PRODUCT(V47,AC7:AC46),0),ROUND(PRODUCT(V47,AC7:AC46),1))</f>
        <v>#DIV/0!</v>
      </c>
      <c r="W48" s="4976"/>
      <c r="X48" s="493"/>
      <c r="Y48" s="493"/>
      <c r="Z48" s="493"/>
      <c r="AA48" s="493"/>
      <c r="AB48" s="493"/>
      <c r="AC48" s="493"/>
    </row>
    <row r="49" spans="1:29" ht="15" thickBot="1">
      <c r="A49" s="297" t="s">
        <v>1616</v>
      </c>
      <c r="B49" s="298"/>
      <c r="C49" s="4043" t="e">
        <f>R49</f>
        <v>#DIV/0!</v>
      </c>
      <c r="D49" s="812"/>
      <c r="E49" s="812"/>
      <c r="F49" s="812"/>
      <c r="G49" s="812"/>
      <c r="H49" s="812"/>
      <c r="I49" s="812"/>
      <c r="J49" s="812"/>
      <c r="K49" s="1474"/>
      <c r="L49" s="2155"/>
      <c r="M49" s="2156"/>
      <c r="N49" s="2156"/>
      <c r="O49" s="2156"/>
      <c r="P49" s="4977" t="str">
        <f>A49</f>
        <v>估价对象XX用房的比较价值（楼面单价，元/平方米）</v>
      </c>
      <c r="Q49" s="4978"/>
      <c r="R49" s="4979" t="e">
        <f>IF(F1="售价",ROUND(IF(D48="简单平均",AVERAGE(R48:V48),R48*F48+T48*H48+V48*J48),0),ROUND(IF(D48="简单平均",AVERAGE(R48:V48),R48*F48+T48*H48+V48*J48),1))</f>
        <v>#DIV/0!</v>
      </c>
      <c r="S49" s="4979"/>
      <c r="T49" s="4979"/>
      <c r="U49" s="4979"/>
      <c r="V49" s="4979"/>
      <c r="W49" s="497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27" t="s">
        <v>1676</v>
      </c>
      <c r="D4" s="4928"/>
      <c r="E4" s="4929" t="s">
        <v>1677</v>
      </c>
      <c r="F4" s="4930"/>
      <c r="G4" s="4927" t="s">
        <v>1678</v>
      </c>
      <c r="H4" s="4928"/>
      <c r="I4" s="4927" t="s">
        <v>1679</v>
      </c>
      <c r="J4" s="4928"/>
      <c r="K4" s="3105" t="s">
        <v>1680</v>
      </c>
      <c r="L4" s="2146"/>
      <c r="M4" s="2147"/>
      <c r="N4" s="2147"/>
      <c r="O4" s="2147"/>
      <c r="P4" s="4931" t="s">
        <v>1681</v>
      </c>
      <c r="Q4" s="4932"/>
      <c r="R4" s="4937" t="s">
        <v>1677</v>
      </c>
      <c r="S4" s="4938"/>
      <c r="T4" s="4937" t="s">
        <v>1678</v>
      </c>
      <c r="U4" s="4938"/>
      <c r="V4" s="4952" t="s">
        <v>1679</v>
      </c>
      <c r="W4" s="4952"/>
      <c r="X4" s="963"/>
      <c r="Y4" s="4953" t="s">
        <v>1681</v>
      </c>
      <c r="Z4" s="4954"/>
      <c r="AA4" s="4924" t="s">
        <v>1677</v>
      </c>
      <c r="AB4" s="4980" t="s">
        <v>1678</v>
      </c>
      <c r="AC4" s="4924" t="s">
        <v>1679</v>
      </c>
    </row>
    <row r="5" spans="1:29">
      <c r="A5" s="244"/>
      <c r="B5" s="245"/>
      <c r="C5" s="4941" t="s">
        <v>1579</v>
      </c>
      <c r="D5" s="4942"/>
      <c r="E5" s="4981" t="s">
        <v>1580</v>
      </c>
      <c r="F5" s="4944"/>
      <c r="G5" s="4941" t="s">
        <v>1581</v>
      </c>
      <c r="H5" s="4942"/>
      <c r="I5" s="4941" t="s">
        <v>1582</v>
      </c>
      <c r="J5" s="4942"/>
      <c r="K5" s="3105"/>
      <c r="L5" s="2146"/>
      <c r="M5" s="2147"/>
      <c r="N5" s="2147"/>
      <c r="O5" s="2147"/>
      <c r="P5" s="4933"/>
      <c r="Q5" s="4934"/>
      <c r="R5" s="4939"/>
      <c r="S5" s="4940"/>
      <c r="T5" s="4939"/>
      <c r="U5" s="4940"/>
      <c r="V5" s="4952"/>
      <c r="W5" s="4952"/>
      <c r="X5" s="963"/>
      <c r="Y5" s="4955"/>
      <c r="Z5" s="4956"/>
      <c r="AA5" s="4925"/>
      <c r="AB5" s="4980"/>
      <c r="AC5" s="4925"/>
    </row>
    <row r="6" spans="1:29" ht="15" thickBot="1">
      <c r="A6" s="246"/>
      <c r="B6" s="247"/>
      <c r="C6" s="4946" t="s">
        <v>1583</v>
      </c>
      <c r="D6" s="4947"/>
      <c r="E6" s="4948" t="s">
        <v>1583</v>
      </c>
      <c r="F6" s="4949"/>
      <c r="G6" s="4946" t="s">
        <v>1583</v>
      </c>
      <c r="H6" s="4947"/>
      <c r="I6" s="4946" t="s">
        <v>1583</v>
      </c>
      <c r="J6" s="4947"/>
      <c r="K6" s="3105" t="s">
        <v>1584</v>
      </c>
      <c r="L6" s="2146"/>
      <c r="M6" s="2147"/>
      <c r="N6" s="2147"/>
      <c r="O6" s="2147"/>
      <c r="P6" s="4935"/>
      <c r="Q6" s="4936"/>
      <c r="R6" s="4939"/>
      <c r="S6" s="4940"/>
      <c r="T6" s="4950"/>
      <c r="U6" s="4951"/>
      <c r="V6" s="4952"/>
      <c r="W6" s="4952"/>
      <c r="X6" s="963"/>
      <c r="Y6" s="4957"/>
      <c r="Z6" s="4958"/>
      <c r="AA6" s="4926"/>
      <c r="AB6" s="4980"/>
      <c r="AC6" s="4926"/>
    </row>
    <row r="7" spans="1:29" s="49" customFormat="1" ht="15" thickBot="1">
      <c r="A7" s="248" t="s">
        <v>1585</v>
      </c>
      <c r="B7" s="249"/>
      <c r="C7" s="250">
        <f>'数据-取费表'!B2</f>
        <v>46087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59" t="s">
        <v>1586</v>
      </c>
      <c r="Q7" s="4960"/>
      <c r="R7" s="3923" t="s">
        <v>13</v>
      </c>
      <c r="S7" s="3405">
        <f t="shared" ref="S7:S15" si="0">F7</f>
        <v>0</v>
      </c>
      <c r="T7" s="3923" t="s">
        <v>13</v>
      </c>
      <c r="U7" s="3405">
        <f t="shared" ref="U7:U15" si="1">H7</f>
        <v>0</v>
      </c>
      <c r="V7" s="3923" t="s">
        <v>13</v>
      </c>
      <c r="W7" s="3405">
        <f t="shared" ref="W7:W15" si="2">J7</f>
        <v>0</v>
      </c>
      <c r="X7" s="504"/>
      <c r="Y7" s="4962" t="s">
        <v>1586</v>
      </c>
      <c r="Z7" s="4963"/>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59" t="s">
        <v>1589</v>
      </c>
      <c r="Q8" s="4961"/>
      <c r="R8" s="3923" t="s">
        <v>13</v>
      </c>
      <c r="S8" s="3405">
        <f t="shared" si="0"/>
        <v>100</v>
      </c>
      <c r="T8" s="3923" t="s">
        <v>13</v>
      </c>
      <c r="U8" s="3405">
        <f t="shared" si="1"/>
        <v>100</v>
      </c>
      <c r="V8" s="3923" t="s">
        <v>13</v>
      </c>
      <c r="W8" s="3405">
        <f t="shared" si="2"/>
        <v>100</v>
      </c>
      <c r="X8" s="504"/>
      <c r="Y8" s="4962" t="s">
        <v>1589</v>
      </c>
      <c r="Z8" s="4963"/>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64" t="s">
        <v>1592</v>
      </c>
      <c r="Q9" s="3026" t="str">
        <f t="shared" ref="Q9:Q15" si="6">B9</f>
        <v>用途</v>
      </c>
      <c r="R9" s="3923" t="s">
        <v>13</v>
      </c>
      <c r="S9" s="3405">
        <f t="shared" si="0"/>
        <v>100</v>
      </c>
      <c r="T9" s="3923" t="s">
        <v>13</v>
      </c>
      <c r="U9" s="3405">
        <f t="shared" si="1"/>
        <v>100</v>
      </c>
      <c r="V9" s="3923" t="s">
        <v>13</v>
      </c>
      <c r="W9" s="3405">
        <f t="shared" si="2"/>
        <v>100</v>
      </c>
      <c r="X9" s="504"/>
      <c r="Y9" s="4965"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64"/>
      <c r="Q10" s="3026" t="str">
        <f t="shared" si="6"/>
        <v>土地使用年限（年）</v>
      </c>
      <c r="R10" s="3923" t="s">
        <v>13</v>
      </c>
      <c r="S10" s="3405">
        <f t="shared" si="0"/>
        <v>100</v>
      </c>
      <c r="T10" s="3923" t="s">
        <v>13</v>
      </c>
      <c r="U10" s="3405">
        <f t="shared" si="1"/>
        <v>100</v>
      </c>
      <c r="V10" s="3923" t="s">
        <v>13</v>
      </c>
      <c r="W10" s="3405">
        <f t="shared" si="2"/>
        <v>100</v>
      </c>
      <c r="X10" s="504"/>
      <c r="Y10" s="4965"/>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64"/>
      <c r="Q11" s="3026" t="str">
        <f t="shared" si="6"/>
        <v>容积率</v>
      </c>
      <c r="R11" s="3923" t="s">
        <v>13</v>
      </c>
      <c r="S11" s="3405">
        <f t="shared" si="0"/>
        <v>100</v>
      </c>
      <c r="T11" s="3923" t="s">
        <v>13</v>
      </c>
      <c r="U11" s="3405">
        <f t="shared" si="1"/>
        <v>100</v>
      </c>
      <c r="V11" s="3923" t="s">
        <v>13</v>
      </c>
      <c r="W11" s="3405">
        <f t="shared" si="2"/>
        <v>100</v>
      </c>
      <c r="X11" s="504"/>
      <c r="Y11" s="4965"/>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64"/>
      <c r="Q12" s="3026">
        <f t="shared" si="6"/>
        <v>111</v>
      </c>
      <c r="R12" s="3923" t="s">
        <v>13</v>
      </c>
      <c r="S12" s="3405">
        <f t="shared" si="0"/>
        <v>100</v>
      </c>
      <c r="T12" s="3923" t="s">
        <v>13</v>
      </c>
      <c r="U12" s="3405">
        <f t="shared" si="1"/>
        <v>100</v>
      </c>
      <c r="V12" s="3923" t="s">
        <v>13</v>
      </c>
      <c r="W12" s="3405">
        <f t="shared" si="2"/>
        <v>100</v>
      </c>
      <c r="X12" s="504"/>
      <c r="Y12" s="4965"/>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64"/>
      <c r="Q13" s="3026">
        <f t="shared" si="6"/>
        <v>111</v>
      </c>
      <c r="R13" s="3923" t="s">
        <v>13</v>
      </c>
      <c r="S13" s="3405">
        <f t="shared" si="0"/>
        <v>100</v>
      </c>
      <c r="T13" s="3923" t="s">
        <v>13</v>
      </c>
      <c r="U13" s="3405">
        <f t="shared" si="1"/>
        <v>100</v>
      </c>
      <c r="V13" s="3923" t="s">
        <v>13</v>
      </c>
      <c r="W13" s="3405">
        <f t="shared" si="2"/>
        <v>100</v>
      </c>
      <c r="X13" s="504"/>
      <c r="Y13" s="4965"/>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64"/>
      <c r="Q14" s="3026">
        <f t="shared" si="6"/>
        <v>111</v>
      </c>
      <c r="R14" s="3923" t="s">
        <v>13</v>
      </c>
      <c r="S14" s="3405">
        <f t="shared" si="0"/>
        <v>100</v>
      </c>
      <c r="T14" s="3923" t="s">
        <v>13</v>
      </c>
      <c r="U14" s="3405">
        <f t="shared" si="1"/>
        <v>100</v>
      </c>
      <c r="V14" s="3923" t="s">
        <v>13</v>
      </c>
      <c r="W14" s="3405">
        <f t="shared" si="2"/>
        <v>100</v>
      </c>
      <c r="X14" s="504"/>
      <c r="Y14" s="4965"/>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66" t="s">
        <v>1597</v>
      </c>
      <c r="Q15" s="1618" t="str">
        <f t="shared" si="6"/>
        <v>商业繁华度</v>
      </c>
      <c r="R15" s="4044" t="s">
        <v>13</v>
      </c>
      <c r="S15" s="3406">
        <f t="shared" si="0"/>
        <v>100</v>
      </c>
      <c r="T15" s="4044" t="s">
        <v>13</v>
      </c>
      <c r="U15" s="3406">
        <f t="shared" si="1"/>
        <v>100</v>
      </c>
      <c r="V15" s="4044" t="s">
        <v>13</v>
      </c>
      <c r="W15" s="3406">
        <f t="shared" si="2"/>
        <v>100</v>
      </c>
      <c r="X15" s="963"/>
      <c r="Y15" s="4968"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67"/>
      <c r="Q16" s="1618"/>
      <c r="R16" s="4044"/>
      <c r="S16" s="3406"/>
      <c r="T16" s="4044"/>
      <c r="U16" s="3406"/>
      <c r="V16" s="4044"/>
      <c r="W16" s="3406"/>
      <c r="X16" s="963"/>
      <c r="Y16" s="4969"/>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67"/>
      <c r="Q17" s="1618" t="str">
        <f>B17</f>
        <v>交通便捷度</v>
      </c>
      <c r="R17" s="4044" t="s">
        <v>13</v>
      </c>
      <c r="S17" s="3406">
        <f>F17</f>
        <v>100</v>
      </c>
      <c r="T17" s="4044" t="s">
        <v>13</v>
      </c>
      <c r="U17" s="3406">
        <f>H17</f>
        <v>100</v>
      </c>
      <c r="V17" s="4044" t="s">
        <v>13</v>
      </c>
      <c r="W17" s="3406">
        <f>J17</f>
        <v>100</v>
      </c>
      <c r="X17" s="963"/>
      <c r="Y17" s="4969"/>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67"/>
      <c r="Q18" s="1618"/>
      <c r="R18" s="4044"/>
      <c r="S18" s="3406"/>
      <c r="T18" s="4044"/>
      <c r="U18" s="3406"/>
      <c r="V18" s="4044"/>
      <c r="W18" s="3406"/>
      <c r="X18" s="963"/>
      <c r="Y18" s="4969"/>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67"/>
      <c r="Q19" s="1618" t="str">
        <f>B19</f>
        <v>公共配套设施</v>
      </c>
      <c r="R19" s="4044" t="s">
        <v>13</v>
      </c>
      <c r="S19" s="3406">
        <f>F19</f>
        <v>100</v>
      </c>
      <c r="T19" s="4044" t="s">
        <v>13</v>
      </c>
      <c r="U19" s="3406">
        <f>H19</f>
        <v>100</v>
      </c>
      <c r="V19" s="4044" t="s">
        <v>13</v>
      </c>
      <c r="W19" s="3406">
        <f>J19</f>
        <v>100</v>
      </c>
      <c r="X19" s="963"/>
      <c r="Y19" s="4969"/>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67"/>
      <c r="Q20" s="1618"/>
      <c r="R20" s="4044"/>
      <c r="S20" s="3406"/>
      <c r="T20" s="4044"/>
      <c r="U20" s="3406"/>
      <c r="V20" s="4044"/>
      <c r="W20" s="3406"/>
      <c r="X20" s="963"/>
      <c r="Y20" s="4969"/>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67"/>
      <c r="Q21" s="1618" t="str">
        <f>B21</f>
        <v>基础设施水平</v>
      </c>
      <c r="R21" s="4044" t="s">
        <v>13</v>
      </c>
      <c r="S21" s="3406">
        <f>F21</f>
        <v>100</v>
      </c>
      <c r="T21" s="4044" t="s">
        <v>13</v>
      </c>
      <c r="U21" s="3406">
        <f>H21</f>
        <v>100</v>
      </c>
      <c r="V21" s="4044" t="s">
        <v>13</v>
      </c>
      <c r="W21" s="3406">
        <f>J21</f>
        <v>100</v>
      </c>
      <c r="X21" s="963"/>
      <c r="Y21" s="4969"/>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67"/>
      <c r="Q22" s="1618"/>
      <c r="R22" s="4044"/>
      <c r="S22" s="3406"/>
      <c r="T22" s="4044"/>
      <c r="U22" s="3406"/>
      <c r="V22" s="4044"/>
      <c r="W22" s="3406"/>
      <c r="X22" s="963"/>
      <c r="Y22" s="4969"/>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67"/>
      <c r="Q23" s="1618" t="str">
        <f>B23</f>
        <v>自然及人文环境</v>
      </c>
      <c r="R23" s="4044" t="s">
        <v>13</v>
      </c>
      <c r="S23" s="3406">
        <f>F23</f>
        <v>100</v>
      </c>
      <c r="T23" s="4044" t="s">
        <v>13</v>
      </c>
      <c r="U23" s="3406">
        <f>H23</f>
        <v>100</v>
      </c>
      <c r="V23" s="4044" t="s">
        <v>13</v>
      </c>
      <c r="W23" s="3406">
        <f>J23</f>
        <v>100</v>
      </c>
      <c r="X23" s="963"/>
      <c r="Y23" s="4969"/>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67"/>
      <c r="Q24" s="1618"/>
      <c r="R24" s="4044"/>
      <c r="S24" s="3406"/>
      <c r="T24" s="4044"/>
      <c r="U24" s="3406"/>
      <c r="V24" s="4044"/>
      <c r="W24" s="3406"/>
      <c r="X24" s="963"/>
      <c r="Y24" s="4969"/>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67"/>
      <c r="Q25" s="1618" t="str">
        <f t="shared" ref="Q25:Q46" si="11">B25</f>
        <v>临街状况</v>
      </c>
      <c r="R25" s="4044" t="s">
        <v>13</v>
      </c>
      <c r="S25" s="3406">
        <f>F25</f>
        <v>100</v>
      </c>
      <c r="T25" s="4044" t="s">
        <v>13</v>
      </c>
      <c r="U25" s="3406">
        <f>H25</f>
        <v>100</v>
      </c>
      <c r="V25" s="4044" t="s">
        <v>13</v>
      </c>
      <c r="W25" s="3406">
        <f>J25</f>
        <v>100</v>
      </c>
      <c r="X25" s="963"/>
      <c r="Y25" s="4969"/>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67"/>
      <c r="Q26" s="1618" t="str">
        <f t="shared" si="11"/>
        <v>平面位置/可视性</v>
      </c>
      <c r="R26" s="4044" t="s">
        <v>13</v>
      </c>
      <c r="S26" s="3406">
        <f>F26</f>
        <v>100</v>
      </c>
      <c r="T26" s="4044" t="s">
        <v>13</v>
      </c>
      <c r="U26" s="3406">
        <f>H26</f>
        <v>100</v>
      </c>
      <c r="V26" s="4044" t="s">
        <v>13</v>
      </c>
      <c r="W26" s="3406">
        <f>J26</f>
        <v>100</v>
      </c>
      <c r="X26" s="963"/>
      <c r="Y26" s="4969"/>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67"/>
      <c r="Q27" s="3026" t="str">
        <f t="shared" si="11"/>
        <v>人流量</v>
      </c>
      <c r="R27" s="3923" t="s">
        <v>13</v>
      </c>
      <c r="S27" s="3405">
        <f>F27</f>
        <v>100</v>
      </c>
      <c r="T27" s="3923" t="s">
        <v>13</v>
      </c>
      <c r="U27" s="3405">
        <f>H27</f>
        <v>100</v>
      </c>
      <c r="V27" s="3923" t="s">
        <v>13</v>
      </c>
      <c r="W27" s="3405">
        <f>J27</f>
        <v>100</v>
      </c>
      <c r="X27" s="504"/>
      <c r="Y27" s="4969"/>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67"/>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69"/>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67"/>
      <c r="Q29" s="1618">
        <f t="shared" si="11"/>
        <v>111</v>
      </c>
      <c r="R29" s="4044" t="s">
        <v>13</v>
      </c>
      <c r="S29" s="3406">
        <f t="shared" si="12"/>
        <v>100</v>
      </c>
      <c r="T29" s="4044" t="s">
        <v>13</v>
      </c>
      <c r="U29" s="3406">
        <f t="shared" si="13"/>
        <v>100</v>
      </c>
      <c r="V29" s="4044" t="s">
        <v>13</v>
      </c>
      <c r="W29" s="3406">
        <f t="shared" si="14"/>
        <v>100</v>
      </c>
      <c r="X29" s="963"/>
      <c r="Y29" s="4969"/>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67"/>
      <c r="Q30" s="1618">
        <f t="shared" si="11"/>
        <v>111</v>
      </c>
      <c r="R30" s="4044" t="s">
        <v>13</v>
      </c>
      <c r="S30" s="3406">
        <f t="shared" si="12"/>
        <v>100</v>
      </c>
      <c r="T30" s="4044" t="s">
        <v>13</v>
      </c>
      <c r="U30" s="3406">
        <f t="shared" si="13"/>
        <v>100</v>
      </c>
      <c r="V30" s="4044" t="s">
        <v>13</v>
      </c>
      <c r="W30" s="3406">
        <f t="shared" si="14"/>
        <v>100</v>
      </c>
      <c r="X30" s="963"/>
      <c r="Y30" s="4969"/>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67"/>
      <c r="Q31" s="1618">
        <f t="shared" si="11"/>
        <v>111</v>
      </c>
      <c r="R31" s="4044" t="s">
        <v>13</v>
      </c>
      <c r="S31" s="3406">
        <f t="shared" si="12"/>
        <v>100</v>
      </c>
      <c r="T31" s="4044" t="s">
        <v>13</v>
      </c>
      <c r="U31" s="3406">
        <f t="shared" si="13"/>
        <v>100</v>
      </c>
      <c r="V31" s="4044" t="s">
        <v>13</v>
      </c>
      <c r="W31" s="3406">
        <f t="shared" si="14"/>
        <v>100</v>
      </c>
      <c r="X31" s="963"/>
      <c r="Y31" s="4969"/>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70" t="s">
        <v>1602</v>
      </c>
      <c r="Q32" s="1618" t="str">
        <f t="shared" si="11"/>
        <v>商业类型</v>
      </c>
      <c r="R32" s="4044" t="s">
        <v>13</v>
      </c>
      <c r="S32" s="3406">
        <f t="shared" si="12"/>
        <v>100</v>
      </c>
      <c r="T32" s="4044" t="s">
        <v>13</v>
      </c>
      <c r="U32" s="3406">
        <f t="shared" si="13"/>
        <v>100</v>
      </c>
      <c r="V32" s="4044" t="s">
        <v>13</v>
      </c>
      <c r="W32" s="3406">
        <f t="shared" si="14"/>
        <v>100</v>
      </c>
      <c r="X32" s="963"/>
      <c r="Y32" s="4973"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71"/>
      <c r="Q33" s="3106" t="str">
        <f t="shared" si="11"/>
        <v>项目建筑规模</v>
      </c>
      <c r="R33" s="4045" t="s">
        <v>13</v>
      </c>
      <c r="S33" s="3407" t="e">
        <f t="shared" si="12"/>
        <v>#N/A</v>
      </c>
      <c r="T33" s="4045" t="s">
        <v>13</v>
      </c>
      <c r="U33" s="3407" t="e">
        <f t="shared" si="13"/>
        <v>#N/A</v>
      </c>
      <c r="V33" s="4045" t="s">
        <v>13</v>
      </c>
      <c r="W33" s="3407" t="e">
        <f t="shared" si="14"/>
        <v>#N/A</v>
      </c>
      <c r="X33" s="507"/>
      <c r="Y33" s="4973"/>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71"/>
      <c r="Q34" s="1618" t="str">
        <f t="shared" si="11"/>
        <v>建筑结构</v>
      </c>
      <c r="R34" s="4044" t="s">
        <v>13</v>
      </c>
      <c r="S34" s="3406">
        <f t="shared" si="12"/>
        <v>100</v>
      </c>
      <c r="T34" s="4044" t="s">
        <v>13</v>
      </c>
      <c r="U34" s="3406">
        <f t="shared" si="13"/>
        <v>100</v>
      </c>
      <c r="V34" s="4044" t="s">
        <v>13</v>
      </c>
      <c r="W34" s="3406">
        <f t="shared" si="14"/>
        <v>100</v>
      </c>
      <c r="X34" s="963"/>
      <c r="Y34" s="4973"/>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71"/>
      <c r="Q35" s="1618" t="str">
        <f t="shared" si="11"/>
        <v>公共部分装修</v>
      </c>
      <c r="R35" s="4044" t="s">
        <v>13</v>
      </c>
      <c r="S35" s="3406">
        <f t="shared" si="12"/>
        <v>100</v>
      </c>
      <c r="T35" s="4044" t="s">
        <v>13</v>
      </c>
      <c r="U35" s="3406">
        <f t="shared" si="13"/>
        <v>100</v>
      </c>
      <c r="V35" s="4044" t="s">
        <v>13</v>
      </c>
      <c r="W35" s="3406">
        <f t="shared" si="14"/>
        <v>100</v>
      </c>
      <c r="X35" s="963"/>
      <c r="Y35" s="4973"/>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71"/>
      <c r="Q36" s="1618" t="str">
        <f t="shared" si="11"/>
        <v>成新度</v>
      </c>
      <c r="R36" s="4044" t="s">
        <v>13</v>
      </c>
      <c r="S36" s="3406" t="e">
        <f t="shared" si="12"/>
        <v>#N/A</v>
      </c>
      <c r="T36" s="4044" t="s">
        <v>13</v>
      </c>
      <c r="U36" s="3406" t="e">
        <f t="shared" si="13"/>
        <v>#N/A</v>
      </c>
      <c r="V36" s="4044" t="s">
        <v>13</v>
      </c>
      <c r="W36" s="3406" t="e">
        <f t="shared" si="14"/>
        <v>#N/A</v>
      </c>
      <c r="X36" s="963"/>
      <c r="Y36" s="4973"/>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71"/>
      <c r="Q37" s="3026" t="str">
        <f t="shared" si="11"/>
        <v>市政基础设施</v>
      </c>
      <c r="R37" s="3923" t="s">
        <v>13</v>
      </c>
      <c r="S37" s="3405">
        <f t="shared" si="12"/>
        <v>100</v>
      </c>
      <c r="T37" s="3923" t="s">
        <v>13</v>
      </c>
      <c r="U37" s="3405">
        <f t="shared" si="13"/>
        <v>100</v>
      </c>
      <c r="V37" s="3923" t="s">
        <v>13</v>
      </c>
      <c r="W37" s="3405">
        <f t="shared" si="14"/>
        <v>100</v>
      </c>
      <c r="X37" s="504"/>
      <c r="Y37" s="4973"/>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71" t="s">
        <v>1602</v>
      </c>
      <c r="Q38" s="1618" t="str">
        <f t="shared" si="11"/>
        <v>业态</v>
      </c>
      <c r="R38" s="4044" t="s">
        <v>13</v>
      </c>
      <c r="S38" s="3406">
        <f t="shared" si="12"/>
        <v>100</v>
      </c>
      <c r="T38" s="4044" t="s">
        <v>13</v>
      </c>
      <c r="U38" s="3406">
        <f t="shared" si="13"/>
        <v>100</v>
      </c>
      <c r="V38" s="4044" t="s">
        <v>13</v>
      </c>
      <c r="W38" s="3406">
        <f t="shared" si="14"/>
        <v>100</v>
      </c>
      <c r="X38" s="963"/>
      <c r="Y38" s="4973"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71"/>
      <c r="Q39" s="1618" t="str">
        <f t="shared" si="11"/>
        <v>层高</v>
      </c>
      <c r="R39" s="4044" t="s">
        <v>13</v>
      </c>
      <c r="S39" s="3406">
        <f t="shared" si="12"/>
        <v>100</v>
      </c>
      <c r="T39" s="4044" t="s">
        <v>13</v>
      </c>
      <c r="U39" s="3406">
        <f t="shared" si="13"/>
        <v>100</v>
      </c>
      <c r="V39" s="4044" t="s">
        <v>13</v>
      </c>
      <c r="W39" s="3406">
        <f t="shared" si="14"/>
        <v>100</v>
      </c>
      <c r="X39" s="963"/>
      <c r="Y39" s="4973"/>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71"/>
      <c r="Q40" s="1618" t="str">
        <f t="shared" si="11"/>
        <v>单套建筑面积</v>
      </c>
      <c r="R40" s="4044" t="s">
        <v>13</v>
      </c>
      <c r="S40" s="3406">
        <f t="shared" si="12"/>
        <v>100</v>
      </c>
      <c r="T40" s="4044" t="s">
        <v>13</v>
      </c>
      <c r="U40" s="3406">
        <f t="shared" si="13"/>
        <v>100</v>
      </c>
      <c r="V40" s="4044" t="s">
        <v>13</v>
      </c>
      <c r="W40" s="3406">
        <f t="shared" si="14"/>
        <v>100</v>
      </c>
      <c r="X40" s="963"/>
      <c r="Y40" s="4973"/>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71"/>
      <c r="Q41" s="3106" t="str">
        <f t="shared" si="11"/>
        <v>进深比</v>
      </c>
      <c r="R41" s="4045" t="s">
        <v>13</v>
      </c>
      <c r="S41" s="3407">
        <f t="shared" si="12"/>
        <v>100</v>
      </c>
      <c r="T41" s="4045" t="s">
        <v>13</v>
      </c>
      <c r="U41" s="3407">
        <f t="shared" si="13"/>
        <v>100</v>
      </c>
      <c r="V41" s="4045" t="s">
        <v>13</v>
      </c>
      <c r="W41" s="3407">
        <f t="shared" si="14"/>
        <v>100</v>
      </c>
      <c r="X41" s="507"/>
      <c r="Y41" s="4973"/>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71"/>
      <c r="Q42" s="1618" t="str">
        <f t="shared" si="11"/>
        <v>内部装修</v>
      </c>
      <c r="R42" s="4044" t="s">
        <v>13</v>
      </c>
      <c r="S42" s="3406">
        <f t="shared" si="12"/>
        <v>100</v>
      </c>
      <c r="T42" s="4044" t="s">
        <v>13</v>
      </c>
      <c r="U42" s="3406">
        <f t="shared" si="13"/>
        <v>100</v>
      </c>
      <c r="V42" s="4044" t="s">
        <v>13</v>
      </c>
      <c r="W42" s="3406">
        <f t="shared" si="14"/>
        <v>100</v>
      </c>
      <c r="X42" s="963"/>
      <c r="Y42" s="4973"/>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71"/>
      <c r="Q43" s="1618" t="str">
        <f t="shared" si="11"/>
        <v>内部装修维护情况</v>
      </c>
      <c r="R43" s="4044" t="s">
        <v>13</v>
      </c>
      <c r="S43" s="3406">
        <f t="shared" si="12"/>
        <v>100</v>
      </c>
      <c r="T43" s="4044" t="s">
        <v>13</v>
      </c>
      <c r="U43" s="3406">
        <f t="shared" si="13"/>
        <v>100</v>
      </c>
      <c r="V43" s="4044" t="s">
        <v>13</v>
      </c>
      <c r="W43" s="3406">
        <f t="shared" si="14"/>
        <v>100</v>
      </c>
      <c r="X43" s="963"/>
      <c r="Y43" s="4973"/>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71"/>
      <c r="Q44" s="3026">
        <f t="shared" si="11"/>
        <v>111</v>
      </c>
      <c r="R44" s="3923" t="s">
        <v>13</v>
      </c>
      <c r="S44" s="3405">
        <f t="shared" si="12"/>
        <v>100</v>
      </c>
      <c r="T44" s="3923" t="s">
        <v>13</v>
      </c>
      <c r="U44" s="3405">
        <f t="shared" si="13"/>
        <v>100</v>
      </c>
      <c r="V44" s="3923" t="s">
        <v>13</v>
      </c>
      <c r="W44" s="3405">
        <f t="shared" si="14"/>
        <v>100</v>
      </c>
      <c r="X44" s="504"/>
      <c r="Y44" s="4973"/>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71"/>
      <c r="Q45" s="1618">
        <f t="shared" si="11"/>
        <v>111</v>
      </c>
      <c r="R45" s="4044" t="s">
        <v>13</v>
      </c>
      <c r="S45" s="3406">
        <f t="shared" si="12"/>
        <v>100</v>
      </c>
      <c r="T45" s="4044" t="s">
        <v>13</v>
      </c>
      <c r="U45" s="3406">
        <f t="shared" si="13"/>
        <v>100</v>
      </c>
      <c r="V45" s="4044" t="s">
        <v>13</v>
      </c>
      <c r="W45" s="3406">
        <f t="shared" si="14"/>
        <v>100</v>
      </c>
      <c r="X45" s="963"/>
      <c r="Y45" s="4973"/>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72"/>
      <c r="Q46" s="1618">
        <f t="shared" si="11"/>
        <v>111</v>
      </c>
      <c r="R46" s="4044" t="s">
        <v>13</v>
      </c>
      <c r="S46" s="3406">
        <f t="shared" si="12"/>
        <v>100</v>
      </c>
      <c r="T46" s="4044" t="s">
        <v>13</v>
      </c>
      <c r="U46" s="3406">
        <f t="shared" si="13"/>
        <v>100</v>
      </c>
      <c r="V46" s="4044" t="s">
        <v>13</v>
      </c>
      <c r="W46" s="3406">
        <f t="shared" si="14"/>
        <v>100</v>
      </c>
      <c r="X46" s="963"/>
      <c r="Y46" s="4974"/>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75" t="str">
        <f>A47</f>
        <v>成交单价（元/平方米）</v>
      </c>
      <c r="Q47" s="4975"/>
      <c r="R47" s="4976">
        <f>E47</f>
        <v>0</v>
      </c>
      <c r="S47" s="4976"/>
      <c r="T47" s="4976">
        <f>G47</f>
        <v>0</v>
      </c>
      <c r="U47" s="4976"/>
      <c r="V47" s="4976">
        <f>I47</f>
        <v>0</v>
      </c>
      <c r="W47" s="4976"/>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75" t="str">
        <f>A48</f>
        <v>比较价值（元/平方米）</v>
      </c>
      <c r="Q48" s="4975"/>
      <c r="R48" s="4976" t="e">
        <f>IF(F1="售价",ROUND(PRODUCT(R47,AA7:AA46),0),ROUND(PRODUCT(R47,AA7:AA46),1))</f>
        <v>#DIV/0!</v>
      </c>
      <c r="S48" s="4976"/>
      <c r="T48" s="4976" t="e">
        <f>IF(F1="售价",ROUND(PRODUCT(T47,AB7:AB46),0),ROUND(PRODUCT(T47,AB7:AB46),1))</f>
        <v>#DIV/0!</v>
      </c>
      <c r="U48" s="4976"/>
      <c r="V48" s="4976" t="e">
        <f>IF(F1="售价",ROUND(PRODUCT(V47,AC7:AC46),0),ROUND(PRODUCT(V47,AC7:AC46),1))</f>
        <v>#DIV/0!</v>
      </c>
      <c r="W48" s="4976"/>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77" t="str">
        <f>A49</f>
        <v>估价对象XX用房的比较价值（楼面单价，元/平方米）</v>
      </c>
      <c r="Q49" s="4978"/>
      <c r="R49" s="4979" t="e">
        <f>IF(F1="售价",ROUND(IF(D48="简单平均",AVERAGE(R48:V48),R48*F48+T48*H48+V48*J48),0),ROUND(IF(D48="简单平均",AVERAGE(R48:V48),R48*F48+T48*H48+V48*J48),1))</f>
        <v>#DIV/0!</v>
      </c>
      <c r="S49" s="4979"/>
      <c r="T49" s="4979"/>
      <c r="U49" s="4979"/>
      <c r="V49" s="4979"/>
      <c r="W49" s="497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96" t="s">
        <v>1676</v>
      </c>
      <c r="D4" s="4997"/>
      <c r="E4" s="4998" t="s">
        <v>1677</v>
      </c>
      <c r="F4" s="4999"/>
      <c r="G4" s="4996" t="s">
        <v>1678</v>
      </c>
      <c r="H4" s="4997"/>
      <c r="I4" s="4996" t="s">
        <v>1679</v>
      </c>
      <c r="J4" s="4997"/>
      <c r="K4" s="406" t="s">
        <v>1680</v>
      </c>
      <c r="L4" s="2146"/>
      <c r="M4" s="2147"/>
      <c r="N4" s="2147"/>
      <c r="O4" s="2147"/>
      <c r="P4" s="5000" t="s">
        <v>1681</v>
      </c>
      <c r="Q4" s="5001"/>
      <c r="R4" s="4983" t="s">
        <v>1677</v>
      </c>
      <c r="S4" s="4984"/>
      <c r="T4" s="4983" t="s">
        <v>1678</v>
      </c>
      <c r="U4" s="4984"/>
      <c r="V4" s="5004" t="s">
        <v>1679</v>
      </c>
      <c r="W4" s="5004"/>
      <c r="X4" s="1517"/>
      <c r="Y4" s="5006" t="s">
        <v>1681</v>
      </c>
      <c r="Z4" s="5007"/>
      <c r="AA4" s="4982" t="s">
        <v>1677</v>
      </c>
      <c r="AB4" s="4982" t="s">
        <v>1678</v>
      </c>
      <c r="AC4" s="4993" t="s">
        <v>1679</v>
      </c>
    </row>
    <row r="5" spans="1:29">
      <c r="A5" s="244"/>
      <c r="B5" s="245"/>
      <c r="C5" s="4987" t="s">
        <v>1579</v>
      </c>
      <c r="D5" s="4988"/>
      <c r="E5" s="4985" t="s">
        <v>1580</v>
      </c>
      <c r="F5" s="4986"/>
      <c r="G5" s="4987" t="s">
        <v>1581</v>
      </c>
      <c r="H5" s="4988"/>
      <c r="I5" s="4987" t="s">
        <v>1582</v>
      </c>
      <c r="J5" s="4988"/>
      <c r="K5" s="406"/>
      <c r="L5" s="2146"/>
      <c r="M5" s="2147"/>
      <c r="N5" s="2147"/>
      <c r="O5" s="2147"/>
      <c r="P5" s="5002"/>
      <c r="Q5" s="4934"/>
      <c r="R5" s="4939"/>
      <c r="S5" s="4940"/>
      <c r="T5" s="4939"/>
      <c r="U5" s="4940"/>
      <c r="V5" s="4952"/>
      <c r="W5" s="4952"/>
      <c r="X5" s="963"/>
      <c r="Y5" s="4955"/>
      <c r="Z5" s="4956"/>
      <c r="AA5" s="4925"/>
      <c r="AB5" s="4925"/>
      <c r="AC5" s="4994"/>
    </row>
    <row r="6" spans="1:29" ht="15" thickBot="1">
      <c r="A6" s="246"/>
      <c r="B6" s="247"/>
      <c r="C6" s="4989" t="s">
        <v>1583</v>
      </c>
      <c r="D6" s="4990"/>
      <c r="E6" s="4991" t="s">
        <v>1583</v>
      </c>
      <c r="F6" s="4992"/>
      <c r="G6" s="4989" t="s">
        <v>1583</v>
      </c>
      <c r="H6" s="4990"/>
      <c r="I6" s="4989" t="s">
        <v>1583</v>
      </c>
      <c r="J6" s="4990"/>
      <c r="K6" s="406" t="s">
        <v>1584</v>
      </c>
      <c r="L6" s="2146"/>
      <c r="M6" s="2147"/>
      <c r="N6" s="2147"/>
      <c r="O6" s="2147"/>
      <c r="P6" s="5003"/>
      <c r="Q6" s="4936"/>
      <c r="R6" s="4939"/>
      <c r="S6" s="4940"/>
      <c r="T6" s="4950"/>
      <c r="U6" s="4951"/>
      <c r="V6" s="4952"/>
      <c r="W6" s="4952"/>
      <c r="X6" s="963"/>
      <c r="Y6" s="4957"/>
      <c r="Z6" s="4958"/>
      <c r="AA6" s="4926"/>
      <c r="AB6" s="4926"/>
      <c r="AC6" s="4995"/>
    </row>
    <row r="7" spans="1:29" s="49" customFormat="1" ht="15" thickBot="1">
      <c r="A7" s="248" t="s">
        <v>1585</v>
      </c>
      <c r="B7" s="249"/>
      <c r="C7" s="250">
        <f>'数据-取费表'!B2</f>
        <v>46087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5005" t="s">
        <v>1586</v>
      </c>
      <c r="Q7" s="4960"/>
      <c r="R7" s="3923" t="s">
        <v>13</v>
      </c>
      <c r="S7" s="3405">
        <f t="shared" ref="S7:S15" si="0">F7</f>
        <v>0</v>
      </c>
      <c r="T7" s="3923" t="s">
        <v>13</v>
      </c>
      <c r="U7" s="3405">
        <f t="shared" ref="U7:U15" si="1">H7</f>
        <v>0</v>
      </c>
      <c r="V7" s="3923" t="s">
        <v>13</v>
      </c>
      <c r="W7" s="3405">
        <f t="shared" ref="W7:W15" si="2">J7</f>
        <v>0</v>
      </c>
      <c r="X7" s="504"/>
      <c r="Y7" s="4962" t="s">
        <v>1586</v>
      </c>
      <c r="Z7" s="4963"/>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5005" t="s">
        <v>1589</v>
      </c>
      <c r="Q8" s="4961"/>
      <c r="R8" s="3923" t="s">
        <v>13</v>
      </c>
      <c r="S8" s="3405">
        <f t="shared" si="0"/>
        <v>100</v>
      </c>
      <c r="T8" s="3923" t="s">
        <v>13</v>
      </c>
      <c r="U8" s="3405">
        <f t="shared" si="1"/>
        <v>100</v>
      </c>
      <c r="V8" s="3923" t="s">
        <v>13</v>
      </c>
      <c r="W8" s="3405">
        <f t="shared" si="2"/>
        <v>100</v>
      </c>
      <c r="X8" s="504"/>
      <c r="Y8" s="4962" t="s">
        <v>1589</v>
      </c>
      <c r="Z8" s="4963"/>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64" t="s">
        <v>1592</v>
      </c>
      <c r="Q9" s="3274" t="str">
        <f t="shared" ref="Q9:Q15" si="6">B9</f>
        <v>用途</v>
      </c>
      <c r="R9" s="3923" t="s">
        <v>13</v>
      </c>
      <c r="S9" s="3405">
        <f t="shared" si="0"/>
        <v>100</v>
      </c>
      <c r="T9" s="3923" t="s">
        <v>13</v>
      </c>
      <c r="U9" s="3405">
        <f t="shared" si="1"/>
        <v>100</v>
      </c>
      <c r="V9" s="3923" t="s">
        <v>13</v>
      </c>
      <c r="W9" s="3405">
        <f t="shared" si="2"/>
        <v>100</v>
      </c>
      <c r="X9" s="504"/>
      <c r="Y9" s="4965"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64"/>
      <c r="Q10" s="3274" t="str">
        <f t="shared" si="6"/>
        <v>土地使用年限（年）</v>
      </c>
      <c r="R10" s="3923" t="s">
        <v>13</v>
      </c>
      <c r="S10" s="3405">
        <f t="shared" si="0"/>
        <v>100</v>
      </c>
      <c r="T10" s="3923" t="s">
        <v>13</v>
      </c>
      <c r="U10" s="3405">
        <f t="shared" si="1"/>
        <v>100</v>
      </c>
      <c r="V10" s="3923" t="s">
        <v>13</v>
      </c>
      <c r="W10" s="3405">
        <f t="shared" si="2"/>
        <v>100</v>
      </c>
      <c r="X10" s="504"/>
      <c r="Y10" s="4965"/>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64"/>
      <c r="Q11" s="3274" t="str">
        <f t="shared" si="6"/>
        <v>容积率</v>
      </c>
      <c r="R11" s="3923" t="s">
        <v>13</v>
      </c>
      <c r="S11" s="3405">
        <f t="shared" si="0"/>
        <v>100</v>
      </c>
      <c r="T11" s="3923" t="s">
        <v>13</v>
      </c>
      <c r="U11" s="3405">
        <f t="shared" si="1"/>
        <v>100</v>
      </c>
      <c r="V11" s="3923" t="s">
        <v>13</v>
      </c>
      <c r="W11" s="3405">
        <f t="shared" si="2"/>
        <v>100</v>
      </c>
      <c r="X11" s="504"/>
      <c r="Y11" s="4965"/>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64"/>
      <c r="Q12" s="3274">
        <f t="shared" si="6"/>
        <v>111</v>
      </c>
      <c r="R12" s="3923" t="s">
        <v>13</v>
      </c>
      <c r="S12" s="3405">
        <f t="shared" si="0"/>
        <v>100</v>
      </c>
      <c r="T12" s="3923" t="s">
        <v>13</v>
      </c>
      <c r="U12" s="3405">
        <f t="shared" si="1"/>
        <v>100</v>
      </c>
      <c r="V12" s="3923" t="s">
        <v>13</v>
      </c>
      <c r="W12" s="3405">
        <f t="shared" si="2"/>
        <v>100</v>
      </c>
      <c r="X12" s="504"/>
      <c r="Y12" s="4965"/>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64"/>
      <c r="Q13" s="3274">
        <f t="shared" si="6"/>
        <v>111</v>
      </c>
      <c r="R13" s="3923" t="s">
        <v>13</v>
      </c>
      <c r="S13" s="3405">
        <f t="shared" si="0"/>
        <v>100</v>
      </c>
      <c r="T13" s="3923" t="s">
        <v>13</v>
      </c>
      <c r="U13" s="3405">
        <f t="shared" si="1"/>
        <v>100</v>
      </c>
      <c r="V13" s="3923" t="s">
        <v>13</v>
      </c>
      <c r="W13" s="3405">
        <f t="shared" si="2"/>
        <v>100</v>
      </c>
      <c r="X13" s="504"/>
      <c r="Y13" s="4965"/>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64"/>
      <c r="Q14" s="3274">
        <f t="shared" si="6"/>
        <v>111</v>
      </c>
      <c r="R14" s="3923" t="s">
        <v>13</v>
      </c>
      <c r="S14" s="3405">
        <f t="shared" si="0"/>
        <v>100</v>
      </c>
      <c r="T14" s="3923" t="s">
        <v>13</v>
      </c>
      <c r="U14" s="3405">
        <f t="shared" si="1"/>
        <v>100</v>
      </c>
      <c r="V14" s="3923" t="s">
        <v>13</v>
      </c>
      <c r="W14" s="3405">
        <f t="shared" si="2"/>
        <v>100</v>
      </c>
      <c r="X14" s="504"/>
      <c r="Y14" s="4965"/>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66" t="s">
        <v>1597</v>
      </c>
      <c r="Q15" s="3277" t="str">
        <f t="shared" si="6"/>
        <v>办公集聚程度</v>
      </c>
      <c r="R15" s="4044" t="s">
        <v>13</v>
      </c>
      <c r="S15" s="3406">
        <f t="shared" si="0"/>
        <v>100</v>
      </c>
      <c r="T15" s="4044" t="s">
        <v>13</v>
      </c>
      <c r="U15" s="3406">
        <f t="shared" si="1"/>
        <v>100</v>
      </c>
      <c r="V15" s="4044" t="s">
        <v>13</v>
      </c>
      <c r="W15" s="3406">
        <f t="shared" si="2"/>
        <v>100</v>
      </c>
      <c r="X15" s="963"/>
      <c r="Y15" s="4968"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7"/>
      <c r="Q16" s="3277"/>
      <c r="R16" s="4044"/>
      <c r="S16" s="3406"/>
      <c r="T16" s="4044"/>
      <c r="U16" s="3406"/>
      <c r="V16" s="4044"/>
      <c r="W16" s="3406"/>
      <c r="X16" s="963"/>
      <c r="Y16" s="4969"/>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67"/>
      <c r="Q17" s="3277" t="str">
        <f>B17</f>
        <v>交通便捷度</v>
      </c>
      <c r="R17" s="4044" t="s">
        <v>13</v>
      </c>
      <c r="S17" s="3406">
        <f>F17</f>
        <v>100</v>
      </c>
      <c r="T17" s="4044" t="s">
        <v>13</v>
      </c>
      <c r="U17" s="3406">
        <f>H17</f>
        <v>100</v>
      </c>
      <c r="V17" s="4044" t="s">
        <v>13</v>
      </c>
      <c r="W17" s="3406">
        <f>J17</f>
        <v>100</v>
      </c>
      <c r="X17" s="963"/>
      <c r="Y17" s="4969"/>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7"/>
      <c r="Q18" s="3277"/>
      <c r="R18" s="4044"/>
      <c r="S18" s="3406"/>
      <c r="T18" s="4044"/>
      <c r="U18" s="3406"/>
      <c r="V18" s="4044"/>
      <c r="W18" s="3406"/>
      <c r="X18" s="963"/>
      <c r="Y18" s="4969"/>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67"/>
      <c r="Q19" s="3277" t="str">
        <f>B19</f>
        <v>公共配套设施</v>
      </c>
      <c r="R19" s="4044" t="s">
        <v>13</v>
      </c>
      <c r="S19" s="3406">
        <f>F19</f>
        <v>100</v>
      </c>
      <c r="T19" s="4044" t="s">
        <v>13</v>
      </c>
      <c r="U19" s="3406">
        <f>H19</f>
        <v>100</v>
      </c>
      <c r="V19" s="4044" t="s">
        <v>13</v>
      </c>
      <c r="W19" s="3406">
        <f>J19</f>
        <v>100</v>
      </c>
      <c r="X19" s="963"/>
      <c r="Y19" s="4969"/>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7"/>
      <c r="Q20" s="3277"/>
      <c r="R20" s="4044"/>
      <c r="S20" s="3406"/>
      <c r="T20" s="4044"/>
      <c r="U20" s="3406"/>
      <c r="V20" s="4044"/>
      <c r="W20" s="3406"/>
      <c r="X20" s="963"/>
      <c r="Y20" s="4969"/>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67"/>
      <c r="Q21" s="3277" t="str">
        <f>B21</f>
        <v>基础设施水平</v>
      </c>
      <c r="R21" s="4044" t="s">
        <v>13</v>
      </c>
      <c r="S21" s="3406">
        <f>F21</f>
        <v>100</v>
      </c>
      <c r="T21" s="4044" t="s">
        <v>13</v>
      </c>
      <c r="U21" s="3406">
        <f>H21</f>
        <v>100</v>
      </c>
      <c r="V21" s="4044" t="s">
        <v>13</v>
      </c>
      <c r="W21" s="3406">
        <f>J21</f>
        <v>100</v>
      </c>
      <c r="X21" s="963"/>
      <c r="Y21" s="4969"/>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7"/>
      <c r="Q22" s="3277"/>
      <c r="R22" s="4044"/>
      <c r="S22" s="3406"/>
      <c r="T22" s="4044"/>
      <c r="U22" s="3406"/>
      <c r="V22" s="4044"/>
      <c r="W22" s="3406"/>
      <c r="X22" s="963"/>
      <c r="Y22" s="4969"/>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7"/>
      <c r="Q23" s="3277" t="str">
        <f>B23</f>
        <v>环境质量</v>
      </c>
      <c r="R23" s="4044" t="s">
        <v>13</v>
      </c>
      <c r="S23" s="3406">
        <f>F23</f>
        <v>100</v>
      </c>
      <c r="T23" s="4044" t="s">
        <v>13</v>
      </c>
      <c r="U23" s="3406">
        <f>H23</f>
        <v>100</v>
      </c>
      <c r="V23" s="4044" t="s">
        <v>13</v>
      </c>
      <c r="W23" s="3406">
        <f>J23</f>
        <v>100</v>
      </c>
      <c r="X23" s="963"/>
      <c r="Y23" s="4969"/>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7"/>
      <c r="Q24" s="3277"/>
      <c r="R24" s="4044"/>
      <c r="S24" s="3406"/>
      <c r="T24" s="4044"/>
      <c r="U24" s="3406"/>
      <c r="V24" s="4044"/>
      <c r="W24" s="3406"/>
      <c r="X24" s="963"/>
      <c r="Y24" s="4969"/>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67"/>
      <c r="Q25" s="3277" t="str">
        <f>B25</f>
        <v>毗邻道路的类型与等级</v>
      </c>
      <c r="R25" s="4044" t="s">
        <v>13</v>
      </c>
      <c r="S25" s="3406">
        <f>F25</f>
        <v>100</v>
      </c>
      <c r="T25" s="4044" t="s">
        <v>13</v>
      </c>
      <c r="U25" s="3406">
        <f>H25</f>
        <v>100</v>
      </c>
      <c r="V25" s="4044" t="s">
        <v>13</v>
      </c>
      <c r="W25" s="3406">
        <f>J25</f>
        <v>100</v>
      </c>
      <c r="X25" s="963"/>
      <c r="Y25" s="4969"/>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67"/>
      <c r="Q26" s="3277"/>
      <c r="R26" s="4044"/>
      <c r="S26" s="3406"/>
      <c r="T26" s="4044"/>
      <c r="U26" s="3406"/>
      <c r="V26" s="4044"/>
      <c r="W26" s="3406"/>
      <c r="X26" s="963"/>
      <c r="Y26" s="4969"/>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67"/>
      <c r="Q27" s="3277" t="str">
        <f t="shared" ref="Q27:Q47" si="11">B27</f>
        <v>楼层</v>
      </c>
      <c r="R27" s="4044" t="s">
        <v>13</v>
      </c>
      <c r="S27" s="3406">
        <f>F27</f>
        <v>100</v>
      </c>
      <c r="T27" s="4044" t="s">
        <v>13</v>
      </c>
      <c r="U27" s="3406">
        <f>H27</f>
        <v>100</v>
      </c>
      <c r="V27" s="4044" t="s">
        <v>13</v>
      </c>
      <c r="W27" s="3406">
        <f>J27</f>
        <v>100</v>
      </c>
      <c r="X27" s="963"/>
      <c r="Y27" s="4969"/>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67"/>
      <c r="Q28" s="3274" t="str">
        <f t="shared" si="11"/>
        <v>朝向</v>
      </c>
      <c r="R28" s="3923" t="s">
        <v>13</v>
      </c>
      <c r="S28" s="3405">
        <f>F28</f>
        <v>100</v>
      </c>
      <c r="T28" s="3923" t="s">
        <v>13</v>
      </c>
      <c r="U28" s="3405">
        <f>H28</f>
        <v>100</v>
      </c>
      <c r="V28" s="3923" t="s">
        <v>13</v>
      </c>
      <c r="W28" s="3405">
        <f>J28</f>
        <v>100</v>
      </c>
      <c r="X28" s="504"/>
      <c r="Y28" s="4969"/>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67"/>
      <c r="Q29" s="3277">
        <f t="shared" si="11"/>
        <v>111</v>
      </c>
      <c r="R29" s="4044" t="s">
        <v>13</v>
      </c>
      <c r="S29" s="3406">
        <f t="shared" ref="S29:S47" si="12">F29</f>
        <v>100</v>
      </c>
      <c r="T29" s="4044" t="s">
        <v>13</v>
      </c>
      <c r="U29" s="3406">
        <f t="shared" ref="U29:U47" si="13">H29</f>
        <v>100</v>
      </c>
      <c r="V29" s="4044" t="s">
        <v>13</v>
      </c>
      <c r="W29" s="3406">
        <f t="shared" ref="W29:W47" si="14">J29</f>
        <v>100</v>
      </c>
      <c r="X29" s="963"/>
      <c r="Y29" s="4969"/>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67"/>
      <c r="Q30" s="3277">
        <f t="shared" si="11"/>
        <v>111</v>
      </c>
      <c r="R30" s="4044" t="s">
        <v>13</v>
      </c>
      <c r="S30" s="3406">
        <f t="shared" si="12"/>
        <v>100</v>
      </c>
      <c r="T30" s="4044" t="s">
        <v>13</v>
      </c>
      <c r="U30" s="3406">
        <f t="shared" si="13"/>
        <v>100</v>
      </c>
      <c r="V30" s="4044" t="s">
        <v>13</v>
      </c>
      <c r="W30" s="3406">
        <f t="shared" si="14"/>
        <v>100</v>
      </c>
      <c r="X30" s="963"/>
      <c r="Y30" s="4969"/>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67"/>
      <c r="Q31" s="3277">
        <f t="shared" si="11"/>
        <v>111</v>
      </c>
      <c r="R31" s="4044" t="s">
        <v>13</v>
      </c>
      <c r="S31" s="3406">
        <f t="shared" si="12"/>
        <v>100</v>
      </c>
      <c r="T31" s="4044" t="s">
        <v>13</v>
      </c>
      <c r="U31" s="3406">
        <f t="shared" si="13"/>
        <v>100</v>
      </c>
      <c r="V31" s="4044" t="s">
        <v>13</v>
      </c>
      <c r="W31" s="3406">
        <f t="shared" si="14"/>
        <v>100</v>
      </c>
      <c r="X31" s="963"/>
      <c r="Y31" s="4969"/>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67"/>
      <c r="Q32" s="3277">
        <f t="shared" si="11"/>
        <v>111</v>
      </c>
      <c r="R32" s="4044" t="s">
        <v>13</v>
      </c>
      <c r="S32" s="3406">
        <f t="shared" si="12"/>
        <v>100</v>
      </c>
      <c r="T32" s="4044" t="s">
        <v>13</v>
      </c>
      <c r="U32" s="3406">
        <f t="shared" si="13"/>
        <v>100</v>
      </c>
      <c r="V32" s="4044" t="s">
        <v>13</v>
      </c>
      <c r="W32" s="3406">
        <f t="shared" si="14"/>
        <v>100</v>
      </c>
      <c r="X32" s="963"/>
      <c r="Y32" s="4969"/>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70" t="s">
        <v>1602</v>
      </c>
      <c r="Q33" s="3277" t="str">
        <f t="shared" si="11"/>
        <v>建筑类型</v>
      </c>
      <c r="R33" s="4044" t="s">
        <v>13</v>
      </c>
      <c r="S33" s="3406">
        <f t="shared" si="12"/>
        <v>100</v>
      </c>
      <c r="T33" s="4044" t="s">
        <v>13</v>
      </c>
      <c r="U33" s="3406">
        <f t="shared" si="13"/>
        <v>100</v>
      </c>
      <c r="V33" s="4044" t="s">
        <v>13</v>
      </c>
      <c r="W33" s="3406">
        <f t="shared" si="14"/>
        <v>100</v>
      </c>
      <c r="X33" s="963"/>
      <c r="Y33" s="4973"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71"/>
      <c r="Q34" s="3106" t="str">
        <f t="shared" si="11"/>
        <v>项目建筑规模</v>
      </c>
      <c r="R34" s="4045" t="s">
        <v>13</v>
      </c>
      <c r="S34" s="3407" t="e">
        <f t="shared" si="12"/>
        <v>#N/A</v>
      </c>
      <c r="T34" s="4045" t="s">
        <v>13</v>
      </c>
      <c r="U34" s="3407" t="e">
        <f t="shared" si="13"/>
        <v>#N/A</v>
      </c>
      <c r="V34" s="4045" t="s">
        <v>13</v>
      </c>
      <c r="W34" s="3407" t="e">
        <f t="shared" si="14"/>
        <v>#N/A</v>
      </c>
      <c r="X34" s="507"/>
      <c r="Y34" s="4973"/>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71"/>
      <c r="Q35" s="3277" t="str">
        <f t="shared" si="11"/>
        <v>建筑结构</v>
      </c>
      <c r="R35" s="4044" t="s">
        <v>13</v>
      </c>
      <c r="S35" s="3406">
        <f t="shared" si="12"/>
        <v>100</v>
      </c>
      <c r="T35" s="4044" t="s">
        <v>13</v>
      </c>
      <c r="U35" s="3406">
        <f t="shared" si="13"/>
        <v>100</v>
      </c>
      <c r="V35" s="4044" t="s">
        <v>13</v>
      </c>
      <c r="W35" s="3406">
        <f t="shared" si="14"/>
        <v>100</v>
      </c>
      <c r="X35" s="963"/>
      <c r="Y35" s="4973"/>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71"/>
      <c r="Q36" s="3277" t="str">
        <f t="shared" si="11"/>
        <v>公共部分装修</v>
      </c>
      <c r="R36" s="4044" t="s">
        <v>13</v>
      </c>
      <c r="S36" s="3406">
        <f t="shared" si="12"/>
        <v>100</v>
      </c>
      <c r="T36" s="4044" t="s">
        <v>13</v>
      </c>
      <c r="U36" s="3406">
        <f t="shared" si="13"/>
        <v>100</v>
      </c>
      <c r="V36" s="4044" t="s">
        <v>13</v>
      </c>
      <c r="W36" s="3406">
        <f t="shared" si="14"/>
        <v>100</v>
      </c>
      <c r="X36" s="963"/>
      <c r="Y36" s="4973"/>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71"/>
      <c r="Q37" s="3277" t="str">
        <f t="shared" si="11"/>
        <v>成新度</v>
      </c>
      <c r="R37" s="4044" t="s">
        <v>13</v>
      </c>
      <c r="S37" s="3406" t="e">
        <f t="shared" si="12"/>
        <v>#N/A</v>
      </c>
      <c r="T37" s="4044" t="s">
        <v>13</v>
      </c>
      <c r="U37" s="3406" t="e">
        <f t="shared" si="13"/>
        <v>#N/A</v>
      </c>
      <c r="V37" s="4044" t="s">
        <v>13</v>
      </c>
      <c r="W37" s="3406" t="e">
        <f t="shared" si="14"/>
        <v>#N/A</v>
      </c>
      <c r="X37" s="963"/>
      <c r="Y37" s="4973"/>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71"/>
      <c r="Q38" s="3274" t="str">
        <f t="shared" si="11"/>
        <v>写字楼等级</v>
      </c>
      <c r="R38" s="3923" t="s">
        <v>13</v>
      </c>
      <c r="S38" s="3405">
        <f t="shared" si="12"/>
        <v>100</v>
      </c>
      <c r="T38" s="3923" t="s">
        <v>13</v>
      </c>
      <c r="U38" s="3405">
        <f t="shared" si="13"/>
        <v>100</v>
      </c>
      <c r="V38" s="3923" t="s">
        <v>13</v>
      </c>
      <c r="W38" s="3405">
        <f t="shared" si="14"/>
        <v>100</v>
      </c>
      <c r="X38" s="504"/>
      <c r="Y38" s="4973"/>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71" t="s">
        <v>1602</v>
      </c>
      <c r="Q39" s="3277" t="str">
        <f t="shared" si="11"/>
        <v>物业管理</v>
      </c>
      <c r="R39" s="4044" t="s">
        <v>13</v>
      </c>
      <c r="S39" s="3406">
        <f t="shared" si="12"/>
        <v>100</v>
      </c>
      <c r="T39" s="4044" t="s">
        <v>13</v>
      </c>
      <c r="U39" s="3406">
        <f t="shared" si="13"/>
        <v>100</v>
      </c>
      <c r="V39" s="4044" t="s">
        <v>13</v>
      </c>
      <c r="W39" s="3406">
        <f t="shared" si="14"/>
        <v>100</v>
      </c>
      <c r="X39" s="963"/>
      <c r="Y39" s="4973"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71"/>
      <c r="Q40" s="3277" t="str">
        <f t="shared" si="11"/>
        <v>市政基础设施</v>
      </c>
      <c r="R40" s="4044" t="s">
        <v>13</v>
      </c>
      <c r="S40" s="3406">
        <f t="shared" si="12"/>
        <v>100</v>
      </c>
      <c r="T40" s="4044" t="s">
        <v>13</v>
      </c>
      <c r="U40" s="3406">
        <f t="shared" si="13"/>
        <v>100</v>
      </c>
      <c r="V40" s="4044" t="s">
        <v>13</v>
      </c>
      <c r="W40" s="3406">
        <f t="shared" si="14"/>
        <v>100</v>
      </c>
      <c r="X40" s="963"/>
      <c r="Y40" s="4973"/>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71"/>
      <c r="Q41" s="3277" t="str">
        <f t="shared" si="11"/>
        <v>层高</v>
      </c>
      <c r="R41" s="4044" t="s">
        <v>13</v>
      </c>
      <c r="S41" s="3406">
        <f t="shared" si="12"/>
        <v>100</v>
      </c>
      <c r="T41" s="4044" t="s">
        <v>13</v>
      </c>
      <c r="U41" s="3406">
        <f t="shared" si="13"/>
        <v>100</v>
      </c>
      <c r="V41" s="4044" t="s">
        <v>13</v>
      </c>
      <c r="W41" s="3406">
        <f t="shared" si="14"/>
        <v>100</v>
      </c>
      <c r="X41" s="963"/>
      <c r="Y41" s="4973"/>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71"/>
      <c r="Q42" s="3106" t="str">
        <f t="shared" si="11"/>
        <v>单套建筑面积</v>
      </c>
      <c r="R42" s="4045" t="s">
        <v>13</v>
      </c>
      <c r="S42" s="3407">
        <f t="shared" si="12"/>
        <v>100</v>
      </c>
      <c r="T42" s="4045" t="s">
        <v>13</v>
      </c>
      <c r="U42" s="3407">
        <f t="shared" si="13"/>
        <v>100</v>
      </c>
      <c r="V42" s="4045" t="s">
        <v>13</v>
      </c>
      <c r="W42" s="3407">
        <f t="shared" si="14"/>
        <v>100</v>
      </c>
      <c r="X42" s="507"/>
      <c r="Y42" s="4973"/>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71"/>
      <c r="Q43" s="3277" t="str">
        <f t="shared" si="11"/>
        <v>内部装修</v>
      </c>
      <c r="R43" s="4044" t="s">
        <v>13</v>
      </c>
      <c r="S43" s="3406">
        <f t="shared" si="12"/>
        <v>100</v>
      </c>
      <c r="T43" s="4044" t="s">
        <v>13</v>
      </c>
      <c r="U43" s="3406">
        <f t="shared" si="13"/>
        <v>100</v>
      </c>
      <c r="V43" s="4044" t="s">
        <v>13</v>
      </c>
      <c r="W43" s="3406">
        <f t="shared" si="14"/>
        <v>100</v>
      </c>
      <c r="X43" s="963"/>
      <c r="Y43" s="4973"/>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71"/>
      <c r="Q44" s="3277" t="str">
        <f t="shared" si="11"/>
        <v>内部装修维护情况</v>
      </c>
      <c r="R44" s="4044" t="s">
        <v>13</v>
      </c>
      <c r="S44" s="3406">
        <f t="shared" si="12"/>
        <v>100</v>
      </c>
      <c r="T44" s="4044" t="s">
        <v>13</v>
      </c>
      <c r="U44" s="3406">
        <f t="shared" si="13"/>
        <v>100</v>
      </c>
      <c r="V44" s="4044" t="s">
        <v>13</v>
      </c>
      <c r="W44" s="3406">
        <f t="shared" si="14"/>
        <v>100</v>
      </c>
      <c r="X44" s="963"/>
      <c r="Y44" s="4973"/>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71"/>
      <c r="Q45" s="3274">
        <f t="shared" si="11"/>
        <v>111</v>
      </c>
      <c r="R45" s="3923" t="s">
        <v>13</v>
      </c>
      <c r="S45" s="3405">
        <f t="shared" si="12"/>
        <v>100</v>
      </c>
      <c r="T45" s="3923" t="s">
        <v>13</v>
      </c>
      <c r="U45" s="3405">
        <f t="shared" si="13"/>
        <v>100</v>
      </c>
      <c r="V45" s="3923" t="s">
        <v>13</v>
      </c>
      <c r="W45" s="3405">
        <f t="shared" si="14"/>
        <v>100</v>
      </c>
      <c r="X45" s="504"/>
      <c r="Y45" s="4973"/>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71"/>
      <c r="Q46" s="3277">
        <f t="shared" si="11"/>
        <v>111</v>
      </c>
      <c r="R46" s="4044" t="s">
        <v>13</v>
      </c>
      <c r="S46" s="3406">
        <f t="shared" si="12"/>
        <v>100</v>
      </c>
      <c r="T46" s="4044" t="s">
        <v>13</v>
      </c>
      <c r="U46" s="3406">
        <f t="shared" si="13"/>
        <v>100</v>
      </c>
      <c r="V46" s="4044" t="s">
        <v>13</v>
      </c>
      <c r="W46" s="3406">
        <f t="shared" si="14"/>
        <v>100</v>
      </c>
      <c r="X46" s="963"/>
      <c r="Y46" s="4973"/>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72"/>
      <c r="Q47" s="3277">
        <f t="shared" si="11"/>
        <v>111</v>
      </c>
      <c r="R47" s="4044" t="s">
        <v>13</v>
      </c>
      <c r="S47" s="3406">
        <f t="shared" si="12"/>
        <v>100</v>
      </c>
      <c r="T47" s="4044" t="s">
        <v>13</v>
      </c>
      <c r="U47" s="3406">
        <f t="shared" si="13"/>
        <v>100</v>
      </c>
      <c r="V47" s="4044" t="s">
        <v>13</v>
      </c>
      <c r="W47" s="3406">
        <f t="shared" si="14"/>
        <v>100</v>
      </c>
      <c r="X47" s="963"/>
      <c r="Y47" s="4974"/>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64" t="str">
        <f>A48</f>
        <v>成交单价（元/平方米）</v>
      </c>
      <c r="Q48" s="4975"/>
      <c r="R48" s="4976">
        <f>E48</f>
        <v>0</v>
      </c>
      <c r="S48" s="4976"/>
      <c r="T48" s="4976">
        <f>G48</f>
        <v>0</v>
      </c>
      <c r="U48" s="4976"/>
      <c r="V48" s="4976">
        <f>I48</f>
        <v>0</v>
      </c>
      <c r="W48" s="4976"/>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64" t="str">
        <f>A49</f>
        <v>比较价值（元/平方米）</v>
      </c>
      <c r="Q49" s="4975"/>
      <c r="R49" s="4976" t="e">
        <f>IF(F1="售价",ROUND(PRODUCT(R48,AA7:AA47),0),ROUND(PRODUCT(R48,AA7:AA47),1))</f>
        <v>#DIV/0!</v>
      </c>
      <c r="S49" s="4976"/>
      <c r="T49" s="4976" t="e">
        <f>IF(F1="售价",ROUND(PRODUCT(T48,AB7:AB47),0),ROUND(PRODUCT(T48,AB7:AB47),1))</f>
        <v>#DIV/0!</v>
      </c>
      <c r="U49" s="4976"/>
      <c r="V49" s="4976" t="e">
        <f>IF(F1="售价",ROUND(PRODUCT(V48,AC7:AC47),0),ROUND(PRODUCT(V48,AC7:AC47),1))</f>
        <v>#DIV/0!</v>
      </c>
      <c r="W49" s="4976"/>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5008" t="str">
        <f>A50</f>
        <v>估价对象XX用房的比较价值（楼面单价，元/平方米）</v>
      </c>
      <c r="Q50" s="5009"/>
      <c r="R50" s="5010" t="e">
        <f>IF(F1="售价",ROUND(IF(D49="简单平均",AVERAGE(R49:V49),R49*F49+T49*H49+V49*J49),0),ROUND(IF(D49="简单平均",AVERAGE(R49:V49),R49*F49+T49*H49+V49*J49),1))</f>
        <v>#DIV/0!</v>
      </c>
      <c r="S50" s="5010"/>
      <c r="T50" s="5010"/>
      <c r="U50" s="5010"/>
      <c r="V50" s="5010"/>
      <c r="W50" s="501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96" t="s">
        <v>1676</v>
      </c>
      <c r="D4" s="4997"/>
      <c r="E4" s="4998" t="s">
        <v>1677</v>
      </c>
      <c r="F4" s="4999"/>
      <c r="G4" s="4996" t="s">
        <v>1678</v>
      </c>
      <c r="H4" s="4997"/>
      <c r="I4" s="4996" t="s">
        <v>1679</v>
      </c>
      <c r="J4" s="4997"/>
      <c r="K4" s="406" t="s">
        <v>1680</v>
      </c>
      <c r="L4" s="625"/>
      <c r="M4" s="626"/>
      <c r="N4" s="626"/>
      <c r="O4" s="626"/>
      <c r="P4" s="4931" t="s">
        <v>1681</v>
      </c>
      <c r="Q4" s="4932"/>
      <c r="R4" s="4937" t="s">
        <v>1677</v>
      </c>
      <c r="S4" s="4938"/>
      <c r="T4" s="4937" t="s">
        <v>1678</v>
      </c>
      <c r="U4" s="4938"/>
      <c r="V4" s="4952" t="s">
        <v>1679</v>
      </c>
      <c r="W4" s="4952"/>
      <c r="X4" s="963"/>
      <c r="Y4" s="4953" t="s">
        <v>1681</v>
      </c>
      <c r="Z4" s="4954"/>
      <c r="AA4" s="4924" t="s">
        <v>1677</v>
      </c>
      <c r="AB4" s="4925" t="s">
        <v>1678</v>
      </c>
      <c r="AC4" s="4924" t="s">
        <v>1679</v>
      </c>
    </row>
    <row r="5" spans="1:29">
      <c r="A5" s="244"/>
      <c r="B5" s="245"/>
      <c r="C5" s="4987" t="s">
        <v>1579</v>
      </c>
      <c r="D5" s="4988"/>
      <c r="E5" s="4985" t="s">
        <v>1580</v>
      </c>
      <c r="F5" s="4986"/>
      <c r="G5" s="4987" t="s">
        <v>1581</v>
      </c>
      <c r="H5" s="4988"/>
      <c r="I5" s="4987" t="s">
        <v>1582</v>
      </c>
      <c r="J5" s="4988"/>
      <c r="K5" s="406"/>
      <c r="L5" s="625"/>
      <c r="M5" s="626"/>
      <c r="N5" s="626"/>
      <c r="O5" s="626"/>
      <c r="P5" s="4933"/>
      <c r="Q5" s="4934"/>
      <c r="R5" s="4939"/>
      <c r="S5" s="4940"/>
      <c r="T5" s="4939"/>
      <c r="U5" s="4940"/>
      <c r="V5" s="4952"/>
      <c r="W5" s="4952"/>
      <c r="X5" s="963"/>
      <c r="Y5" s="4955"/>
      <c r="Z5" s="4956"/>
      <c r="AA5" s="4925"/>
      <c r="AB5" s="4925"/>
      <c r="AC5" s="4925"/>
    </row>
    <row r="6" spans="1:29" ht="15" thickBot="1">
      <c r="A6" s="246"/>
      <c r="B6" s="247"/>
      <c r="C6" s="4989" t="s">
        <v>1583</v>
      </c>
      <c r="D6" s="4990"/>
      <c r="E6" s="4991" t="s">
        <v>1583</v>
      </c>
      <c r="F6" s="4992"/>
      <c r="G6" s="4989" t="s">
        <v>1583</v>
      </c>
      <c r="H6" s="4990"/>
      <c r="I6" s="4989" t="s">
        <v>1583</v>
      </c>
      <c r="J6" s="4990"/>
      <c r="K6" s="406" t="s">
        <v>1584</v>
      </c>
      <c r="L6" s="625"/>
      <c r="M6" s="626"/>
      <c r="N6" s="626"/>
      <c r="O6" s="626"/>
      <c r="P6" s="4935"/>
      <c r="Q6" s="4936"/>
      <c r="R6" s="4939"/>
      <c r="S6" s="4940"/>
      <c r="T6" s="4950"/>
      <c r="U6" s="4951"/>
      <c r="V6" s="4952"/>
      <c r="W6" s="4952"/>
      <c r="X6" s="963"/>
      <c r="Y6" s="4957"/>
      <c r="Z6" s="4958"/>
      <c r="AA6" s="4926"/>
      <c r="AB6" s="4926"/>
      <c r="AC6" s="4926"/>
    </row>
    <row r="7" spans="1:29" s="49" customFormat="1" ht="15" thickBot="1">
      <c r="A7" s="248" t="s">
        <v>1585</v>
      </c>
      <c r="B7" s="249"/>
      <c r="C7" s="250">
        <f>'数据-取费表'!B2</f>
        <v>46087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59" t="s">
        <v>1586</v>
      </c>
      <c r="Q7" s="4960"/>
      <c r="R7" s="4076" t="s">
        <v>13</v>
      </c>
      <c r="S7" s="4079">
        <f t="shared" ref="S7:S15" si="0">F7</f>
        <v>0</v>
      </c>
      <c r="T7" s="4076" t="s">
        <v>13</v>
      </c>
      <c r="U7" s="4079">
        <f t="shared" ref="U7:U15" si="1">H7</f>
        <v>0</v>
      </c>
      <c r="V7" s="4076" t="s">
        <v>13</v>
      </c>
      <c r="W7" s="4079">
        <f t="shared" ref="W7:W15" si="2">J7</f>
        <v>0</v>
      </c>
      <c r="X7" s="504"/>
      <c r="Y7" s="4962" t="s">
        <v>1586</v>
      </c>
      <c r="Z7" s="4963"/>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59" t="s">
        <v>1589</v>
      </c>
      <c r="Q8" s="4961"/>
      <c r="R8" s="4076" t="s">
        <v>13</v>
      </c>
      <c r="S8" s="4079">
        <f t="shared" si="0"/>
        <v>100</v>
      </c>
      <c r="T8" s="4076" t="s">
        <v>13</v>
      </c>
      <c r="U8" s="4079">
        <f t="shared" si="1"/>
        <v>100</v>
      </c>
      <c r="V8" s="4076" t="s">
        <v>13</v>
      </c>
      <c r="W8" s="4079">
        <f t="shared" si="2"/>
        <v>100</v>
      </c>
      <c r="X8" s="504"/>
      <c r="Y8" s="4962" t="s">
        <v>1589</v>
      </c>
      <c r="Z8" s="4963"/>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75" t="s">
        <v>1592</v>
      </c>
      <c r="Q9" s="3274" t="str">
        <f t="shared" ref="Q9:Q15" si="6">B9</f>
        <v>用途</v>
      </c>
      <c r="R9" s="4076" t="s">
        <v>13</v>
      </c>
      <c r="S9" s="4079">
        <f t="shared" si="0"/>
        <v>100</v>
      </c>
      <c r="T9" s="4076" t="s">
        <v>13</v>
      </c>
      <c r="U9" s="4079">
        <f t="shared" si="1"/>
        <v>100</v>
      </c>
      <c r="V9" s="4076" t="s">
        <v>13</v>
      </c>
      <c r="W9" s="4079">
        <f t="shared" si="2"/>
        <v>100</v>
      </c>
      <c r="X9" s="504"/>
      <c r="Y9" s="4965"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75"/>
      <c r="Q10" s="3274" t="str">
        <f t="shared" si="6"/>
        <v>土地使用年限（年）</v>
      </c>
      <c r="R10" s="4076" t="s">
        <v>13</v>
      </c>
      <c r="S10" s="4079">
        <f t="shared" si="0"/>
        <v>100</v>
      </c>
      <c r="T10" s="4076" t="s">
        <v>13</v>
      </c>
      <c r="U10" s="4079">
        <f t="shared" si="1"/>
        <v>100</v>
      </c>
      <c r="V10" s="4076" t="s">
        <v>13</v>
      </c>
      <c r="W10" s="4079">
        <f t="shared" si="2"/>
        <v>100</v>
      </c>
      <c r="X10" s="504"/>
      <c r="Y10" s="4965"/>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75"/>
      <c r="Q11" s="3274" t="str">
        <f t="shared" si="6"/>
        <v>容积率</v>
      </c>
      <c r="R11" s="4076" t="s">
        <v>13</v>
      </c>
      <c r="S11" s="4079">
        <f t="shared" si="0"/>
        <v>100</v>
      </c>
      <c r="T11" s="4076" t="s">
        <v>13</v>
      </c>
      <c r="U11" s="4079">
        <f t="shared" si="1"/>
        <v>100</v>
      </c>
      <c r="V11" s="4076" t="s">
        <v>13</v>
      </c>
      <c r="W11" s="4079">
        <f t="shared" si="2"/>
        <v>100</v>
      </c>
      <c r="X11" s="504"/>
      <c r="Y11" s="4965"/>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75"/>
      <c r="Q12" s="3274">
        <f t="shared" si="6"/>
        <v>111</v>
      </c>
      <c r="R12" s="4076" t="s">
        <v>13</v>
      </c>
      <c r="S12" s="4079">
        <f t="shared" si="0"/>
        <v>100</v>
      </c>
      <c r="T12" s="4076" t="s">
        <v>13</v>
      </c>
      <c r="U12" s="4079">
        <f t="shared" si="1"/>
        <v>100</v>
      </c>
      <c r="V12" s="4076" t="s">
        <v>13</v>
      </c>
      <c r="W12" s="4079">
        <f t="shared" si="2"/>
        <v>100</v>
      </c>
      <c r="X12" s="504"/>
      <c r="Y12" s="4965"/>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75"/>
      <c r="Q13" s="3274">
        <f t="shared" si="6"/>
        <v>111</v>
      </c>
      <c r="R13" s="4076" t="s">
        <v>13</v>
      </c>
      <c r="S13" s="4079">
        <f t="shared" si="0"/>
        <v>100</v>
      </c>
      <c r="T13" s="4076" t="s">
        <v>13</v>
      </c>
      <c r="U13" s="4079">
        <f t="shared" si="1"/>
        <v>100</v>
      </c>
      <c r="V13" s="4076" t="s">
        <v>13</v>
      </c>
      <c r="W13" s="4079">
        <f t="shared" si="2"/>
        <v>100</v>
      </c>
      <c r="X13" s="504"/>
      <c r="Y13" s="4965"/>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75"/>
      <c r="Q14" s="3274">
        <f t="shared" si="6"/>
        <v>111</v>
      </c>
      <c r="R14" s="4076" t="s">
        <v>13</v>
      </c>
      <c r="S14" s="4079">
        <f t="shared" si="0"/>
        <v>100</v>
      </c>
      <c r="T14" s="4076" t="s">
        <v>13</v>
      </c>
      <c r="U14" s="4079">
        <f t="shared" si="1"/>
        <v>100</v>
      </c>
      <c r="V14" s="4076" t="s">
        <v>13</v>
      </c>
      <c r="W14" s="4079">
        <f t="shared" si="2"/>
        <v>100</v>
      </c>
      <c r="X14" s="504"/>
      <c r="Y14" s="4965"/>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11" t="s">
        <v>1597</v>
      </c>
      <c r="Q15" s="3277" t="str">
        <f t="shared" si="6"/>
        <v>产业集聚程度</v>
      </c>
      <c r="R15" s="4077" t="s">
        <v>13</v>
      </c>
      <c r="S15" s="4080">
        <f t="shared" si="0"/>
        <v>100</v>
      </c>
      <c r="T15" s="4077" t="s">
        <v>13</v>
      </c>
      <c r="U15" s="4080">
        <f t="shared" si="1"/>
        <v>100</v>
      </c>
      <c r="V15" s="4077" t="s">
        <v>13</v>
      </c>
      <c r="W15" s="4080">
        <f t="shared" si="2"/>
        <v>100</v>
      </c>
      <c r="X15" s="963"/>
      <c r="Y15" s="4968"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12"/>
      <c r="Q16" s="3277"/>
      <c r="R16" s="4077"/>
      <c r="S16" s="4080"/>
      <c r="T16" s="4077"/>
      <c r="U16" s="4080"/>
      <c r="V16" s="4077"/>
      <c r="W16" s="4080"/>
      <c r="X16" s="963"/>
      <c r="Y16" s="4969"/>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12"/>
      <c r="Q17" s="3277" t="str">
        <f>B17</f>
        <v>交通便捷度</v>
      </c>
      <c r="R17" s="4077" t="s">
        <v>13</v>
      </c>
      <c r="S17" s="4080">
        <f>F17</f>
        <v>100</v>
      </c>
      <c r="T17" s="4077" t="s">
        <v>13</v>
      </c>
      <c r="U17" s="4080">
        <f>H17</f>
        <v>100</v>
      </c>
      <c r="V17" s="4077" t="s">
        <v>13</v>
      </c>
      <c r="W17" s="4080">
        <f>J17</f>
        <v>100</v>
      </c>
      <c r="X17" s="963"/>
      <c r="Y17" s="4969"/>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12"/>
      <c r="Q18" s="3277"/>
      <c r="R18" s="4077"/>
      <c r="S18" s="4080"/>
      <c r="T18" s="4077"/>
      <c r="U18" s="4080"/>
      <c r="V18" s="4077"/>
      <c r="W18" s="4080"/>
      <c r="X18" s="963"/>
      <c r="Y18" s="4969"/>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12"/>
      <c r="Q19" s="3277" t="str">
        <f>B19</f>
        <v>公共配套设施</v>
      </c>
      <c r="R19" s="4077" t="s">
        <v>13</v>
      </c>
      <c r="S19" s="4080">
        <f>F19</f>
        <v>100</v>
      </c>
      <c r="T19" s="4077" t="s">
        <v>13</v>
      </c>
      <c r="U19" s="4080">
        <f>H19</f>
        <v>100</v>
      </c>
      <c r="V19" s="4077" t="s">
        <v>13</v>
      </c>
      <c r="W19" s="4080">
        <f>J19</f>
        <v>100</v>
      </c>
      <c r="X19" s="963"/>
      <c r="Y19" s="4969"/>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12"/>
      <c r="Q20" s="3277"/>
      <c r="R20" s="4077"/>
      <c r="S20" s="4080"/>
      <c r="T20" s="4077"/>
      <c r="U20" s="4080"/>
      <c r="V20" s="4077"/>
      <c r="W20" s="4080"/>
      <c r="X20" s="963"/>
      <c r="Y20" s="4969"/>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12"/>
      <c r="Q21" s="3277" t="str">
        <f>B21</f>
        <v>基础设施水平</v>
      </c>
      <c r="R21" s="4077" t="s">
        <v>13</v>
      </c>
      <c r="S21" s="4080">
        <f>F21</f>
        <v>100</v>
      </c>
      <c r="T21" s="4077" t="s">
        <v>13</v>
      </c>
      <c r="U21" s="4080">
        <f>H21</f>
        <v>100</v>
      </c>
      <c r="V21" s="4077" t="s">
        <v>13</v>
      </c>
      <c r="W21" s="4080">
        <f>J21</f>
        <v>100</v>
      </c>
      <c r="X21" s="963"/>
      <c r="Y21" s="4969"/>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12"/>
      <c r="Q22" s="3277"/>
      <c r="R22" s="4077"/>
      <c r="S22" s="4080"/>
      <c r="T22" s="4077"/>
      <c r="U22" s="4080"/>
      <c r="V22" s="4077"/>
      <c r="W22" s="4080"/>
      <c r="X22" s="963"/>
      <c r="Y22" s="4969"/>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12"/>
      <c r="Q23" s="3277" t="str">
        <f>B23</f>
        <v>环境质量</v>
      </c>
      <c r="R23" s="4077" t="s">
        <v>13</v>
      </c>
      <c r="S23" s="4080">
        <f>F23</f>
        <v>100</v>
      </c>
      <c r="T23" s="4077" t="s">
        <v>13</v>
      </c>
      <c r="U23" s="4080">
        <f>H23</f>
        <v>100</v>
      </c>
      <c r="V23" s="4077" t="s">
        <v>13</v>
      </c>
      <c r="W23" s="4080">
        <f>J23</f>
        <v>100</v>
      </c>
      <c r="X23" s="963"/>
      <c r="Y23" s="4969"/>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12"/>
      <c r="Q24" s="3277"/>
      <c r="R24" s="4077"/>
      <c r="S24" s="4080"/>
      <c r="T24" s="4077"/>
      <c r="U24" s="4080"/>
      <c r="V24" s="4077"/>
      <c r="W24" s="4080"/>
      <c r="X24" s="963"/>
      <c r="Y24" s="4969"/>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12"/>
      <c r="Q25" s="3277">
        <f>B25</f>
        <v>111</v>
      </c>
      <c r="R25" s="4077" t="s">
        <v>13</v>
      </c>
      <c r="S25" s="4080">
        <f>F25</f>
        <v>100</v>
      </c>
      <c r="T25" s="4077" t="s">
        <v>13</v>
      </c>
      <c r="U25" s="4080">
        <f>H25</f>
        <v>100</v>
      </c>
      <c r="V25" s="4077" t="s">
        <v>13</v>
      </c>
      <c r="W25" s="4080">
        <f>J25</f>
        <v>100</v>
      </c>
      <c r="X25" s="963"/>
      <c r="Y25" s="4969"/>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12"/>
      <c r="Q26" s="3277">
        <f t="shared" ref="Q26:Q40" si="11">B26</f>
        <v>111</v>
      </c>
      <c r="R26" s="4077" t="s">
        <v>13</v>
      </c>
      <c r="S26" s="4080">
        <f>F26</f>
        <v>100</v>
      </c>
      <c r="T26" s="4077" t="s">
        <v>13</v>
      </c>
      <c r="U26" s="4080">
        <f>H26</f>
        <v>100</v>
      </c>
      <c r="V26" s="4077" t="s">
        <v>13</v>
      </c>
      <c r="W26" s="4080">
        <f>J26</f>
        <v>100</v>
      </c>
      <c r="X26" s="963"/>
      <c r="Y26" s="4969"/>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12"/>
      <c r="Q27" s="3274">
        <f t="shared" si="11"/>
        <v>111</v>
      </c>
      <c r="R27" s="4076" t="s">
        <v>13</v>
      </c>
      <c r="S27" s="4079">
        <f>F27</f>
        <v>100</v>
      </c>
      <c r="T27" s="4076" t="s">
        <v>13</v>
      </c>
      <c r="U27" s="4079">
        <f>H27</f>
        <v>100</v>
      </c>
      <c r="V27" s="4076" t="s">
        <v>13</v>
      </c>
      <c r="W27" s="4079">
        <f>J27</f>
        <v>100</v>
      </c>
      <c r="X27" s="504"/>
      <c r="Y27" s="4969"/>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12"/>
      <c r="Q28" s="3277">
        <f t="shared" si="11"/>
        <v>111</v>
      </c>
      <c r="R28" s="4077" t="s">
        <v>13</v>
      </c>
      <c r="S28" s="4080">
        <f t="shared" ref="S28:S40" si="12">F28</f>
        <v>100</v>
      </c>
      <c r="T28" s="4077" t="s">
        <v>13</v>
      </c>
      <c r="U28" s="4080">
        <f t="shared" ref="U28:U40" si="13">H28</f>
        <v>100</v>
      </c>
      <c r="V28" s="4077" t="s">
        <v>13</v>
      </c>
      <c r="W28" s="4080">
        <f t="shared" ref="W28:W40" si="14">J28</f>
        <v>100</v>
      </c>
      <c r="X28" s="963"/>
      <c r="Y28" s="4969"/>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13" t="s">
        <v>1602</v>
      </c>
      <c r="Q29" s="3277" t="str">
        <f t="shared" si="11"/>
        <v>建筑类型</v>
      </c>
      <c r="R29" s="4077" t="s">
        <v>13</v>
      </c>
      <c r="S29" s="4080">
        <f t="shared" si="12"/>
        <v>100</v>
      </c>
      <c r="T29" s="4077" t="s">
        <v>13</v>
      </c>
      <c r="U29" s="4080">
        <f t="shared" si="13"/>
        <v>100</v>
      </c>
      <c r="V29" s="4077" t="s">
        <v>13</v>
      </c>
      <c r="W29" s="4080">
        <f t="shared" si="14"/>
        <v>100</v>
      </c>
      <c r="X29" s="963"/>
      <c r="Y29" s="4973"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4"/>
      <c r="Q30" s="3106" t="str">
        <f t="shared" si="11"/>
        <v>项目建筑规模</v>
      </c>
      <c r="R30" s="4078" t="s">
        <v>13</v>
      </c>
      <c r="S30" s="4081" t="e">
        <f t="shared" si="12"/>
        <v>#N/A</v>
      </c>
      <c r="T30" s="4078" t="s">
        <v>13</v>
      </c>
      <c r="U30" s="4081" t="e">
        <f t="shared" si="13"/>
        <v>#N/A</v>
      </c>
      <c r="V30" s="4078" t="s">
        <v>13</v>
      </c>
      <c r="W30" s="4081" t="e">
        <f t="shared" si="14"/>
        <v>#N/A</v>
      </c>
      <c r="X30" s="507"/>
      <c r="Y30" s="4973"/>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4"/>
      <c r="Q31" s="3277" t="str">
        <f t="shared" si="11"/>
        <v>建筑结构</v>
      </c>
      <c r="R31" s="4077" t="s">
        <v>13</v>
      </c>
      <c r="S31" s="4080">
        <f t="shared" si="12"/>
        <v>100</v>
      </c>
      <c r="T31" s="4077" t="s">
        <v>13</v>
      </c>
      <c r="U31" s="4080">
        <f t="shared" si="13"/>
        <v>100</v>
      </c>
      <c r="V31" s="4077" t="s">
        <v>13</v>
      </c>
      <c r="W31" s="4080">
        <f t="shared" si="14"/>
        <v>100</v>
      </c>
      <c r="X31" s="963"/>
      <c r="Y31" s="4973"/>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4"/>
      <c r="Q32" s="3277" t="str">
        <f t="shared" si="11"/>
        <v>公共部分装修</v>
      </c>
      <c r="R32" s="4077" t="s">
        <v>13</v>
      </c>
      <c r="S32" s="4080">
        <f t="shared" si="12"/>
        <v>100</v>
      </c>
      <c r="T32" s="4077" t="s">
        <v>13</v>
      </c>
      <c r="U32" s="4080">
        <f t="shared" si="13"/>
        <v>100</v>
      </c>
      <c r="V32" s="4077" t="s">
        <v>13</v>
      </c>
      <c r="W32" s="4080">
        <f t="shared" si="14"/>
        <v>100</v>
      </c>
      <c r="X32" s="963"/>
      <c r="Y32" s="4973"/>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4"/>
      <c r="Q33" s="3277" t="str">
        <f t="shared" si="11"/>
        <v>成新度</v>
      </c>
      <c r="R33" s="4077" t="s">
        <v>13</v>
      </c>
      <c r="S33" s="4080" t="e">
        <f t="shared" si="12"/>
        <v>#N/A</v>
      </c>
      <c r="T33" s="4077" t="s">
        <v>13</v>
      </c>
      <c r="U33" s="4080" t="e">
        <f t="shared" si="13"/>
        <v>#N/A</v>
      </c>
      <c r="V33" s="4077" t="s">
        <v>13</v>
      </c>
      <c r="W33" s="4080" t="e">
        <f t="shared" si="14"/>
        <v>#N/A</v>
      </c>
      <c r="X33" s="963"/>
      <c r="Y33" s="4973"/>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4"/>
      <c r="Q34" s="3274" t="str">
        <f t="shared" si="11"/>
        <v>物业管理</v>
      </c>
      <c r="R34" s="4076" t="s">
        <v>13</v>
      </c>
      <c r="S34" s="4079">
        <f t="shared" si="12"/>
        <v>100</v>
      </c>
      <c r="T34" s="4076" t="s">
        <v>13</v>
      </c>
      <c r="U34" s="4079">
        <f t="shared" si="13"/>
        <v>100</v>
      </c>
      <c r="V34" s="4076" t="s">
        <v>13</v>
      </c>
      <c r="W34" s="4079">
        <f t="shared" si="14"/>
        <v>100</v>
      </c>
      <c r="X34" s="504"/>
      <c r="Y34" s="4973"/>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4" t="s">
        <v>1602</v>
      </c>
      <c r="Q35" s="3277" t="str">
        <f t="shared" si="11"/>
        <v>市政基础设施</v>
      </c>
      <c r="R35" s="4077" t="s">
        <v>13</v>
      </c>
      <c r="S35" s="4080">
        <f t="shared" si="12"/>
        <v>100</v>
      </c>
      <c r="T35" s="4077" t="s">
        <v>13</v>
      </c>
      <c r="U35" s="4080">
        <f t="shared" si="13"/>
        <v>100</v>
      </c>
      <c r="V35" s="4077" t="s">
        <v>13</v>
      </c>
      <c r="W35" s="4080">
        <f t="shared" si="14"/>
        <v>100</v>
      </c>
      <c r="X35" s="963"/>
      <c r="Y35" s="4973"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4"/>
      <c r="Q36" s="3277" t="str">
        <f t="shared" si="11"/>
        <v>内部装修</v>
      </c>
      <c r="R36" s="4077" t="s">
        <v>13</v>
      </c>
      <c r="S36" s="4080">
        <f t="shared" si="12"/>
        <v>100</v>
      </c>
      <c r="T36" s="4077" t="s">
        <v>13</v>
      </c>
      <c r="U36" s="4080">
        <f t="shared" si="13"/>
        <v>100</v>
      </c>
      <c r="V36" s="4077" t="s">
        <v>13</v>
      </c>
      <c r="W36" s="4080">
        <f t="shared" si="14"/>
        <v>100</v>
      </c>
      <c r="X36" s="963"/>
      <c r="Y36" s="4973"/>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4"/>
      <c r="Q37" s="3277" t="str">
        <f t="shared" si="11"/>
        <v>内部装修状况</v>
      </c>
      <c r="R37" s="4077" t="s">
        <v>13</v>
      </c>
      <c r="S37" s="4080">
        <f t="shared" si="12"/>
        <v>100</v>
      </c>
      <c r="T37" s="4077" t="s">
        <v>13</v>
      </c>
      <c r="U37" s="4080">
        <f t="shared" si="13"/>
        <v>100</v>
      </c>
      <c r="V37" s="4077" t="s">
        <v>13</v>
      </c>
      <c r="W37" s="4080">
        <f t="shared" si="14"/>
        <v>100</v>
      </c>
      <c r="X37" s="963"/>
      <c r="Y37" s="4973"/>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4"/>
      <c r="Q38" s="3106">
        <f t="shared" si="11"/>
        <v>111</v>
      </c>
      <c r="R38" s="4078" t="s">
        <v>13</v>
      </c>
      <c r="S38" s="4081">
        <f t="shared" si="12"/>
        <v>100</v>
      </c>
      <c r="T38" s="4078" t="s">
        <v>13</v>
      </c>
      <c r="U38" s="4081">
        <f t="shared" si="13"/>
        <v>100</v>
      </c>
      <c r="V38" s="4078" t="s">
        <v>13</v>
      </c>
      <c r="W38" s="4081">
        <f t="shared" si="14"/>
        <v>100</v>
      </c>
      <c r="X38" s="507"/>
      <c r="Y38" s="4973"/>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4"/>
      <c r="Q39" s="3277">
        <f t="shared" si="11"/>
        <v>111</v>
      </c>
      <c r="R39" s="4077" t="s">
        <v>13</v>
      </c>
      <c r="S39" s="4080">
        <f t="shared" si="12"/>
        <v>100</v>
      </c>
      <c r="T39" s="4077" t="s">
        <v>13</v>
      </c>
      <c r="U39" s="4080">
        <f t="shared" si="13"/>
        <v>100</v>
      </c>
      <c r="V39" s="4077" t="s">
        <v>13</v>
      </c>
      <c r="W39" s="4080">
        <f t="shared" si="14"/>
        <v>100</v>
      </c>
      <c r="X39" s="963"/>
      <c r="Y39" s="4973"/>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5"/>
      <c r="Q40" s="3277">
        <f t="shared" si="11"/>
        <v>111</v>
      </c>
      <c r="R40" s="4077" t="s">
        <v>13</v>
      </c>
      <c r="S40" s="4080">
        <f t="shared" si="12"/>
        <v>100</v>
      </c>
      <c r="T40" s="4077" t="s">
        <v>13</v>
      </c>
      <c r="U40" s="4080">
        <f t="shared" si="13"/>
        <v>100</v>
      </c>
      <c r="V40" s="4077" t="s">
        <v>13</v>
      </c>
      <c r="W40" s="4080">
        <f t="shared" si="14"/>
        <v>100</v>
      </c>
      <c r="X40" s="963"/>
      <c r="Y40" s="4974"/>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75" t="str">
        <f>A41</f>
        <v>成交单价（元/平方米）</v>
      </c>
      <c r="Q41" s="4975"/>
      <c r="R41" s="4976">
        <f>E41</f>
        <v>0</v>
      </c>
      <c r="S41" s="4976"/>
      <c r="T41" s="4976">
        <f>G41</f>
        <v>0</v>
      </c>
      <c r="U41" s="4976"/>
      <c r="V41" s="4976">
        <f>I41</f>
        <v>0</v>
      </c>
      <c r="W41" s="4976"/>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75" t="str">
        <f>A42</f>
        <v>比较价值（元/平方米）</v>
      </c>
      <c r="Q42" s="4975"/>
      <c r="R42" s="4976" t="e">
        <f>IF(F1="售价",ROUND(PRODUCT(R41,AA7:AA40),0),ROUND(PRODUCT(R41,AA7:AA40),1))</f>
        <v>#DIV/0!</v>
      </c>
      <c r="S42" s="4976"/>
      <c r="T42" s="4976" t="e">
        <f>IF(F1="售价",ROUND(PRODUCT(T41,AB7:AB40),0),ROUND(PRODUCT(T41,AB7:AB40),1))</f>
        <v>#DIV/0!</v>
      </c>
      <c r="U42" s="4976"/>
      <c r="V42" s="4976" t="e">
        <f>IF(F1="售价",ROUND(PRODUCT(V41,AC7:AC40),0),ROUND(PRODUCT(V41,AC7:AC40),1))</f>
        <v>#DIV/0!</v>
      </c>
      <c r="W42" s="4976"/>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77" t="str">
        <f>A43</f>
        <v>估价对象XX用房的比较价值（楼面单价，元/平方米）</v>
      </c>
      <c r="Q43" s="4978"/>
      <c r="R43" s="4979" t="e">
        <f>IF(F1="售价",ROUND(IF(D42="简单平均",AVERAGE(R42:V42),R42*F42+T42*H42+V42*J42),0),ROUND(IF(D42="简单平均",AVERAGE(R42:V42),R42*F42+T42*H42+V42*J42),1))</f>
        <v>#DIV/0!</v>
      </c>
      <c r="S43" s="4979"/>
      <c r="T43" s="4979"/>
      <c r="U43" s="4979"/>
      <c r="V43" s="4979"/>
      <c r="W43" s="497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96" t="s">
        <v>1676</v>
      </c>
      <c r="D4" s="4997"/>
      <c r="E4" s="4998" t="s">
        <v>1677</v>
      </c>
      <c r="F4" s="4999"/>
      <c r="G4" s="4996" t="s">
        <v>1678</v>
      </c>
      <c r="H4" s="4997"/>
      <c r="I4" s="4996" t="s">
        <v>1679</v>
      </c>
      <c r="J4" s="4997"/>
      <c r="K4" s="406" t="s">
        <v>1680</v>
      </c>
      <c r="L4" s="2146"/>
      <c r="M4" s="2147"/>
      <c r="N4" s="2147"/>
      <c r="O4" s="2147"/>
      <c r="P4" s="5017" t="s">
        <v>1681</v>
      </c>
      <c r="Q4" s="5018"/>
      <c r="R4" s="4953" t="s">
        <v>1677</v>
      </c>
      <c r="S4" s="4954"/>
      <c r="T4" s="4953" t="s">
        <v>1678</v>
      </c>
      <c r="U4" s="4954"/>
      <c r="V4" s="4980" t="s">
        <v>1679</v>
      </c>
      <c r="W4" s="4980"/>
      <c r="X4" s="963"/>
      <c r="Y4" s="4953" t="s">
        <v>1681</v>
      </c>
      <c r="Z4" s="4954"/>
      <c r="AA4" s="4924" t="s">
        <v>1677</v>
      </c>
      <c r="AB4" s="4925" t="s">
        <v>1678</v>
      </c>
      <c r="AC4" s="4924" t="s">
        <v>1679</v>
      </c>
    </row>
    <row r="5" spans="1:29">
      <c r="A5" s="244"/>
      <c r="B5" s="245"/>
      <c r="C5" s="4987" t="s">
        <v>1579</v>
      </c>
      <c r="D5" s="4988"/>
      <c r="E5" s="4985" t="s">
        <v>1580</v>
      </c>
      <c r="F5" s="4986"/>
      <c r="G5" s="4987" t="s">
        <v>1581</v>
      </c>
      <c r="H5" s="4988"/>
      <c r="I5" s="4987" t="s">
        <v>1582</v>
      </c>
      <c r="J5" s="4988"/>
      <c r="K5" s="406"/>
      <c r="L5" s="2146"/>
      <c r="M5" s="2147"/>
      <c r="N5" s="2147"/>
      <c r="O5" s="2147"/>
      <c r="P5" s="5019"/>
      <c r="Q5" s="5020"/>
      <c r="R5" s="4955"/>
      <c r="S5" s="4956"/>
      <c r="T5" s="4955"/>
      <c r="U5" s="4956"/>
      <c r="V5" s="4980"/>
      <c r="W5" s="4980"/>
      <c r="X5" s="963"/>
      <c r="Y5" s="4955"/>
      <c r="Z5" s="4956"/>
      <c r="AA5" s="4925"/>
      <c r="AB5" s="4925"/>
      <c r="AC5" s="4925"/>
    </row>
    <row r="6" spans="1:29" ht="15" thickBot="1">
      <c r="A6" s="246"/>
      <c r="B6" s="247"/>
      <c r="C6" s="4989" t="s">
        <v>1583</v>
      </c>
      <c r="D6" s="4990"/>
      <c r="E6" s="4991" t="s">
        <v>1583</v>
      </c>
      <c r="F6" s="4992"/>
      <c r="G6" s="4989" t="s">
        <v>1583</v>
      </c>
      <c r="H6" s="4990"/>
      <c r="I6" s="4989" t="s">
        <v>1583</v>
      </c>
      <c r="J6" s="4990"/>
      <c r="K6" s="406" t="s">
        <v>1584</v>
      </c>
      <c r="L6" s="2146"/>
      <c r="M6" s="2147"/>
      <c r="N6" s="2147"/>
      <c r="O6" s="2147"/>
      <c r="P6" s="5021"/>
      <c r="Q6" s="5022"/>
      <c r="R6" s="4955"/>
      <c r="S6" s="4956"/>
      <c r="T6" s="4957"/>
      <c r="U6" s="4958"/>
      <c r="V6" s="4980"/>
      <c r="W6" s="4980"/>
      <c r="X6" s="963"/>
      <c r="Y6" s="4957"/>
      <c r="Z6" s="4958"/>
      <c r="AA6" s="4926"/>
      <c r="AB6" s="4926"/>
      <c r="AC6" s="4926"/>
    </row>
    <row r="7" spans="1:29" s="49" customFormat="1" ht="15" thickBot="1">
      <c r="A7" s="248" t="s">
        <v>1585</v>
      </c>
      <c r="B7" s="249"/>
      <c r="C7" s="250">
        <f>'数据-取费表'!B2</f>
        <v>46087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62" t="s">
        <v>1586</v>
      </c>
      <c r="Q7" s="5023"/>
      <c r="R7" s="4084" t="s">
        <v>13</v>
      </c>
      <c r="S7" s="4087">
        <f t="shared" ref="S7:S14" si="0">F7</f>
        <v>0</v>
      </c>
      <c r="T7" s="4084" t="s">
        <v>13</v>
      </c>
      <c r="U7" s="4087">
        <f t="shared" ref="U7:U14" si="1">H7</f>
        <v>0</v>
      </c>
      <c r="V7" s="4084" t="s">
        <v>13</v>
      </c>
      <c r="W7" s="4087">
        <f t="shared" ref="W7:W14" si="2">J7</f>
        <v>0</v>
      </c>
      <c r="X7" s="504"/>
      <c r="Y7" s="4962" t="s">
        <v>1586</v>
      </c>
      <c r="Z7" s="4963"/>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62" t="s">
        <v>1589</v>
      </c>
      <c r="Q8" s="4963"/>
      <c r="R8" s="4084" t="s">
        <v>13</v>
      </c>
      <c r="S8" s="4087">
        <f t="shared" si="0"/>
        <v>100</v>
      </c>
      <c r="T8" s="4084" t="s">
        <v>13</v>
      </c>
      <c r="U8" s="4087">
        <f t="shared" si="1"/>
        <v>100</v>
      </c>
      <c r="V8" s="4084" t="s">
        <v>13</v>
      </c>
      <c r="W8" s="4087">
        <f t="shared" si="2"/>
        <v>100</v>
      </c>
      <c r="X8" s="504"/>
      <c r="Y8" s="4962" t="s">
        <v>1589</v>
      </c>
      <c r="Z8" s="4963"/>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6" t="s">
        <v>1592</v>
      </c>
      <c r="Q9" s="952" t="str">
        <f t="shared" ref="Q9:Q14" si="6">B9</f>
        <v>用途</v>
      </c>
      <c r="R9" s="4084" t="s">
        <v>13</v>
      </c>
      <c r="S9" s="4087">
        <f t="shared" si="0"/>
        <v>100</v>
      </c>
      <c r="T9" s="4084" t="s">
        <v>13</v>
      </c>
      <c r="U9" s="4087">
        <f t="shared" si="1"/>
        <v>100</v>
      </c>
      <c r="V9" s="4084" t="s">
        <v>13</v>
      </c>
      <c r="W9" s="4087">
        <f t="shared" si="2"/>
        <v>100</v>
      </c>
      <c r="X9" s="504"/>
      <c r="Y9" s="4965"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6"/>
      <c r="Q10" s="952" t="str">
        <f t="shared" si="6"/>
        <v>土地使用年限（年）</v>
      </c>
      <c r="R10" s="4084" t="s">
        <v>13</v>
      </c>
      <c r="S10" s="4087">
        <f t="shared" si="0"/>
        <v>100</v>
      </c>
      <c r="T10" s="4084" t="s">
        <v>13</v>
      </c>
      <c r="U10" s="4087">
        <f t="shared" si="1"/>
        <v>100</v>
      </c>
      <c r="V10" s="4084" t="s">
        <v>13</v>
      </c>
      <c r="W10" s="4087">
        <f t="shared" si="2"/>
        <v>100</v>
      </c>
      <c r="X10" s="504"/>
      <c r="Y10" s="4965"/>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6"/>
      <c r="Q11" s="952">
        <f t="shared" si="6"/>
        <v>111</v>
      </c>
      <c r="R11" s="4084" t="s">
        <v>13</v>
      </c>
      <c r="S11" s="4087">
        <f t="shared" si="0"/>
        <v>100</v>
      </c>
      <c r="T11" s="4084" t="s">
        <v>13</v>
      </c>
      <c r="U11" s="4087">
        <f t="shared" si="1"/>
        <v>100</v>
      </c>
      <c r="V11" s="4084" t="s">
        <v>13</v>
      </c>
      <c r="W11" s="4087">
        <f t="shared" si="2"/>
        <v>100</v>
      </c>
      <c r="X11" s="504"/>
      <c r="Y11" s="4965"/>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6"/>
      <c r="Q12" s="952">
        <f t="shared" si="6"/>
        <v>111</v>
      </c>
      <c r="R12" s="4084" t="s">
        <v>13</v>
      </c>
      <c r="S12" s="4087">
        <f t="shared" si="0"/>
        <v>100</v>
      </c>
      <c r="T12" s="4084" t="s">
        <v>13</v>
      </c>
      <c r="U12" s="4087">
        <f t="shared" si="1"/>
        <v>100</v>
      </c>
      <c r="V12" s="4084" t="s">
        <v>13</v>
      </c>
      <c r="W12" s="4087">
        <f t="shared" si="2"/>
        <v>100</v>
      </c>
      <c r="X12" s="504"/>
      <c r="Y12" s="4965"/>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6"/>
      <c r="Q13" s="952">
        <f t="shared" si="6"/>
        <v>111</v>
      </c>
      <c r="R13" s="4084" t="s">
        <v>13</v>
      </c>
      <c r="S13" s="4087">
        <f t="shared" si="0"/>
        <v>100</v>
      </c>
      <c r="T13" s="4084" t="s">
        <v>13</v>
      </c>
      <c r="U13" s="4087">
        <f t="shared" si="1"/>
        <v>100</v>
      </c>
      <c r="V13" s="4084" t="s">
        <v>13</v>
      </c>
      <c r="W13" s="4087">
        <f t="shared" si="2"/>
        <v>100</v>
      </c>
      <c r="X13" s="504"/>
      <c r="Y13" s="4965"/>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68" t="s">
        <v>1597</v>
      </c>
      <c r="Q14" s="960" t="str">
        <f t="shared" si="6"/>
        <v>交通便捷度</v>
      </c>
      <c r="R14" s="4085" t="s">
        <v>13</v>
      </c>
      <c r="S14" s="4088">
        <f t="shared" si="0"/>
        <v>100</v>
      </c>
      <c r="T14" s="4085" t="s">
        <v>13</v>
      </c>
      <c r="U14" s="4088">
        <f t="shared" si="1"/>
        <v>100</v>
      </c>
      <c r="V14" s="4085" t="s">
        <v>13</v>
      </c>
      <c r="W14" s="4088">
        <f t="shared" si="2"/>
        <v>100</v>
      </c>
      <c r="X14" s="963"/>
      <c r="Y14" s="4968"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69"/>
      <c r="Q15" s="960"/>
      <c r="R15" s="4085"/>
      <c r="S15" s="4088"/>
      <c r="T15" s="4085"/>
      <c r="U15" s="4088"/>
      <c r="V15" s="4085"/>
      <c r="W15" s="4088"/>
      <c r="X15" s="963"/>
      <c r="Y15" s="4969"/>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69"/>
      <c r="Q16" s="960" t="str">
        <f>B16</f>
        <v>公共配套设施</v>
      </c>
      <c r="R16" s="4085" t="s">
        <v>13</v>
      </c>
      <c r="S16" s="4088">
        <f>F16</f>
        <v>100</v>
      </c>
      <c r="T16" s="4085" t="s">
        <v>13</v>
      </c>
      <c r="U16" s="4088">
        <f>H16</f>
        <v>100</v>
      </c>
      <c r="V16" s="4085" t="s">
        <v>13</v>
      </c>
      <c r="W16" s="4088">
        <f>J16</f>
        <v>100</v>
      </c>
      <c r="X16" s="963"/>
      <c r="Y16" s="4969"/>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69"/>
      <c r="Q17" s="960"/>
      <c r="R17" s="4085"/>
      <c r="S17" s="4088"/>
      <c r="T17" s="4085"/>
      <c r="U17" s="4088"/>
      <c r="V17" s="4085"/>
      <c r="W17" s="4088"/>
      <c r="X17" s="963"/>
      <c r="Y17" s="4969"/>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69"/>
      <c r="Q18" s="960" t="str">
        <f>B18</f>
        <v>基础设施水平</v>
      </c>
      <c r="R18" s="4085" t="s">
        <v>13</v>
      </c>
      <c r="S18" s="4088">
        <f>F18</f>
        <v>100</v>
      </c>
      <c r="T18" s="4085" t="s">
        <v>13</v>
      </c>
      <c r="U18" s="4088">
        <f>H18</f>
        <v>100</v>
      </c>
      <c r="V18" s="4085" t="s">
        <v>13</v>
      </c>
      <c r="W18" s="4088">
        <f>J18</f>
        <v>100</v>
      </c>
      <c r="X18" s="963"/>
      <c r="Y18" s="4969"/>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69"/>
      <c r="Q19" s="960"/>
      <c r="R19" s="4085"/>
      <c r="S19" s="4088"/>
      <c r="T19" s="4085"/>
      <c r="U19" s="4088"/>
      <c r="V19" s="4085"/>
      <c r="W19" s="4088"/>
      <c r="X19" s="963"/>
      <c r="Y19" s="4969"/>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69"/>
      <c r="Q20" s="960" t="str">
        <f>B20</f>
        <v>自然及人文环境</v>
      </c>
      <c r="R20" s="4085" t="s">
        <v>13</v>
      </c>
      <c r="S20" s="4088">
        <f>F20</f>
        <v>100</v>
      </c>
      <c r="T20" s="4085" t="s">
        <v>13</v>
      </c>
      <c r="U20" s="4088">
        <f>H20</f>
        <v>100</v>
      </c>
      <c r="V20" s="4085" t="s">
        <v>13</v>
      </c>
      <c r="W20" s="4088">
        <f>J20</f>
        <v>100</v>
      </c>
      <c r="X20" s="963"/>
      <c r="Y20" s="4969"/>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69"/>
      <c r="Q21" s="960"/>
      <c r="R21" s="4085"/>
      <c r="S21" s="4088"/>
      <c r="T21" s="4085"/>
      <c r="U21" s="4088"/>
      <c r="V21" s="4085"/>
      <c r="W21" s="4088"/>
      <c r="X21" s="963"/>
      <c r="Y21" s="4969"/>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69"/>
      <c r="Q22" s="960" t="str">
        <f>B22</f>
        <v>楼层</v>
      </c>
      <c r="R22" s="4085" t="s">
        <v>13</v>
      </c>
      <c r="S22" s="4088">
        <f>F22</f>
        <v>100</v>
      </c>
      <c r="T22" s="4085" t="s">
        <v>13</v>
      </c>
      <c r="U22" s="4088">
        <f>H22</f>
        <v>100</v>
      </c>
      <c r="V22" s="4085" t="s">
        <v>13</v>
      </c>
      <c r="W22" s="4088">
        <f>J22</f>
        <v>100</v>
      </c>
      <c r="X22" s="963"/>
      <c r="Y22" s="4969"/>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69"/>
      <c r="Q23" s="960">
        <f>B23</f>
        <v>111</v>
      </c>
      <c r="R23" s="4085" t="s">
        <v>13</v>
      </c>
      <c r="S23" s="4088">
        <f>F23</f>
        <v>100</v>
      </c>
      <c r="T23" s="4085" t="s">
        <v>13</v>
      </c>
      <c r="U23" s="4088">
        <f>H23</f>
        <v>100</v>
      </c>
      <c r="V23" s="4085" t="s">
        <v>13</v>
      </c>
      <c r="W23" s="4088">
        <f>J23</f>
        <v>100</v>
      </c>
      <c r="X23" s="963"/>
      <c r="Y23" s="4969"/>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69"/>
      <c r="Q24" s="960">
        <f t="shared" ref="Q24:Q36" si="11">B24</f>
        <v>111</v>
      </c>
      <c r="R24" s="4085" t="s">
        <v>13</v>
      </c>
      <c r="S24" s="4088">
        <f>F24</f>
        <v>100</v>
      </c>
      <c r="T24" s="4085" t="s">
        <v>13</v>
      </c>
      <c r="U24" s="4088">
        <f>H24</f>
        <v>100</v>
      </c>
      <c r="V24" s="4085" t="s">
        <v>13</v>
      </c>
      <c r="W24" s="4088">
        <f>J24</f>
        <v>100</v>
      </c>
      <c r="X24" s="963"/>
      <c r="Y24" s="4969"/>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69"/>
      <c r="Q25" s="952">
        <f t="shared" si="11"/>
        <v>111</v>
      </c>
      <c r="R25" s="4084" t="s">
        <v>13</v>
      </c>
      <c r="S25" s="4087">
        <f>F25</f>
        <v>100</v>
      </c>
      <c r="T25" s="4084" t="s">
        <v>13</v>
      </c>
      <c r="U25" s="4087">
        <f>H25</f>
        <v>100</v>
      </c>
      <c r="V25" s="4084" t="s">
        <v>13</v>
      </c>
      <c r="W25" s="4087">
        <f>J25</f>
        <v>100</v>
      </c>
      <c r="X25" s="504"/>
      <c r="Y25" s="4969"/>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24"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73"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73"/>
      <c r="Q27" s="506" t="str">
        <f t="shared" si="11"/>
        <v>项目停车位配比</v>
      </c>
      <c r="R27" s="4086" t="s">
        <v>13</v>
      </c>
      <c r="S27" s="4089">
        <f t="shared" si="12"/>
        <v>100</v>
      </c>
      <c r="T27" s="4086" t="s">
        <v>13</v>
      </c>
      <c r="U27" s="4089">
        <f t="shared" si="13"/>
        <v>100</v>
      </c>
      <c r="V27" s="4086" t="s">
        <v>13</v>
      </c>
      <c r="W27" s="4089">
        <f t="shared" si="14"/>
        <v>100</v>
      </c>
      <c r="X27" s="507"/>
      <c r="Y27" s="4973"/>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73"/>
      <c r="Q28" s="960" t="str">
        <f t="shared" si="11"/>
        <v>公共部分装修</v>
      </c>
      <c r="R28" s="4085" t="s">
        <v>13</v>
      </c>
      <c r="S28" s="4088">
        <f t="shared" si="12"/>
        <v>100</v>
      </c>
      <c r="T28" s="4085" t="s">
        <v>13</v>
      </c>
      <c r="U28" s="4088">
        <f t="shared" si="13"/>
        <v>100</v>
      </c>
      <c r="V28" s="4085" t="s">
        <v>13</v>
      </c>
      <c r="W28" s="4088">
        <f t="shared" si="14"/>
        <v>100</v>
      </c>
      <c r="X28" s="963"/>
      <c r="Y28" s="4973"/>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73"/>
      <c r="Q29" s="960" t="str">
        <f t="shared" si="11"/>
        <v>成新率</v>
      </c>
      <c r="R29" s="4085" t="s">
        <v>13</v>
      </c>
      <c r="S29" s="4088" t="e">
        <f t="shared" si="12"/>
        <v>#N/A</v>
      </c>
      <c r="T29" s="4085" t="s">
        <v>13</v>
      </c>
      <c r="U29" s="4088" t="e">
        <f t="shared" si="13"/>
        <v>#N/A</v>
      </c>
      <c r="V29" s="4085" t="s">
        <v>13</v>
      </c>
      <c r="W29" s="4088" t="e">
        <f t="shared" si="14"/>
        <v>#N/A</v>
      </c>
      <c r="X29" s="963"/>
      <c r="Y29" s="4973"/>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73"/>
      <c r="Q30" s="960" t="str">
        <f t="shared" si="11"/>
        <v>物业等级</v>
      </c>
      <c r="R30" s="4085" t="s">
        <v>13</v>
      </c>
      <c r="S30" s="4088">
        <f t="shared" si="12"/>
        <v>100</v>
      </c>
      <c r="T30" s="4085" t="s">
        <v>13</v>
      </c>
      <c r="U30" s="4088">
        <f t="shared" si="13"/>
        <v>100</v>
      </c>
      <c r="V30" s="4085" t="s">
        <v>13</v>
      </c>
      <c r="W30" s="4088">
        <f t="shared" si="14"/>
        <v>100</v>
      </c>
      <c r="X30" s="963"/>
      <c r="Y30" s="4973"/>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73"/>
      <c r="Q31" s="952" t="str">
        <f t="shared" si="11"/>
        <v>停车位面积</v>
      </c>
      <c r="R31" s="4084" t="s">
        <v>13</v>
      </c>
      <c r="S31" s="4087" t="e">
        <f t="shared" si="12"/>
        <v>#N/A</v>
      </c>
      <c r="T31" s="4084" t="s">
        <v>13</v>
      </c>
      <c r="U31" s="4087" t="e">
        <f t="shared" si="13"/>
        <v>#N/A</v>
      </c>
      <c r="V31" s="4084" t="s">
        <v>13</v>
      </c>
      <c r="W31" s="4087" t="e">
        <f t="shared" si="14"/>
        <v>#N/A</v>
      </c>
      <c r="X31" s="504"/>
      <c r="Y31" s="4973"/>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73" t="s">
        <v>1602</v>
      </c>
      <c r="Q32" s="960" t="str">
        <f t="shared" si="11"/>
        <v>车位类型</v>
      </c>
      <c r="R32" s="4085" t="s">
        <v>13</v>
      </c>
      <c r="S32" s="4088">
        <f t="shared" si="12"/>
        <v>100</v>
      </c>
      <c r="T32" s="4085" t="s">
        <v>13</v>
      </c>
      <c r="U32" s="4088">
        <f t="shared" si="13"/>
        <v>100</v>
      </c>
      <c r="V32" s="4085" t="s">
        <v>13</v>
      </c>
      <c r="W32" s="4088">
        <f t="shared" si="14"/>
        <v>100</v>
      </c>
      <c r="X32" s="963"/>
      <c r="Y32" s="4973"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73"/>
      <c r="Q33" s="960" t="str">
        <f t="shared" si="11"/>
        <v>是否直接入户</v>
      </c>
      <c r="R33" s="4085" t="s">
        <v>13</v>
      </c>
      <c r="S33" s="4088">
        <f t="shared" si="12"/>
        <v>100</v>
      </c>
      <c r="T33" s="4085" t="s">
        <v>13</v>
      </c>
      <c r="U33" s="4088">
        <f t="shared" si="13"/>
        <v>100</v>
      </c>
      <c r="V33" s="4085" t="s">
        <v>13</v>
      </c>
      <c r="W33" s="4088">
        <f t="shared" si="14"/>
        <v>100</v>
      </c>
      <c r="X33" s="963"/>
      <c r="Y33" s="4973"/>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73"/>
      <c r="Q34" s="960">
        <f t="shared" si="11"/>
        <v>111</v>
      </c>
      <c r="R34" s="4085" t="s">
        <v>13</v>
      </c>
      <c r="S34" s="4088">
        <f t="shared" si="12"/>
        <v>100</v>
      </c>
      <c r="T34" s="4085" t="s">
        <v>13</v>
      </c>
      <c r="U34" s="4088">
        <f t="shared" si="13"/>
        <v>100</v>
      </c>
      <c r="V34" s="4085" t="s">
        <v>13</v>
      </c>
      <c r="W34" s="4088">
        <f t="shared" si="14"/>
        <v>100</v>
      </c>
      <c r="X34" s="963"/>
      <c r="Y34" s="4973"/>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73"/>
      <c r="Q35" s="506">
        <f t="shared" si="11"/>
        <v>111</v>
      </c>
      <c r="R35" s="4086" t="s">
        <v>13</v>
      </c>
      <c r="S35" s="4089">
        <f t="shared" si="12"/>
        <v>100</v>
      </c>
      <c r="T35" s="4086" t="s">
        <v>13</v>
      </c>
      <c r="U35" s="4089">
        <f t="shared" si="13"/>
        <v>100</v>
      </c>
      <c r="V35" s="4086" t="s">
        <v>13</v>
      </c>
      <c r="W35" s="4089">
        <f t="shared" si="14"/>
        <v>100</v>
      </c>
      <c r="X35" s="507"/>
      <c r="Y35" s="4973"/>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73"/>
      <c r="Q36" s="960">
        <f t="shared" si="11"/>
        <v>111</v>
      </c>
      <c r="R36" s="4085" t="s">
        <v>13</v>
      </c>
      <c r="S36" s="4088">
        <f t="shared" si="12"/>
        <v>100</v>
      </c>
      <c r="T36" s="4085" t="s">
        <v>13</v>
      </c>
      <c r="U36" s="4088">
        <f t="shared" si="13"/>
        <v>100</v>
      </c>
      <c r="V36" s="4085" t="s">
        <v>13</v>
      </c>
      <c r="W36" s="4088">
        <f t="shared" si="14"/>
        <v>100</v>
      </c>
      <c r="X36" s="963"/>
      <c r="Y36" s="4973"/>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6" t="str">
        <f>A37</f>
        <v>成交单价</v>
      </c>
      <c r="Q37" s="5016"/>
      <c r="R37" s="4980">
        <f>E37</f>
        <v>0</v>
      </c>
      <c r="S37" s="4980"/>
      <c r="T37" s="4980">
        <f>G37</f>
        <v>0</v>
      </c>
      <c r="U37" s="4980"/>
      <c r="V37" s="4980">
        <f>I37</f>
        <v>0</v>
      </c>
      <c r="W37" s="4980"/>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6" t="str">
        <f>A38</f>
        <v>比较价值（元/平方米）</v>
      </c>
      <c r="Q38" s="5016"/>
      <c r="R38" s="4980" t="e">
        <f>IF(F1="售价",ROUND(PRODUCT(R37,AA7:AA36),0),ROUND(PRODUCT(R37,AA7:AA36),1))</f>
        <v>#DIV/0!</v>
      </c>
      <c r="S38" s="4980"/>
      <c r="T38" s="4980" t="e">
        <f>IF(F1="售价",ROUND(PRODUCT(T37,AB7:AB36),0),ROUND(PRODUCT(T37,AB7:AB36),1))</f>
        <v>#DIV/0!</v>
      </c>
      <c r="U38" s="4980"/>
      <c r="V38" s="4980" t="e">
        <f>IF(F1="售价",ROUND(PRODUCT(V37,AC7:AC36),0),ROUND(PRODUCT(V37,AC7:AC36),1))</f>
        <v>#DIV/0!</v>
      </c>
      <c r="W38" s="4980"/>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25" t="str">
        <f>A39</f>
        <v>估价对象XX用房的比较价值（楼面单价，元/平方米）</v>
      </c>
      <c r="Q39" s="5026"/>
      <c r="R39" s="5027" t="e">
        <f>IF(F1="售价",ROUND(IF(D38="简单平均",AVERAGE(R38:W38),R38*F38+T38*H38+V38*J38),0),ROUND(IF(D38="简单平均",AVERAGE(R38:V38),R38*F38+T38*H38+V38*J38),1))</f>
        <v>#DIV/0!</v>
      </c>
      <c r="S39" s="5027"/>
      <c r="T39" s="5027"/>
      <c r="U39" s="5027"/>
      <c r="V39" s="5027"/>
      <c r="W39" s="5027"/>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96" t="s">
        <v>1676</v>
      </c>
      <c r="D4" s="4997"/>
      <c r="E4" s="4998" t="s">
        <v>1677</v>
      </c>
      <c r="F4" s="4999"/>
      <c r="G4" s="4996" t="s">
        <v>1678</v>
      </c>
      <c r="H4" s="4997"/>
      <c r="I4" s="4996" t="s">
        <v>1679</v>
      </c>
      <c r="J4" s="4997"/>
      <c r="K4" s="406" t="s">
        <v>1680</v>
      </c>
      <c r="L4" s="2146"/>
      <c r="M4" s="2147"/>
      <c r="N4" s="2147"/>
      <c r="O4" s="2147"/>
      <c r="P4" s="5017" t="s">
        <v>1681</v>
      </c>
      <c r="Q4" s="5018"/>
      <c r="R4" s="4953" t="s">
        <v>1677</v>
      </c>
      <c r="S4" s="4954"/>
      <c r="T4" s="4953" t="s">
        <v>1678</v>
      </c>
      <c r="U4" s="4954"/>
      <c r="V4" s="4980" t="s">
        <v>1679</v>
      </c>
      <c r="W4" s="4980"/>
      <c r="X4" s="963"/>
      <c r="Y4" s="4953" t="s">
        <v>1681</v>
      </c>
      <c r="Z4" s="4954"/>
      <c r="AA4" s="4924" t="s">
        <v>1677</v>
      </c>
      <c r="AB4" s="4925" t="s">
        <v>1678</v>
      </c>
      <c r="AC4" s="4924" t="s">
        <v>1679</v>
      </c>
    </row>
    <row r="5" spans="1:29">
      <c r="A5" s="244"/>
      <c r="B5" s="245"/>
      <c r="C5" s="4987" t="s">
        <v>1579</v>
      </c>
      <c r="D5" s="4988"/>
      <c r="E5" s="4985" t="s">
        <v>1580</v>
      </c>
      <c r="F5" s="4986"/>
      <c r="G5" s="4987" t="s">
        <v>1581</v>
      </c>
      <c r="H5" s="4988"/>
      <c r="I5" s="4987" t="s">
        <v>1582</v>
      </c>
      <c r="J5" s="4988"/>
      <c r="K5" s="406"/>
      <c r="L5" s="2146"/>
      <c r="M5" s="2147"/>
      <c r="N5" s="2147"/>
      <c r="O5" s="2147"/>
      <c r="P5" s="5019"/>
      <c r="Q5" s="5020"/>
      <c r="R5" s="4955"/>
      <c r="S5" s="4956"/>
      <c r="T5" s="4955"/>
      <c r="U5" s="4956"/>
      <c r="V5" s="4980"/>
      <c r="W5" s="4980"/>
      <c r="X5" s="963"/>
      <c r="Y5" s="4955"/>
      <c r="Z5" s="4956"/>
      <c r="AA5" s="4925"/>
      <c r="AB5" s="4925"/>
      <c r="AC5" s="4925"/>
    </row>
    <row r="6" spans="1:29" ht="15" thickBot="1">
      <c r="A6" s="246"/>
      <c r="B6" s="247"/>
      <c r="C6" s="4989" t="s">
        <v>1583</v>
      </c>
      <c r="D6" s="4990"/>
      <c r="E6" s="4991" t="s">
        <v>1583</v>
      </c>
      <c r="F6" s="4992"/>
      <c r="G6" s="4989" t="s">
        <v>1583</v>
      </c>
      <c r="H6" s="4990"/>
      <c r="I6" s="4989" t="s">
        <v>1583</v>
      </c>
      <c r="J6" s="4990"/>
      <c r="K6" s="406" t="s">
        <v>1584</v>
      </c>
      <c r="L6" s="2146"/>
      <c r="M6" s="2147"/>
      <c r="N6" s="2147"/>
      <c r="O6" s="2147"/>
      <c r="P6" s="5021"/>
      <c r="Q6" s="5022"/>
      <c r="R6" s="4955"/>
      <c r="S6" s="4956"/>
      <c r="T6" s="4957"/>
      <c r="U6" s="4958"/>
      <c r="V6" s="4980"/>
      <c r="W6" s="4980"/>
      <c r="X6" s="963"/>
      <c r="Y6" s="4957"/>
      <c r="Z6" s="4958"/>
      <c r="AA6" s="4926"/>
      <c r="AB6" s="4926"/>
      <c r="AC6" s="4926"/>
    </row>
    <row r="7" spans="1:29" s="49" customFormat="1" ht="15" thickBot="1">
      <c r="A7" s="248" t="s">
        <v>1585</v>
      </c>
      <c r="B7" s="249"/>
      <c r="C7" s="250">
        <f>'数据-取费表'!B2</f>
        <v>46087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62" t="s">
        <v>1586</v>
      </c>
      <c r="Q7" s="5023"/>
      <c r="R7" s="4084" t="s">
        <v>13</v>
      </c>
      <c r="S7" s="4087">
        <f t="shared" ref="S7:S14" si="0">F7</f>
        <v>0</v>
      </c>
      <c r="T7" s="4084" t="s">
        <v>13</v>
      </c>
      <c r="U7" s="4087">
        <f t="shared" ref="U7:U14" si="1">H7</f>
        <v>0</v>
      </c>
      <c r="V7" s="4084" t="s">
        <v>13</v>
      </c>
      <c r="W7" s="4087">
        <f t="shared" ref="W7:W14" si="2">J7</f>
        <v>0</v>
      </c>
      <c r="X7" s="504"/>
      <c r="Y7" s="4962" t="s">
        <v>1586</v>
      </c>
      <c r="Z7" s="4963"/>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62" t="s">
        <v>1589</v>
      </c>
      <c r="Q8" s="4963"/>
      <c r="R8" s="4084" t="s">
        <v>13</v>
      </c>
      <c r="S8" s="4087">
        <f t="shared" si="0"/>
        <v>100</v>
      </c>
      <c r="T8" s="4084" t="s">
        <v>13</v>
      </c>
      <c r="U8" s="4087">
        <f t="shared" si="1"/>
        <v>100</v>
      </c>
      <c r="V8" s="4084" t="s">
        <v>13</v>
      </c>
      <c r="W8" s="4087">
        <f t="shared" si="2"/>
        <v>100</v>
      </c>
      <c r="X8" s="504"/>
      <c r="Y8" s="4962" t="s">
        <v>1589</v>
      </c>
      <c r="Z8" s="4963"/>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6" t="s">
        <v>1592</v>
      </c>
      <c r="Q9" s="952" t="str">
        <f t="shared" ref="Q9:Q14" si="6">B9</f>
        <v>用途</v>
      </c>
      <c r="R9" s="4084" t="s">
        <v>13</v>
      </c>
      <c r="S9" s="4087">
        <f t="shared" si="0"/>
        <v>100</v>
      </c>
      <c r="T9" s="4084" t="s">
        <v>13</v>
      </c>
      <c r="U9" s="4087">
        <f t="shared" si="1"/>
        <v>100</v>
      </c>
      <c r="V9" s="4084" t="s">
        <v>13</v>
      </c>
      <c r="W9" s="4087">
        <f t="shared" si="2"/>
        <v>100</v>
      </c>
      <c r="X9" s="504"/>
      <c r="Y9" s="4965"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6"/>
      <c r="Q10" s="952" t="str">
        <f t="shared" si="6"/>
        <v>土地使用年限（年）</v>
      </c>
      <c r="R10" s="4084" t="s">
        <v>13</v>
      </c>
      <c r="S10" s="4087">
        <f t="shared" si="0"/>
        <v>100</v>
      </c>
      <c r="T10" s="4084" t="s">
        <v>13</v>
      </c>
      <c r="U10" s="4087">
        <f t="shared" si="1"/>
        <v>100</v>
      </c>
      <c r="V10" s="4084" t="s">
        <v>13</v>
      </c>
      <c r="W10" s="4087">
        <f t="shared" si="2"/>
        <v>100</v>
      </c>
      <c r="X10" s="504"/>
      <c r="Y10" s="4965"/>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6"/>
      <c r="Q11" s="952">
        <f t="shared" si="6"/>
        <v>111</v>
      </c>
      <c r="R11" s="4084" t="s">
        <v>13</v>
      </c>
      <c r="S11" s="4087">
        <f t="shared" si="0"/>
        <v>100</v>
      </c>
      <c r="T11" s="4084" t="s">
        <v>13</v>
      </c>
      <c r="U11" s="4087">
        <f t="shared" si="1"/>
        <v>100</v>
      </c>
      <c r="V11" s="4084" t="s">
        <v>13</v>
      </c>
      <c r="W11" s="4087">
        <f t="shared" si="2"/>
        <v>100</v>
      </c>
      <c r="X11" s="504"/>
      <c r="Y11" s="4965"/>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6"/>
      <c r="Q12" s="952">
        <f t="shared" si="6"/>
        <v>111</v>
      </c>
      <c r="R12" s="4084" t="s">
        <v>13</v>
      </c>
      <c r="S12" s="4087">
        <f t="shared" si="0"/>
        <v>100</v>
      </c>
      <c r="T12" s="4084" t="s">
        <v>13</v>
      </c>
      <c r="U12" s="4087">
        <f t="shared" si="1"/>
        <v>100</v>
      </c>
      <c r="V12" s="4084" t="s">
        <v>13</v>
      </c>
      <c r="W12" s="4087">
        <f t="shared" si="2"/>
        <v>100</v>
      </c>
      <c r="X12" s="504"/>
      <c r="Y12" s="4965"/>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6"/>
      <c r="Q13" s="952">
        <f t="shared" si="6"/>
        <v>111</v>
      </c>
      <c r="R13" s="4084" t="s">
        <v>13</v>
      </c>
      <c r="S13" s="4087">
        <f t="shared" si="0"/>
        <v>100</v>
      </c>
      <c r="T13" s="4084" t="s">
        <v>13</v>
      </c>
      <c r="U13" s="4087">
        <f t="shared" si="1"/>
        <v>100</v>
      </c>
      <c r="V13" s="4084" t="s">
        <v>13</v>
      </c>
      <c r="W13" s="4087">
        <f t="shared" si="2"/>
        <v>100</v>
      </c>
      <c r="X13" s="504"/>
      <c r="Y13" s="4965"/>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68" t="s">
        <v>1597</v>
      </c>
      <c r="Q14" s="960" t="str">
        <f t="shared" si="6"/>
        <v>交通便捷度</v>
      </c>
      <c r="R14" s="4085" t="s">
        <v>13</v>
      </c>
      <c r="S14" s="4088">
        <f t="shared" si="0"/>
        <v>100</v>
      </c>
      <c r="T14" s="4085" t="s">
        <v>13</v>
      </c>
      <c r="U14" s="4088">
        <f t="shared" si="1"/>
        <v>100</v>
      </c>
      <c r="V14" s="4085" t="s">
        <v>13</v>
      </c>
      <c r="W14" s="4088">
        <f t="shared" si="2"/>
        <v>100</v>
      </c>
      <c r="X14" s="963"/>
      <c r="Y14" s="4968"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69"/>
      <c r="Q15" s="960"/>
      <c r="R15" s="4085"/>
      <c r="S15" s="4088"/>
      <c r="T15" s="4085"/>
      <c r="U15" s="4088"/>
      <c r="V15" s="4085"/>
      <c r="W15" s="4088"/>
      <c r="X15" s="963"/>
      <c r="Y15" s="4969"/>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69"/>
      <c r="Q16" s="960" t="str">
        <f>B16</f>
        <v>公共配套设施</v>
      </c>
      <c r="R16" s="4085" t="s">
        <v>13</v>
      </c>
      <c r="S16" s="4088">
        <f>F16</f>
        <v>100</v>
      </c>
      <c r="T16" s="4085" t="s">
        <v>13</v>
      </c>
      <c r="U16" s="4088">
        <f>H16</f>
        <v>100</v>
      </c>
      <c r="V16" s="4085" t="s">
        <v>13</v>
      </c>
      <c r="W16" s="4088">
        <f>J16</f>
        <v>100</v>
      </c>
      <c r="X16" s="963"/>
      <c r="Y16" s="4969"/>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69"/>
      <c r="Q17" s="960"/>
      <c r="R17" s="4085"/>
      <c r="S17" s="4088"/>
      <c r="T17" s="4085"/>
      <c r="U17" s="4088"/>
      <c r="V17" s="4085"/>
      <c r="W17" s="4088"/>
      <c r="X17" s="963"/>
      <c r="Y17" s="4969"/>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69"/>
      <c r="Q18" s="960" t="str">
        <f>B18</f>
        <v>基础设施水平</v>
      </c>
      <c r="R18" s="4085" t="s">
        <v>13</v>
      </c>
      <c r="S18" s="4088">
        <f>F18</f>
        <v>100</v>
      </c>
      <c r="T18" s="4085" t="s">
        <v>13</v>
      </c>
      <c r="U18" s="4088">
        <f>H18</f>
        <v>100</v>
      </c>
      <c r="V18" s="4085" t="s">
        <v>13</v>
      </c>
      <c r="W18" s="4088">
        <f>J18</f>
        <v>100</v>
      </c>
      <c r="X18" s="963"/>
      <c r="Y18" s="4969"/>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69"/>
      <c r="Q19" s="960"/>
      <c r="R19" s="4085"/>
      <c r="S19" s="4088"/>
      <c r="T19" s="4085"/>
      <c r="U19" s="4088"/>
      <c r="V19" s="4085"/>
      <c r="W19" s="4088"/>
      <c r="X19" s="963"/>
      <c r="Y19" s="4969"/>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69"/>
      <c r="Q20" s="960" t="str">
        <f>B20</f>
        <v>自然及人文环境</v>
      </c>
      <c r="R20" s="4085" t="s">
        <v>13</v>
      </c>
      <c r="S20" s="4088">
        <f>F20</f>
        <v>100</v>
      </c>
      <c r="T20" s="4085" t="s">
        <v>13</v>
      </c>
      <c r="U20" s="4088">
        <f>H20</f>
        <v>100</v>
      </c>
      <c r="V20" s="4085" t="s">
        <v>13</v>
      </c>
      <c r="W20" s="4088">
        <f>J20</f>
        <v>100</v>
      </c>
      <c r="X20" s="963"/>
      <c r="Y20" s="4969"/>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69"/>
      <c r="Q21" s="960"/>
      <c r="R21" s="4085"/>
      <c r="S21" s="4088"/>
      <c r="T21" s="4085"/>
      <c r="U21" s="4088"/>
      <c r="V21" s="4085"/>
      <c r="W21" s="4088"/>
      <c r="X21" s="963"/>
      <c r="Y21" s="4969"/>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69"/>
      <c r="Q22" s="960" t="str">
        <f>B22</f>
        <v>楼层</v>
      </c>
      <c r="R22" s="4085" t="s">
        <v>13</v>
      </c>
      <c r="S22" s="4088">
        <f>F22</f>
        <v>100</v>
      </c>
      <c r="T22" s="4085" t="s">
        <v>13</v>
      </c>
      <c r="U22" s="4088">
        <f>H22</f>
        <v>100</v>
      </c>
      <c r="V22" s="4085" t="s">
        <v>13</v>
      </c>
      <c r="W22" s="4088">
        <f>J22</f>
        <v>100</v>
      </c>
      <c r="X22" s="963"/>
      <c r="Y22" s="4969"/>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69"/>
      <c r="Q23" s="960">
        <f>B23</f>
        <v>111</v>
      </c>
      <c r="R23" s="4085" t="s">
        <v>13</v>
      </c>
      <c r="S23" s="4088">
        <f>F23</f>
        <v>100</v>
      </c>
      <c r="T23" s="4085" t="s">
        <v>13</v>
      </c>
      <c r="U23" s="4088">
        <f>H23</f>
        <v>100</v>
      </c>
      <c r="V23" s="4085" t="s">
        <v>13</v>
      </c>
      <c r="W23" s="4088">
        <f>J23</f>
        <v>100</v>
      </c>
      <c r="X23" s="963"/>
      <c r="Y23" s="4969"/>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69"/>
      <c r="Q24" s="960">
        <f t="shared" ref="Q24:Q34" si="11">B24</f>
        <v>111</v>
      </c>
      <c r="R24" s="4085" t="s">
        <v>13</v>
      </c>
      <c r="S24" s="4088">
        <f>F24</f>
        <v>100</v>
      </c>
      <c r="T24" s="4085" t="s">
        <v>13</v>
      </c>
      <c r="U24" s="4088">
        <f>H24</f>
        <v>100</v>
      </c>
      <c r="V24" s="4085" t="s">
        <v>13</v>
      </c>
      <c r="W24" s="4088">
        <f>J24</f>
        <v>100</v>
      </c>
      <c r="X24" s="963"/>
      <c r="Y24" s="4969"/>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69"/>
      <c r="Q25" s="952">
        <f t="shared" si="11"/>
        <v>111</v>
      </c>
      <c r="R25" s="4084" t="s">
        <v>13</v>
      </c>
      <c r="S25" s="4087">
        <f>F25</f>
        <v>100</v>
      </c>
      <c r="T25" s="4084" t="s">
        <v>13</v>
      </c>
      <c r="U25" s="4087">
        <f>H25</f>
        <v>100</v>
      </c>
      <c r="V25" s="4084" t="s">
        <v>13</v>
      </c>
      <c r="W25" s="4087">
        <f>J25</f>
        <v>100</v>
      </c>
      <c r="X25" s="504"/>
      <c r="Y25" s="4969"/>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24"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73"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73"/>
      <c r="Q27" s="506" t="str">
        <f t="shared" si="11"/>
        <v>成新率</v>
      </c>
      <c r="R27" s="4086" t="s">
        <v>13</v>
      </c>
      <c r="S27" s="4089" t="e">
        <f t="shared" si="12"/>
        <v>#N/A</v>
      </c>
      <c r="T27" s="4086" t="s">
        <v>13</v>
      </c>
      <c r="U27" s="4089" t="e">
        <f t="shared" si="13"/>
        <v>#N/A</v>
      </c>
      <c r="V27" s="4086" t="s">
        <v>13</v>
      </c>
      <c r="W27" s="4089" t="e">
        <f t="shared" si="14"/>
        <v>#N/A</v>
      </c>
      <c r="X27" s="507"/>
      <c r="Y27" s="4973"/>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73"/>
      <c r="Q28" s="960" t="str">
        <f t="shared" si="11"/>
        <v>物业等级</v>
      </c>
      <c r="R28" s="4085" t="s">
        <v>13</v>
      </c>
      <c r="S28" s="4088">
        <f t="shared" si="12"/>
        <v>100</v>
      </c>
      <c r="T28" s="4085" t="s">
        <v>13</v>
      </c>
      <c r="U28" s="4088">
        <f t="shared" si="13"/>
        <v>100</v>
      </c>
      <c r="V28" s="4085" t="s">
        <v>13</v>
      </c>
      <c r="W28" s="4088">
        <f t="shared" si="14"/>
        <v>100</v>
      </c>
      <c r="X28" s="963"/>
      <c r="Y28" s="4973"/>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73"/>
      <c r="Q29" s="960" t="str">
        <f t="shared" si="11"/>
        <v>有无电梯</v>
      </c>
      <c r="R29" s="4085" t="s">
        <v>13</v>
      </c>
      <c r="S29" s="4088">
        <f t="shared" si="12"/>
        <v>100</v>
      </c>
      <c r="T29" s="4085" t="s">
        <v>13</v>
      </c>
      <c r="U29" s="4088">
        <f t="shared" si="13"/>
        <v>100</v>
      </c>
      <c r="V29" s="4085" t="s">
        <v>13</v>
      </c>
      <c r="W29" s="4088">
        <f t="shared" si="14"/>
        <v>100</v>
      </c>
      <c r="X29" s="963"/>
      <c r="Y29" s="4973"/>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73"/>
      <c r="Q30" s="960" t="str">
        <f t="shared" si="11"/>
        <v>建筑面积</v>
      </c>
      <c r="R30" s="4085" t="s">
        <v>13</v>
      </c>
      <c r="S30" s="4088" t="e">
        <f t="shared" si="12"/>
        <v>#N/A</v>
      </c>
      <c r="T30" s="4085" t="s">
        <v>13</v>
      </c>
      <c r="U30" s="4088" t="e">
        <f t="shared" si="13"/>
        <v>#N/A</v>
      </c>
      <c r="V30" s="4085" t="s">
        <v>13</v>
      </c>
      <c r="W30" s="4088" t="e">
        <f t="shared" si="14"/>
        <v>#N/A</v>
      </c>
      <c r="X30" s="963"/>
      <c r="Y30" s="4973"/>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73"/>
      <c r="Q31" s="952" t="str">
        <f t="shared" si="11"/>
        <v>是否封闭</v>
      </c>
      <c r="R31" s="4084" t="s">
        <v>13</v>
      </c>
      <c r="S31" s="4087">
        <f t="shared" si="12"/>
        <v>100</v>
      </c>
      <c r="T31" s="4084" t="s">
        <v>13</v>
      </c>
      <c r="U31" s="4087">
        <f t="shared" si="13"/>
        <v>100</v>
      </c>
      <c r="V31" s="4084" t="s">
        <v>13</v>
      </c>
      <c r="W31" s="4087">
        <f t="shared" si="14"/>
        <v>100</v>
      </c>
      <c r="X31" s="504"/>
      <c r="Y31" s="4973"/>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73" t="s">
        <v>1602</v>
      </c>
      <c r="Q32" s="960">
        <f t="shared" si="11"/>
        <v>111</v>
      </c>
      <c r="R32" s="4085" t="s">
        <v>13</v>
      </c>
      <c r="S32" s="4088">
        <f t="shared" si="12"/>
        <v>100</v>
      </c>
      <c r="T32" s="4085" t="s">
        <v>13</v>
      </c>
      <c r="U32" s="4088">
        <f t="shared" si="13"/>
        <v>100</v>
      </c>
      <c r="V32" s="4085" t="s">
        <v>13</v>
      </c>
      <c r="W32" s="4088">
        <f t="shared" si="14"/>
        <v>100</v>
      </c>
      <c r="X32" s="963"/>
      <c r="Y32" s="4973"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73"/>
      <c r="Q33" s="960">
        <f t="shared" si="11"/>
        <v>111</v>
      </c>
      <c r="R33" s="4085" t="s">
        <v>13</v>
      </c>
      <c r="S33" s="4088">
        <f t="shared" si="12"/>
        <v>100</v>
      </c>
      <c r="T33" s="4085" t="s">
        <v>13</v>
      </c>
      <c r="U33" s="4088">
        <f t="shared" si="13"/>
        <v>100</v>
      </c>
      <c r="V33" s="4085" t="s">
        <v>13</v>
      </c>
      <c r="W33" s="4088">
        <f t="shared" si="14"/>
        <v>100</v>
      </c>
      <c r="X33" s="963"/>
      <c r="Y33" s="4973"/>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73"/>
      <c r="Q34" s="960">
        <f t="shared" si="11"/>
        <v>111</v>
      </c>
      <c r="R34" s="4085" t="s">
        <v>13</v>
      </c>
      <c r="S34" s="4088">
        <f t="shared" si="12"/>
        <v>100</v>
      </c>
      <c r="T34" s="4085" t="s">
        <v>13</v>
      </c>
      <c r="U34" s="4088">
        <f t="shared" si="13"/>
        <v>100</v>
      </c>
      <c r="V34" s="4085" t="s">
        <v>13</v>
      </c>
      <c r="W34" s="4088">
        <f t="shared" si="14"/>
        <v>100</v>
      </c>
      <c r="X34" s="963"/>
      <c r="Y34" s="4973"/>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6" t="str">
        <f>A35</f>
        <v>成交单价（元/平方米）</v>
      </c>
      <c r="Q35" s="5016"/>
      <c r="R35" s="4980">
        <f>E35</f>
        <v>0</v>
      </c>
      <c r="S35" s="4980"/>
      <c r="T35" s="4980">
        <f>G35</f>
        <v>0</v>
      </c>
      <c r="U35" s="4980"/>
      <c r="V35" s="4980">
        <f>I35</f>
        <v>0</v>
      </c>
      <c r="W35" s="4980"/>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6" t="str">
        <f>A36</f>
        <v>比较价值（元/平方米）</v>
      </c>
      <c r="Q36" s="5016"/>
      <c r="R36" s="4980" t="e">
        <f>IF(F1="售价",ROUND(PRODUCT(R35,AA7:AA34),0),ROUND(PRODUCT(R35,AA7:AA34),1))</f>
        <v>#DIV/0!</v>
      </c>
      <c r="S36" s="4980"/>
      <c r="T36" s="4980" t="e">
        <f>IF(F1="售价",ROUND(PRODUCT(T35,AB7:AB34),0),ROUND(PRODUCT(T35,AB7:AB34),1))</f>
        <v>#DIV/0!</v>
      </c>
      <c r="U36" s="4980"/>
      <c r="V36" s="4980" t="e">
        <f>IF(F1="售价",ROUND(PRODUCT(V35,AC7:AC34),0),ROUND(PRODUCT(V35,AC7:AC34),1))</f>
        <v>#DIV/0!</v>
      </c>
      <c r="W36" s="4980"/>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25" t="str">
        <f>A37</f>
        <v>估价对象XX用房的比较价值（楼面单价，元/平方米）</v>
      </c>
      <c r="Q37" s="5026"/>
      <c r="R37" s="5027" t="e">
        <f>IF(F1="售价",ROUND(IF(D36="简单平均",AVERAGE(R36:W36),R36*F36+T36*H36+V36*J36),0),ROUND(IF(D36="简单平均",AVERAGE(R36:V36),R36*F36+T36*H36+V36*J36),1))</f>
        <v>#DIV/0!</v>
      </c>
      <c r="S37" s="5027"/>
      <c r="T37" s="5027"/>
      <c r="U37" s="5027"/>
      <c r="V37" s="5027"/>
      <c r="W37" s="5027"/>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27" t="s">
        <v>1676</v>
      </c>
      <c r="D6" s="4928"/>
      <c r="E6" s="4929" t="s">
        <v>1677</v>
      </c>
      <c r="F6" s="4930"/>
      <c r="G6" s="4927" t="s">
        <v>1678</v>
      </c>
      <c r="H6" s="4928"/>
      <c r="I6" s="4927" t="s">
        <v>1679</v>
      </c>
      <c r="J6" s="4928"/>
      <c r="K6" s="3105" t="s">
        <v>1680</v>
      </c>
      <c r="L6" s="2146"/>
      <c r="M6" s="2147"/>
      <c r="N6" s="2147"/>
      <c r="O6" s="2147"/>
      <c r="P6" s="4931" t="s">
        <v>1681</v>
      </c>
      <c r="Q6" s="4932"/>
      <c r="R6" s="4937" t="s">
        <v>1677</v>
      </c>
      <c r="S6" s="4938"/>
      <c r="T6" s="4937" t="s">
        <v>1678</v>
      </c>
      <c r="U6" s="4938"/>
      <c r="V6" s="4952" t="s">
        <v>1679</v>
      </c>
      <c r="W6" s="4952"/>
      <c r="X6" s="963"/>
      <c r="Y6" s="4953" t="s">
        <v>1681</v>
      </c>
      <c r="Z6" s="4954"/>
      <c r="AA6" s="4924" t="s">
        <v>1677</v>
      </c>
      <c r="AB6" s="4925" t="s">
        <v>1678</v>
      </c>
      <c r="AC6" s="4924" t="s">
        <v>1679</v>
      </c>
    </row>
    <row r="7" spans="1:30">
      <c r="A7" s="244"/>
      <c r="B7" s="245"/>
      <c r="C7" s="4941" t="s">
        <v>1579</v>
      </c>
      <c r="D7" s="4942"/>
      <c r="E7" s="4981" t="s">
        <v>1580</v>
      </c>
      <c r="F7" s="4944"/>
      <c r="G7" s="4941" t="s">
        <v>1581</v>
      </c>
      <c r="H7" s="4942"/>
      <c r="I7" s="4941" t="s">
        <v>1582</v>
      </c>
      <c r="J7" s="4942"/>
      <c r="K7" s="3105"/>
      <c r="L7" s="2146"/>
      <c r="M7" s="2147"/>
      <c r="N7" s="2147"/>
      <c r="O7" s="2147"/>
      <c r="P7" s="4933"/>
      <c r="Q7" s="4934"/>
      <c r="R7" s="4939"/>
      <c r="S7" s="4940"/>
      <c r="T7" s="4939"/>
      <c r="U7" s="4940"/>
      <c r="V7" s="4952"/>
      <c r="W7" s="4952"/>
      <c r="X7" s="963"/>
      <c r="Y7" s="4955"/>
      <c r="Z7" s="4956"/>
      <c r="AA7" s="4925"/>
      <c r="AB7" s="4925"/>
      <c r="AC7" s="4925"/>
    </row>
    <row r="8" spans="1:30" ht="15" thickBot="1">
      <c r="A8" s="246"/>
      <c r="B8" s="247"/>
      <c r="C8" s="4946" t="s">
        <v>1583</v>
      </c>
      <c r="D8" s="4947"/>
      <c r="E8" s="4948" t="s">
        <v>1583</v>
      </c>
      <c r="F8" s="4949"/>
      <c r="G8" s="4946" t="s">
        <v>1583</v>
      </c>
      <c r="H8" s="4947"/>
      <c r="I8" s="4946" t="s">
        <v>1583</v>
      </c>
      <c r="J8" s="4947"/>
      <c r="K8" s="3105" t="s">
        <v>1584</v>
      </c>
      <c r="L8" s="2146"/>
      <c r="M8" s="2147"/>
      <c r="N8" s="2147"/>
      <c r="O8" s="2147"/>
      <c r="P8" s="4935"/>
      <c r="Q8" s="4936"/>
      <c r="R8" s="4939"/>
      <c r="S8" s="4940"/>
      <c r="T8" s="4950"/>
      <c r="U8" s="4951"/>
      <c r="V8" s="4952"/>
      <c r="W8" s="4952"/>
      <c r="X8" s="963"/>
      <c r="Y8" s="4957"/>
      <c r="Z8" s="4958"/>
      <c r="AA8" s="4926"/>
      <c r="AB8" s="4926"/>
      <c r="AC8" s="4926"/>
    </row>
    <row r="9" spans="1:30" s="49" customFormat="1" ht="15" thickBot="1">
      <c r="A9" s="3338" t="s">
        <v>1585</v>
      </c>
      <c r="B9" s="3339"/>
      <c r="C9" s="3052">
        <f>'数据-取费表'!B2</f>
        <v>46087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59" t="s">
        <v>1586</v>
      </c>
      <c r="Q9" s="4960"/>
      <c r="R9" s="4076" t="s">
        <v>13</v>
      </c>
      <c r="S9" s="4079">
        <f t="shared" ref="S9:S17" si="0">F9</f>
        <v>0</v>
      </c>
      <c r="T9" s="4076" t="s">
        <v>13</v>
      </c>
      <c r="U9" s="4079">
        <f t="shared" ref="U9:U17" si="1">H9</f>
        <v>0</v>
      </c>
      <c r="V9" s="4076" t="s">
        <v>13</v>
      </c>
      <c r="W9" s="4079">
        <f t="shared" ref="W9:W17" si="2">J9</f>
        <v>0</v>
      </c>
      <c r="X9" s="504"/>
      <c r="Y9" s="4962" t="s">
        <v>1586</v>
      </c>
      <c r="Z9" s="4963"/>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59" t="s">
        <v>1589</v>
      </c>
      <c r="Q10" s="4961"/>
      <c r="R10" s="4076" t="s">
        <v>13</v>
      </c>
      <c r="S10" s="4079">
        <f t="shared" si="0"/>
        <v>100</v>
      </c>
      <c r="T10" s="4076" t="s">
        <v>13</v>
      </c>
      <c r="U10" s="4079">
        <f t="shared" si="1"/>
        <v>100</v>
      </c>
      <c r="V10" s="4076" t="s">
        <v>13</v>
      </c>
      <c r="W10" s="4079">
        <f t="shared" si="2"/>
        <v>100</v>
      </c>
      <c r="X10" s="504"/>
      <c r="Y10" s="4962" t="s">
        <v>1589</v>
      </c>
      <c r="Z10" s="4963"/>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75" t="s">
        <v>1592</v>
      </c>
      <c r="Q11" s="3274" t="str">
        <f t="shared" ref="Q11:Q17" si="6">B11</f>
        <v>用途</v>
      </c>
      <c r="R11" s="4076" t="s">
        <v>13</v>
      </c>
      <c r="S11" s="4079">
        <f t="shared" si="0"/>
        <v>100</v>
      </c>
      <c r="T11" s="4076" t="s">
        <v>13</v>
      </c>
      <c r="U11" s="4079">
        <f t="shared" si="1"/>
        <v>100</v>
      </c>
      <c r="V11" s="4076" t="s">
        <v>13</v>
      </c>
      <c r="W11" s="4079">
        <f t="shared" si="2"/>
        <v>100</v>
      </c>
      <c r="X11" s="504"/>
      <c r="Y11" s="4965"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75"/>
      <c r="Q12" s="3274" t="str">
        <f t="shared" si="6"/>
        <v>土地使用年限（年）</v>
      </c>
      <c r="R12" s="4076" t="s">
        <v>13</v>
      </c>
      <c r="S12" s="4079" t="e">
        <f t="shared" si="0"/>
        <v>#DIV/0!</v>
      </c>
      <c r="T12" s="4076" t="s">
        <v>13</v>
      </c>
      <c r="U12" s="4079" t="e">
        <f t="shared" si="1"/>
        <v>#DIV/0!</v>
      </c>
      <c r="V12" s="4076" t="s">
        <v>13</v>
      </c>
      <c r="W12" s="4079" t="e">
        <f t="shared" si="2"/>
        <v>#DIV/0!</v>
      </c>
      <c r="X12" s="504"/>
      <c r="Y12" s="4965"/>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75"/>
      <c r="Q13" s="3274" t="str">
        <f t="shared" si="6"/>
        <v>容积率</v>
      </c>
      <c r="R13" s="4076" t="s">
        <v>13</v>
      </c>
      <c r="S13" s="4079">
        <f t="shared" si="0"/>
        <v>100</v>
      </c>
      <c r="T13" s="4076" t="s">
        <v>13</v>
      </c>
      <c r="U13" s="4079">
        <f t="shared" si="1"/>
        <v>100</v>
      </c>
      <c r="V13" s="4076" t="s">
        <v>13</v>
      </c>
      <c r="W13" s="4079">
        <f t="shared" si="2"/>
        <v>100</v>
      </c>
      <c r="X13" s="504"/>
      <c r="Y13" s="4965"/>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75"/>
      <c r="Q14" s="3274" t="str">
        <f t="shared" si="6"/>
        <v>配建</v>
      </c>
      <c r="R14" s="4076" t="s">
        <v>13</v>
      </c>
      <c r="S14" s="4079">
        <f t="shared" si="0"/>
        <v>100</v>
      </c>
      <c r="T14" s="4076" t="s">
        <v>13</v>
      </c>
      <c r="U14" s="4079">
        <f t="shared" si="1"/>
        <v>100</v>
      </c>
      <c r="V14" s="4076" t="s">
        <v>13</v>
      </c>
      <c r="W14" s="4079">
        <f t="shared" si="2"/>
        <v>100</v>
      </c>
      <c r="X14" s="504"/>
      <c r="Y14" s="4965"/>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75"/>
      <c r="Q15" s="3274">
        <f t="shared" si="6"/>
        <v>111</v>
      </c>
      <c r="R15" s="4076" t="s">
        <v>13</v>
      </c>
      <c r="S15" s="4079">
        <f t="shared" si="0"/>
        <v>100</v>
      </c>
      <c r="T15" s="4076" t="s">
        <v>13</v>
      </c>
      <c r="U15" s="4079">
        <f t="shared" si="1"/>
        <v>100</v>
      </c>
      <c r="V15" s="4076" t="s">
        <v>13</v>
      </c>
      <c r="W15" s="4079">
        <f t="shared" si="2"/>
        <v>100</v>
      </c>
      <c r="X15" s="504"/>
      <c r="Y15" s="4965"/>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75"/>
      <c r="Q16" s="3274">
        <f t="shared" si="6"/>
        <v>111</v>
      </c>
      <c r="R16" s="4076" t="s">
        <v>13</v>
      </c>
      <c r="S16" s="4079">
        <f t="shared" si="0"/>
        <v>100</v>
      </c>
      <c r="T16" s="4076" t="s">
        <v>13</v>
      </c>
      <c r="U16" s="4079">
        <f t="shared" si="1"/>
        <v>100</v>
      </c>
      <c r="V16" s="4076" t="s">
        <v>13</v>
      </c>
      <c r="W16" s="4079">
        <f t="shared" si="2"/>
        <v>100</v>
      </c>
      <c r="X16" s="504"/>
      <c r="Y16" s="4965"/>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11" t="s">
        <v>1597</v>
      </c>
      <c r="Q17" s="3277" t="str">
        <f t="shared" si="6"/>
        <v>居住社区成熟度</v>
      </c>
      <c r="R17" s="4077" t="s">
        <v>13</v>
      </c>
      <c r="S17" s="4080">
        <f t="shared" si="0"/>
        <v>100</v>
      </c>
      <c r="T17" s="4077" t="s">
        <v>13</v>
      </c>
      <c r="U17" s="4080">
        <f t="shared" si="1"/>
        <v>100</v>
      </c>
      <c r="V17" s="4077" t="s">
        <v>13</v>
      </c>
      <c r="W17" s="4080">
        <f t="shared" si="2"/>
        <v>100</v>
      </c>
      <c r="X17" s="963"/>
      <c r="Y17" s="4968"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12"/>
      <c r="Q18" s="3277"/>
      <c r="R18" s="4077"/>
      <c r="S18" s="4080"/>
      <c r="T18" s="4077"/>
      <c r="U18" s="4080"/>
      <c r="V18" s="4077"/>
      <c r="W18" s="4080"/>
      <c r="X18" s="963"/>
      <c r="Y18" s="4969"/>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12"/>
      <c r="Q19" s="3277" t="str">
        <f>B19</f>
        <v>商业繁华度</v>
      </c>
      <c r="R19" s="4077" t="s">
        <v>13</v>
      </c>
      <c r="S19" s="4080">
        <f>F19</f>
        <v>100</v>
      </c>
      <c r="T19" s="4077" t="s">
        <v>13</v>
      </c>
      <c r="U19" s="4080">
        <f>H19</f>
        <v>100</v>
      </c>
      <c r="V19" s="4077" t="s">
        <v>13</v>
      </c>
      <c r="W19" s="4080">
        <f>J19</f>
        <v>100</v>
      </c>
      <c r="X19" s="963"/>
      <c r="Y19" s="4969"/>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12"/>
      <c r="Q20" s="3277"/>
      <c r="R20" s="4077"/>
      <c r="S20" s="4080"/>
      <c r="T20" s="4077"/>
      <c r="U20" s="4080"/>
      <c r="V20" s="4077"/>
      <c r="W20" s="4080"/>
      <c r="X20" s="963"/>
      <c r="Y20" s="4969"/>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12"/>
      <c r="Q21" s="3277" t="str">
        <f>B21</f>
        <v>办公集聚程度</v>
      </c>
      <c r="R21" s="4077" t="s">
        <v>13</v>
      </c>
      <c r="S21" s="4080">
        <f>F21</f>
        <v>100</v>
      </c>
      <c r="T21" s="4077" t="s">
        <v>13</v>
      </c>
      <c r="U21" s="4080">
        <f>H21</f>
        <v>100</v>
      </c>
      <c r="V21" s="4077" t="s">
        <v>13</v>
      </c>
      <c r="W21" s="4080">
        <f>J21</f>
        <v>100</v>
      </c>
      <c r="X21" s="963"/>
      <c r="Y21" s="4969"/>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12"/>
      <c r="Q22" s="3277"/>
      <c r="R22" s="4077"/>
      <c r="S22" s="4080"/>
      <c r="T22" s="4077"/>
      <c r="U22" s="4080"/>
      <c r="V22" s="4077"/>
      <c r="W22" s="4080"/>
      <c r="X22" s="963"/>
      <c r="Y22" s="4969"/>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12"/>
      <c r="Q23" s="3277" t="str">
        <f>B23</f>
        <v>交通便捷度</v>
      </c>
      <c r="R23" s="4077" t="s">
        <v>13</v>
      </c>
      <c r="S23" s="4080">
        <f>F23</f>
        <v>100</v>
      </c>
      <c r="T23" s="4077" t="s">
        <v>13</v>
      </c>
      <c r="U23" s="4080">
        <f>H23</f>
        <v>100</v>
      </c>
      <c r="V23" s="4077" t="s">
        <v>13</v>
      </c>
      <c r="W23" s="4080">
        <f>J23</f>
        <v>100</v>
      </c>
      <c r="X23" s="963"/>
      <c r="Y23" s="4969"/>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12"/>
      <c r="Q24" s="3277"/>
      <c r="R24" s="4077"/>
      <c r="S24" s="4080"/>
      <c r="T24" s="4077"/>
      <c r="U24" s="4080"/>
      <c r="V24" s="4077"/>
      <c r="W24" s="4080"/>
      <c r="X24" s="963"/>
      <c r="Y24" s="4969"/>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12"/>
      <c r="Q25" s="3277" t="str">
        <f t="shared" ref="Q25:Q39" si="8">B25</f>
        <v>区域土地利用方向</v>
      </c>
      <c r="R25" s="4077" t="s">
        <v>13</v>
      </c>
      <c r="S25" s="4080">
        <f>F25</f>
        <v>100</v>
      </c>
      <c r="T25" s="4077" t="s">
        <v>13</v>
      </c>
      <c r="U25" s="4080">
        <f>H25</f>
        <v>100</v>
      </c>
      <c r="V25" s="4077" t="s">
        <v>13</v>
      </c>
      <c r="W25" s="4080">
        <f>J25</f>
        <v>100</v>
      </c>
      <c r="X25" s="963"/>
      <c r="Y25" s="4969"/>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12"/>
      <c r="Q26" s="3277"/>
      <c r="R26" s="4077"/>
      <c r="S26" s="4080"/>
      <c r="T26" s="4077"/>
      <c r="U26" s="4080"/>
      <c r="V26" s="4077"/>
      <c r="W26" s="4080"/>
      <c r="X26" s="963"/>
      <c r="Y26" s="4969"/>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12"/>
      <c r="Q27" s="3277" t="str">
        <f t="shared" si="8"/>
        <v>自然及人文环境状况</v>
      </c>
      <c r="R27" s="4077" t="s">
        <v>13</v>
      </c>
      <c r="S27" s="4080">
        <f>F27</f>
        <v>100</v>
      </c>
      <c r="T27" s="4077" t="s">
        <v>13</v>
      </c>
      <c r="U27" s="4080">
        <f>H27</f>
        <v>100</v>
      </c>
      <c r="V27" s="4077" t="s">
        <v>13</v>
      </c>
      <c r="W27" s="4080">
        <f>J27</f>
        <v>100</v>
      </c>
      <c r="X27" s="963"/>
      <c r="Y27" s="4969"/>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12"/>
      <c r="Q28" s="3277"/>
      <c r="R28" s="4077"/>
      <c r="S28" s="4080"/>
      <c r="T28" s="4077"/>
      <c r="U28" s="4080"/>
      <c r="V28" s="4077"/>
      <c r="W28" s="4080"/>
      <c r="X28" s="963"/>
      <c r="Y28" s="4969"/>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12"/>
      <c r="Q29" s="3274" t="str">
        <f t="shared" si="8"/>
        <v>公共配套设施</v>
      </c>
      <c r="R29" s="4076" t="s">
        <v>13</v>
      </c>
      <c r="S29" s="4079">
        <f>F29</f>
        <v>100</v>
      </c>
      <c r="T29" s="4076" t="s">
        <v>13</v>
      </c>
      <c r="U29" s="4079">
        <f>H29</f>
        <v>100</v>
      </c>
      <c r="V29" s="4076" t="s">
        <v>13</v>
      </c>
      <c r="W29" s="4079">
        <f>J29</f>
        <v>100</v>
      </c>
      <c r="X29" s="504"/>
      <c r="Y29" s="4969"/>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12"/>
      <c r="Q30" s="3274"/>
      <c r="R30" s="4076"/>
      <c r="S30" s="4079"/>
      <c r="T30" s="4076"/>
      <c r="U30" s="4079"/>
      <c r="V30" s="4076"/>
      <c r="W30" s="4079"/>
      <c r="X30" s="504"/>
      <c r="Y30" s="4969"/>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12"/>
      <c r="Q31" s="3274" t="str">
        <f t="shared" ref="Q31" si="9">B31</f>
        <v>基础设施水平</v>
      </c>
      <c r="R31" s="4076" t="s">
        <v>13</v>
      </c>
      <c r="S31" s="4079">
        <f>F31</f>
        <v>100</v>
      </c>
      <c r="T31" s="4076" t="s">
        <v>13</v>
      </c>
      <c r="U31" s="4079">
        <f>H31</f>
        <v>100</v>
      </c>
      <c r="V31" s="4076" t="s">
        <v>13</v>
      </c>
      <c r="W31" s="4079">
        <f>J31</f>
        <v>100</v>
      </c>
      <c r="X31" s="504"/>
      <c r="Y31" s="4969"/>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12"/>
      <c r="Q32" s="3274"/>
      <c r="R32" s="4076"/>
      <c r="S32" s="4079"/>
      <c r="T32" s="4076"/>
      <c r="U32" s="4079"/>
      <c r="V32" s="4076"/>
      <c r="W32" s="4079"/>
      <c r="X32" s="504"/>
      <c r="Y32" s="4969"/>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12"/>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69"/>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12"/>
      <c r="Q34" s="3277" t="str">
        <f t="shared" si="8"/>
        <v>毗邻道路的类型与等级</v>
      </c>
      <c r="R34" s="4077" t="s">
        <v>13</v>
      </c>
      <c r="S34" s="4080">
        <f t="shared" si="10"/>
        <v>100</v>
      </c>
      <c r="T34" s="4077" t="s">
        <v>13</v>
      </c>
      <c r="U34" s="4080">
        <f t="shared" si="11"/>
        <v>100</v>
      </c>
      <c r="V34" s="4077" t="s">
        <v>13</v>
      </c>
      <c r="W34" s="4080">
        <f t="shared" si="12"/>
        <v>100</v>
      </c>
      <c r="X34" s="963"/>
      <c r="Y34" s="4969"/>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12"/>
      <c r="Q35" s="3277"/>
      <c r="R35" s="4077"/>
      <c r="S35" s="4080"/>
      <c r="T35" s="4077"/>
      <c r="U35" s="4080"/>
      <c r="V35" s="4077"/>
      <c r="W35" s="4080"/>
      <c r="X35" s="963"/>
      <c r="Y35" s="4969"/>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12"/>
      <c r="Q36" s="3277" t="str">
        <f t="shared" si="8"/>
        <v>土地级别</v>
      </c>
      <c r="R36" s="4077" t="s">
        <v>13</v>
      </c>
      <c r="S36" s="4080">
        <f t="shared" si="10"/>
        <v>100</v>
      </c>
      <c r="T36" s="4077" t="s">
        <v>13</v>
      </c>
      <c r="U36" s="4080">
        <f t="shared" si="11"/>
        <v>100</v>
      </c>
      <c r="V36" s="4077" t="s">
        <v>13</v>
      </c>
      <c r="W36" s="4080">
        <f t="shared" si="12"/>
        <v>100</v>
      </c>
      <c r="X36" s="963"/>
      <c r="Y36" s="4969"/>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12"/>
      <c r="Q37" s="3277">
        <f t="shared" si="8"/>
        <v>111</v>
      </c>
      <c r="R37" s="4077" t="s">
        <v>13</v>
      </c>
      <c r="S37" s="4080">
        <f t="shared" si="10"/>
        <v>100</v>
      </c>
      <c r="T37" s="4077" t="s">
        <v>13</v>
      </c>
      <c r="U37" s="4080">
        <f t="shared" si="11"/>
        <v>100</v>
      </c>
      <c r="V37" s="4077" t="s">
        <v>13</v>
      </c>
      <c r="W37" s="4080">
        <f t="shared" si="12"/>
        <v>100</v>
      </c>
      <c r="X37" s="963"/>
      <c r="Y37" s="4969"/>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13" t="s">
        <v>1602</v>
      </c>
      <c r="Q38" s="3277">
        <f t="shared" si="8"/>
        <v>111</v>
      </c>
      <c r="R38" s="4077" t="s">
        <v>13</v>
      </c>
      <c r="S38" s="4080">
        <f t="shared" si="10"/>
        <v>100</v>
      </c>
      <c r="T38" s="4077" t="s">
        <v>13</v>
      </c>
      <c r="U38" s="4080">
        <f t="shared" si="11"/>
        <v>100</v>
      </c>
      <c r="V38" s="4077" t="s">
        <v>13</v>
      </c>
      <c r="W38" s="4080">
        <f t="shared" si="12"/>
        <v>100</v>
      </c>
      <c r="X38" s="963"/>
      <c r="Y38" s="4973"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4"/>
      <c r="Q39" s="3277">
        <f t="shared" si="8"/>
        <v>111</v>
      </c>
      <c r="R39" s="4078" t="s">
        <v>13</v>
      </c>
      <c r="S39" s="4081">
        <f t="shared" si="10"/>
        <v>100</v>
      </c>
      <c r="T39" s="4078" t="s">
        <v>13</v>
      </c>
      <c r="U39" s="4081">
        <f t="shared" si="11"/>
        <v>100</v>
      </c>
      <c r="V39" s="4078" t="s">
        <v>13</v>
      </c>
      <c r="W39" s="4081">
        <f t="shared" si="12"/>
        <v>100</v>
      </c>
      <c r="X39" s="507"/>
      <c r="Y39" s="4973"/>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4"/>
      <c r="Q40" s="3277" t="str">
        <f>B40</f>
        <v>宗地面积</v>
      </c>
      <c r="R40" s="4077" t="s">
        <v>13</v>
      </c>
      <c r="S40" s="4080" t="e">
        <f t="shared" si="10"/>
        <v>#N/A</v>
      </c>
      <c r="T40" s="4077" t="s">
        <v>13</v>
      </c>
      <c r="U40" s="4080" t="e">
        <f t="shared" si="11"/>
        <v>#N/A</v>
      </c>
      <c r="V40" s="4077" t="s">
        <v>13</v>
      </c>
      <c r="W40" s="4080" t="e">
        <f t="shared" si="12"/>
        <v>#N/A</v>
      </c>
      <c r="X40" s="963"/>
      <c r="Y40" s="4973"/>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4"/>
      <c r="Q41" s="3277" t="str">
        <f t="shared" ref="Q41:Q47" si="14">B41</f>
        <v>宗地形状</v>
      </c>
      <c r="R41" s="4077" t="s">
        <v>13</v>
      </c>
      <c r="S41" s="4080">
        <f t="shared" si="10"/>
        <v>100</v>
      </c>
      <c r="T41" s="4077" t="s">
        <v>13</v>
      </c>
      <c r="U41" s="4080">
        <f t="shared" si="11"/>
        <v>100</v>
      </c>
      <c r="V41" s="4077" t="s">
        <v>13</v>
      </c>
      <c r="W41" s="4080">
        <f t="shared" si="12"/>
        <v>100</v>
      </c>
      <c r="X41" s="963"/>
      <c r="Y41" s="4973"/>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4"/>
      <c r="Q42" s="3277" t="str">
        <f t="shared" si="14"/>
        <v>临街宽度及深度</v>
      </c>
      <c r="R42" s="4077" t="s">
        <v>13</v>
      </c>
      <c r="S42" s="4080">
        <f t="shared" si="10"/>
        <v>100</v>
      </c>
      <c r="T42" s="4077" t="s">
        <v>13</v>
      </c>
      <c r="U42" s="4080">
        <f t="shared" si="11"/>
        <v>100</v>
      </c>
      <c r="V42" s="4077" t="s">
        <v>13</v>
      </c>
      <c r="W42" s="4080">
        <f t="shared" si="12"/>
        <v>100</v>
      </c>
      <c r="X42" s="963"/>
      <c r="Y42" s="4973"/>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4"/>
      <c r="Q43" s="3277" t="str">
        <f t="shared" si="14"/>
        <v>宗地开发程度</v>
      </c>
      <c r="R43" s="4076" t="s">
        <v>13</v>
      </c>
      <c r="S43" s="4079">
        <f t="shared" si="10"/>
        <v>100</v>
      </c>
      <c r="T43" s="4076" t="s">
        <v>13</v>
      </c>
      <c r="U43" s="4079">
        <f t="shared" si="11"/>
        <v>100</v>
      </c>
      <c r="V43" s="4076" t="s">
        <v>13</v>
      </c>
      <c r="W43" s="4079">
        <f t="shared" si="12"/>
        <v>100</v>
      </c>
      <c r="X43" s="504"/>
      <c r="Y43" s="4973"/>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4" t="s">
        <v>1602</v>
      </c>
      <c r="Q44" s="3277" t="str">
        <f t="shared" si="14"/>
        <v>工程地质条件</v>
      </c>
      <c r="R44" s="4077" t="s">
        <v>13</v>
      </c>
      <c r="S44" s="4080">
        <f t="shared" si="10"/>
        <v>100</v>
      </c>
      <c r="T44" s="4077" t="s">
        <v>13</v>
      </c>
      <c r="U44" s="4080">
        <f t="shared" si="11"/>
        <v>100</v>
      </c>
      <c r="V44" s="4077" t="s">
        <v>13</v>
      </c>
      <c r="W44" s="4080">
        <f t="shared" si="12"/>
        <v>100</v>
      </c>
      <c r="X44" s="963"/>
      <c r="Y44" s="4973"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4"/>
      <c r="Q45" s="3277">
        <f t="shared" si="14"/>
        <v>111</v>
      </c>
      <c r="R45" s="4077" t="s">
        <v>13</v>
      </c>
      <c r="S45" s="4080">
        <f t="shared" si="10"/>
        <v>100</v>
      </c>
      <c r="T45" s="4077" t="s">
        <v>13</v>
      </c>
      <c r="U45" s="4080">
        <f t="shared" si="11"/>
        <v>100</v>
      </c>
      <c r="V45" s="4077" t="s">
        <v>13</v>
      </c>
      <c r="W45" s="4080">
        <f t="shared" si="12"/>
        <v>100</v>
      </c>
      <c r="X45" s="963"/>
      <c r="Y45" s="4973"/>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4"/>
      <c r="Q46" s="3277">
        <f t="shared" si="14"/>
        <v>111</v>
      </c>
      <c r="R46" s="4077" t="s">
        <v>13</v>
      </c>
      <c r="S46" s="4080">
        <f t="shared" si="10"/>
        <v>100</v>
      </c>
      <c r="T46" s="4077" t="s">
        <v>13</v>
      </c>
      <c r="U46" s="4080">
        <f t="shared" si="11"/>
        <v>100</v>
      </c>
      <c r="V46" s="4077" t="s">
        <v>13</v>
      </c>
      <c r="W46" s="4080">
        <f t="shared" si="12"/>
        <v>100</v>
      </c>
      <c r="X46" s="963"/>
      <c r="Y46" s="4973"/>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4"/>
      <c r="Q47" s="3277">
        <f t="shared" si="14"/>
        <v>111</v>
      </c>
      <c r="R47" s="4078" t="s">
        <v>13</v>
      </c>
      <c r="S47" s="4081">
        <f t="shared" si="10"/>
        <v>100</v>
      </c>
      <c r="T47" s="4078" t="s">
        <v>13</v>
      </c>
      <c r="U47" s="4081">
        <f t="shared" si="11"/>
        <v>100</v>
      </c>
      <c r="V47" s="4078" t="s">
        <v>13</v>
      </c>
      <c r="W47" s="4081">
        <f t="shared" si="12"/>
        <v>100</v>
      </c>
      <c r="X47" s="507"/>
      <c r="Y47" s="4973"/>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75" t="str">
        <f>A48</f>
        <v>成交单价</v>
      </c>
      <c r="Q48" s="4975"/>
      <c r="R48" s="4976">
        <f>E48</f>
        <v>0</v>
      </c>
      <c r="S48" s="4976"/>
      <c r="T48" s="4976">
        <f>G48</f>
        <v>0</v>
      </c>
      <c r="U48" s="4976"/>
      <c r="V48" s="4976">
        <f>I48</f>
        <v>0</v>
      </c>
      <c r="W48" s="4976"/>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75" t="str">
        <f>A49</f>
        <v>比较价值（元/平方米）</v>
      </c>
      <c r="Q49" s="4975"/>
      <c r="R49" s="4976" t="e">
        <f>ROUND(PRODUCT(R48,AA9:AA47),0)</f>
        <v>#DIV/0!</v>
      </c>
      <c r="S49" s="4976"/>
      <c r="T49" s="4976" t="e">
        <f>ROUND(PRODUCT(T48,AB9:AB47),0)</f>
        <v>#DIV/0!</v>
      </c>
      <c r="U49" s="4976"/>
      <c r="V49" s="4976" t="e">
        <f>ROUND(PRODUCT(V48,AC9:AC47),0)</f>
        <v>#DIV/0!</v>
      </c>
      <c r="W49" s="4976"/>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77" t="str">
        <f>A50</f>
        <v>估价对象XX用房的比较价值（楼面单价，元/平方米）</v>
      </c>
      <c r="Q50" s="4978"/>
      <c r="R50" s="4979" t="e">
        <f>ROUND(IF(D49="简单平均",AVERAGE(R49:W49),R49*F49+T49*H49+V49*J49),0)</f>
        <v>#DIV/0!</v>
      </c>
      <c r="S50" s="4979"/>
      <c r="T50" s="4979"/>
      <c r="U50" s="4979"/>
      <c r="V50" s="4979"/>
      <c r="W50" s="4979"/>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96" t="s">
        <v>1793</v>
      </c>
      <c r="H57" s="5028"/>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9"/>
      <c r="H58" s="5016"/>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27" t="s">
        <v>1676</v>
      </c>
      <c r="D6" s="4928"/>
      <c r="E6" s="4929" t="s">
        <v>1677</v>
      </c>
      <c r="F6" s="4930"/>
      <c r="G6" s="4927" t="s">
        <v>1678</v>
      </c>
      <c r="H6" s="4928"/>
      <c r="I6" s="4927" t="s">
        <v>1679</v>
      </c>
      <c r="J6" s="4928"/>
      <c r="K6" s="406" t="s">
        <v>1680</v>
      </c>
      <c r="L6" s="2146"/>
      <c r="M6" s="2147"/>
      <c r="N6" s="2147"/>
      <c r="O6" s="2147"/>
      <c r="P6" s="4931" t="s">
        <v>1681</v>
      </c>
      <c r="Q6" s="4932"/>
      <c r="R6" s="4937" t="s">
        <v>1677</v>
      </c>
      <c r="S6" s="4938"/>
      <c r="T6" s="4937" t="s">
        <v>1678</v>
      </c>
      <c r="U6" s="4938"/>
      <c r="V6" s="4952" t="s">
        <v>1679</v>
      </c>
      <c r="W6" s="4952"/>
      <c r="X6" s="963"/>
      <c r="Y6" s="4953" t="s">
        <v>1681</v>
      </c>
      <c r="Z6" s="4954"/>
      <c r="AA6" s="4924" t="s">
        <v>1677</v>
      </c>
      <c r="AB6" s="4925" t="s">
        <v>1678</v>
      </c>
      <c r="AC6" s="4924" t="s">
        <v>1679</v>
      </c>
    </row>
    <row r="7" spans="1:29">
      <c r="A7" s="3346"/>
      <c r="B7" s="3411"/>
      <c r="C7" s="4941" t="s">
        <v>1579</v>
      </c>
      <c r="D7" s="4942"/>
      <c r="E7" s="4981" t="s">
        <v>1580</v>
      </c>
      <c r="F7" s="4944"/>
      <c r="G7" s="4941" t="s">
        <v>1581</v>
      </c>
      <c r="H7" s="4942"/>
      <c r="I7" s="4941" t="s">
        <v>1582</v>
      </c>
      <c r="J7" s="4942"/>
      <c r="K7" s="406"/>
      <c r="L7" s="2146"/>
      <c r="M7" s="2147"/>
      <c r="N7" s="2147"/>
      <c r="O7" s="2147"/>
      <c r="P7" s="4933"/>
      <c r="Q7" s="4934"/>
      <c r="R7" s="4939"/>
      <c r="S7" s="4940"/>
      <c r="T7" s="4939"/>
      <c r="U7" s="4940"/>
      <c r="V7" s="4952"/>
      <c r="W7" s="4952"/>
      <c r="X7" s="963"/>
      <c r="Y7" s="4955"/>
      <c r="Z7" s="4956"/>
      <c r="AA7" s="4925"/>
      <c r="AB7" s="4925"/>
      <c r="AC7" s="4925"/>
    </row>
    <row r="8" spans="1:29" ht="15" thickBot="1">
      <c r="A8" s="3412"/>
      <c r="B8" s="3413"/>
      <c r="C8" s="5030" t="s">
        <v>1825</v>
      </c>
      <c r="D8" s="5031"/>
      <c r="E8" s="5032" t="s">
        <v>1825</v>
      </c>
      <c r="F8" s="5033"/>
      <c r="G8" s="5030" t="s">
        <v>1825</v>
      </c>
      <c r="H8" s="5031"/>
      <c r="I8" s="5030" t="s">
        <v>1825</v>
      </c>
      <c r="J8" s="5031"/>
      <c r="K8" s="406" t="s">
        <v>1584</v>
      </c>
      <c r="L8" s="2146"/>
      <c r="M8" s="2147"/>
      <c r="N8" s="2147"/>
      <c r="O8" s="2147"/>
      <c r="P8" s="4935"/>
      <c r="Q8" s="4936"/>
      <c r="R8" s="4939"/>
      <c r="S8" s="4940"/>
      <c r="T8" s="4950"/>
      <c r="U8" s="4951"/>
      <c r="V8" s="4952"/>
      <c r="W8" s="4952"/>
      <c r="X8" s="963"/>
      <c r="Y8" s="4957"/>
      <c r="Z8" s="4958"/>
      <c r="AA8" s="4926"/>
      <c r="AB8" s="4926"/>
      <c r="AC8" s="4926"/>
    </row>
    <row r="9" spans="1:29" s="49" customFormat="1" ht="15" thickBot="1">
      <c r="A9" s="3338" t="s">
        <v>1585</v>
      </c>
      <c r="B9" s="3339"/>
      <c r="C9" s="3052">
        <f>'数据-取费表'!B2</f>
        <v>46087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59" t="s">
        <v>1586</v>
      </c>
      <c r="Q9" s="4960"/>
      <c r="R9" s="4076" t="s">
        <v>13</v>
      </c>
      <c r="S9" s="4079">
        <f t="shared" ref="S9:S17" si="0">F9</f>
        <v>0</v>
      </c>
      <c r="T9" s="4076" t="s">
        <v>13</v>
      </c>
      <c r="U9" s="4079">
        <f t="shared" ref="U9:U17" si="1">H9</f>
        <v>0</v>
      </c>
      <c r="V9" s="4076" t="s">
        <v>13</v>
      </c>
      <c r="W9" s="4079">
        <f t="shared" ref="W9:W17" si="2">J9</f>
        <v>0</v>
      </c>
      <c r="X9" s="504"/>
      <c r="Y9" s="4962" t="s">
        <v>1586</v>
      </c>
      <c r="Z9" s="4963"/>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59" t="s">
        <v>1589</v>
      </c>
      <c r="Q10" s="4961"/>
      <c r="R10" s="4076" t="s">
        <v>13</v>
      </c>
      <c r="S10" s="4079">
        <f t="shared" si="0"/>
        <v>0</v>
      </c>
      <c r="T10" s="4076" t="s">
        <v>13</v>
      </c>
      <c r="U10" s="4079">
        <f t="shared" si="1"/>
        <v>0</v>
      </c>
      <c r="V10" s="4076" t="s">
        <v>13</v>
      </c>
      <c r="W10" s="4079">
        <f t="shared" si="2"/>
        <v>0</v>
      </c>
      <c r="X10" s="504"/>
      <c r="Y10" s="4962" t="s">
        <v>1589</v>
      </c>
      <c r="Z10" s="4963"/>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75" t="s">
        <v>1592</v>
      </c>
      <c r="Q11" s="3274" t="str">
        <f t="shared" ref="Q11:Q17" si="6">B11</f>
        <v>用途</v>
      </c>
      <c r="R11" s="4076" t="s">
        <v>13</v>
      </c>
      <c r="S11" s="4079">
        <f t="shared" si="0"/>
        <v>100</v>
      </c>
      <c r="T11" s="4076" t="s">
        <v>13</v>
      </c>
      <c r="U11" s="4079">
        <f t="shared" si="1"/>
        <v>100</v>
      </c>
      <c r="V11" s="4076" t="s">
        <v>13</v>
      </c>
      <c r="W11" s="4079">
        <f t="shared" si="2"/>
        <v>100</v>
      </c>
      <c r="X11" s="504"/>
      <c r="Y11" s="4965"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75"/>
      <c r="Q12" s="3274" t="str">
        <f t="shared" si="6"/>
        <v>土地使用年限（年）</v>
      </c>
      <c r="R12" s="4076" t="s">
        <v>13</v>
      </c>
      <c r="S12" s="4079" t="e">
        <f t="shared" si="0"/>
        <v>#DIV/0!</v>
      </c>
      <c r="T12" s="4076" t="s">
        <v>13</v>
      </c>
      <c r="U12" s="4079" t="e">
        <f t="shared" si="1"/>
        <v>#DIV/0!</v>
      </c>
      <c r="V12" s="4076" t="s">
        <v>13</v>
      </c>
      <c r="W12" s="4079" t="e">
        <f t="shared" si="2"/>
        <v>#DIV/0!</v>
      </c>
      <c r="X12" s="504"/>
      <c r="Y12" s="4965"/>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75"/>
      <c r="Q13" s="3274" t="str">
        <f t="shared" si="6"/>
        <v>容积率</v>
      </c>
      <c r="R13" s="4076" t="s">
        <v>13</v>
      </c>
      <c r="S13" s="4079" t="e">
        <f t="shared" si="0"/>
        <v>#N/A</v>
      </c>
      <c r="T13" s="4076" t="s">
        <v>13</v>
      </c>
      <c r="U13" s="4079" t="e">
        <f t="shared" si="1"/>
        <v>#N/A</v>
      </c>
      <c r="V13" s="4076" t="s">
        <v>13</v>
      </c>
      <c r="W13" s="4079" t="e">
        <f t="shared" si="2"/>
        <v>#N/A</v>
      </c>
      <c r="X13" s="504"/>
      <c r="Y13" s="4965"/>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75"/>
      <c r="Q14" s="3274">
        <f t="shared" si="6"/>
        <v>111</v>
      </c>
      <c r="R14" s="4076" t="s">
        <v>13</v>
      </c>
      <c r="S14" s="4079">
        <f t="shared" si="0"/>
        <v>100</v>
      </c>
      <c r="T14" s="4076" t="s">
        <v>13</v>
      </c>
      <c r="U14" s="4079">
        <f t="shared" si="1"/>
        <v>100</v>
      </c>
      <c r="V14" s="4076" t="s">
        <v>13</v>
      </c>
      <c r="W14" s="4079">
        <f t="shared" si="2"/>
        <v>100</v>
      </c>
      <c r="X14" s="504"/>
      <c r="Y14" s="4965"/>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75"/>
      <c r="Q15" s="3274">
        <f t="shared" si="6"/>
        <v>111</v>
      </c>
      <c r="R15" s="4076" t="s">
        <v>13</v>
      </c>
      <c r="S15" s="4079">
        <f t="shared" si="0"/>
        <v>100</v>
      </c>
      <c r="T15" s="4076" t="s">
        <v>13</v>
      </c>
      <c r="U15" s="4079">
        <f t="shared" si="1"/>
        <v>100</v>
      </c>
      <c r="V15" s="4076" t="s">
        <v>13</v>
      </c>
      <c r="W15" s="4079">
        <f t="shared" si="2"/>
        <v>100</v>
      </c>
      <c r="X15" s="504"/>
      <c r="Y15" s="4965"/>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75"/>
      <c r="Q16" s="3274">
        <f t="shared" si="6"/>
        <v>111</v>
      </c>
      <c r="R16" s="4076" t="s">
        <v>13</v>
      </c>
      <c r="S16" s="4079">
        <f t="shared" si="0"/>
        <v>100</v>
      </c>
      <c r="T16" s="4076" t="s">
        <v>13</v>
      </c>
      <c r="U16" s="4079">
        <f t="shared" si="1"/>
        <v>100</v>
      </c>
      <c r="V16" s="4076" t="s">
        <v>13</v>
      </c>
      <c r="W16" s="4079">
        <f t="shared" si="2"/>
        <v>100</v>
      </c>
      <c r="X16" s="504"/>
      <c r="Y16" s="4965"/>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11" t="s">
        <v>1597</v>
      </c>
      <c r="Q17" s="3277" t="str">
        <f t="shared" si="6"/>
        <v>产业集聚程度</v>
      </c>
      <c r="R17" s="4077" t="s">
        <v>13</v>
      </c>
      <c r="S17" s="4080">
        <f t="shared" si="0"/>
        <v>100</v>
      </c>
      <c r="T17" s="4077" t="s">
        <v>13</v>
      </c>
      <c r="U17" s="4080">
        <f t="shared" si="1"/>
        <v>100</v>
      </c>
      <c r="V17" s="4077" t="s">
        <v>13</v>
      </c>
      <c r="W17" s="4080">
        <f t="shared" si="2"/>
        <v>100</v>
      </c>
      <c r="X17" s="963"/>
      <c r="Y17" s="4968"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12"/>
      <c r="Q18" s="3277"/>
      <c r="R18" s="4077"/>
      <c r="S18" s="4080"/>
      <c r="T18" s="4077"/>
      <c r="U18" s="4080"/>
      <c r="V18" s="4077"/>
      <c r="W18" s="4080"/>
      <c r="X18" s="963"/>
      <c r="Y18" s="4969"/>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12"/>
      <c r="Q19" s="3277" t="str">
        <f>B19</f>
        <v>交通便捷度</v>
      </c>
      <c r="R19" s="4077" t="s">
        <v>13</v>
      </c>
      <c r="S19" s="4080">
        <f>F19</f>
        <v>100</v>
      </c>
      <c r="T19" s="4077" t="s">
        <v>13</v>
      </c>
      <c r="U19" s="4080">
        <f>H19</f>
        <v>100</v>
      </c>
      <c r="V19" s="4077" t="s">
        <v>13</v>
      </c>
      <c r="W19" s="4080">
        <f>J19</f>
        <v>100</v>
      </c>
      <c r="X19" s="963"/>
      <c r="Y19" s="4969"/>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12"/>
      <c r="Q20" s="3277"/>
      <c r="R20" s="4077"/>
      <c r="S20" s="4080"/>
      <c r="T20" s="4077"/>
      <c r="U20" s="4080"/>
      <c r="V20" s="4077"/>
      <c r="W20" s="4080"/>
      <c r="X20" s="963"/>
      <c r="Y20" s="4969"/>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12"/>
      <c r="Q21" s="3277" t="str">
        <f t="shared" ref="Q21:Q35" si="8">B21</f>
        <v>区域土地利用方向</v>
      </c>
      <c r="R21" s="4077" t="s">
        <v>13</v>
      </c>
      <c r="S21" s="4080">
        <f>F21</f>
        <v>100</v>
      </c>
      <c r="T21" s="4077" t="s">
        <v>13</v>
      </c>
      <c r="U21" s="4080">
        <f>H21</f>
        <v>100</v>
      </c>
      <c r="V21" s="4077" t="s">
        <v>13</v>
      </c>
      <c r="W21" s="4080">
        <f>J21</f>
        <v>100</v>
      </c>
      <c r="X21" s="963"/>
      <c r="Y21" s="4969"/>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12"/>
      <c r="Q22" s="3277"/>
      <c r="R22" s="4077"/>
      <c r="S22" s="4080"/>
      <c r="T22" s="4077"/>
      <c r="U22" s="4080"/>
      <c r="V22" s="4077"/>
      <c r="W22" s="4080"/>
      <c r="X22" s="963"/>
      <c r="Y22" s="4969"/>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12"/>
      <c r="Q23" s="3277" t="str">
        <f t="shared" si="8"/>
        <v>环境状况</v>
      </c>
      <c r="R23" s="4077" t="s">
        <v>13</v>
      </c>
      <c r="S23" s="4080">
        <f>F23</f>
        <v>100</v>
      </c>
      <c r="T23" s="4077" t="s">
        <v>13</v>
      </c>
      <c r="U23" s="4080">
        <f>H23</f>
        <v>100</v>
      </c>
      <c r="V23" s="4077" t="s">
        <v>13</v>
      </c>
      <c r="W23" s="4080">
        <f>J23</f>
        <v>100</v>
      </c>
      <c r="X23" s="963"/>
      <c r="Y23" s="4969"/>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12"/>
      <c r="Q24" s="3277"/>
      <c r="R24" s="4077"/>
      <c r="S24" s="4080"/>
      <c r="T24" s="4077"/>
      <c r="U24" s="4080"/>
      <c r="V24" s="4077"/>
      <c r="W24" s="4080"/>
      <c r="X24" s="963"/>
      <c r="Y24" s="4969"/>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12"/>
      <c r="Q25" s="3274" t="str">
        <f t="shared" si="8"/>
        <v>公共配套设施</v>
      </c>
      <c r="R25" s="4076" t="s">
        <v>13</v>
      </c>
      <c r="S25" s="4079">
        <f>F25</f>
        <v>100</v>
      </c>
      <c r="T25" s="4076" t="s">
        <v>13</v>
      </c>
      <c r="U25" s="4079">
        <f>H25</f>
        <v>100</v>
      </c>
      <c r="V25" s="4076" t="s">
        <v>13</v>
      </c>
      <c r="W25" s="4079">
        <f>J25</f>
        <v>100</v>
      </c>
      <c r="X25" s="504"/>
      <c r="Y25" s="4969"/>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12"/>
      <c r="Q26" s="3274"/>
      <c r="R26" s="4076"/>
      <c r="S26" s="4079"/>
      <c r="T26" s="4076"/>
      <c r="U26" s="4079"/>
      <c r="V26" s="4076"/>
      <c r="W26" s="4079"/>
      <c r="X26" s="504"/>
      <c r="Y26" s="4969"/>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12"/>
      <c r="Q27" s="3274" t="str">
        <f t="shared" ref="Q27" si="9">B27</f>
        <v>基础设施水平</v>
      </c>
      <c r="R27" s="4076" t="s">
        <v>13</v>
      </c>
      <c r="S27" s="4079">
        <f>F27</f>
        <v>100</v>
      </c>
      <c r="T27" s="4076" t="s">
        <v>13</v>
      </c>
      <c r="U27" s="4079">
        <f>H27</f>
        <v>100</v>
      </c>
      <c r="V27" s="4076" t="s">
        <v>13</v>
      </c>
      <c r="W27" s="4079">
        <f>J27</f>
        <v>100</v>
      </c>
      <c r="X27" s="504"/>
      <c r="Y27" s="4969"/>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12"/>
      <c r="Q28" s="3274"/>
      <c r="R28" s="4076"/>
      <c r="S28" s="4079"/>
      <c r="T28" s="4076"/>
      <c r="U28" s="4079"/>
      <c r="V28" s="4076"/>
      <c r="W28" s="4079"/>
      <c r="X28" s="504"/>
      <c r="Y28" s="4969"/>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12"/>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69"/>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12"/>
      <c r="Q30" s="3277" t="str">
        <f t="shared" si="8"/>
        <v>毗邻道路的类型与等级</v>
      </c>
      <c r="R30" s="4077" t="s">
        <v>13</v>
      </c>
      <c r="S30" s="4080">
        <f t="shared" si="10"/>
        <v>100</v>
      </c>
      <c r="T30" s="4077" t="s">
        <v>13</v>
      </c>
      <c r="U30" s="4080">
        <f t="shared" si="11"/>
        <v>100</v>
      </c>
      <c r="V30" s="4077" t="s">
        <v>13</v>
      </c>
      <c r="W30" s="4080">
        <f t="shared" si="12"/>
        <v>100</v>
      </c>
      <c r="X30" s="963"/>
      <c r="Y30" s="4969"/>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12"/>
      <c r="Q31" s="3277"/>
      <c r="R31" s="4077"/>
      <c r="S31" s="4080"/>
      <c r="T31" s="4077"/>
      <c r="U31" s="4080"/>
      <c r="V31" s="4077"/>
      <c r="W31" s="4080"/>
      <c r="X31" s="963"/>
      <c r="Y31" s="4969"/>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12"/>
      <c r="Q32" s="3277" t="str">
        <f t="shared" si="8"/>
        <v>土地级别</v>
      </c>
      <c r="R32" s="4077" t="s">
        <v>13</v>
      </c>
      <c r="S32" s="4080">
        <f t="shared" si="10"/>
        <v>100</v>
      </c>
      <c r="T32" s="4077" t="s">
        <v>13</v>
      </c>
      <c r="U32" s="4080">
        <f t="shared" si="11"/>
        <v>100</v>
      </c>
      <c r="V32" s="4077" t="s">
        <v>13</v>
      </c>
      <c r="W32" s="4080">
        <f t="shared" si="12"/>
        <v>100</v>
      </c>
      <c r="X32" s="963"/>
      <c r="Y32" s="4969"/>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12"/>
      <c r="Q33" s="3277">
        <f t="shared" si="8"/>
        <v>111</v>
      </c>
      <c r="R33" s="4077" t="s">
        <v>13</v>
      </c>
      <c r="S33" s="4080">
        <f t="shared" si="10"/>
        <v>100</v>
      </c>
      <c r="T33" s="4077" t="s">
        <v>13</v>
      </c>
      <c r="U33" s="4080">
        <f t="shared" si="11"/>
        <v>100</v>
      </c>
      <c r="V33" s="4077" t="s">
        <v>13</v>
      </c>
      <c r="W33" s="4080">
        <f t="shared" si="12"/>
        <v>100</v>
      </c>
      <c r="X33" s="963"/>
      <c r="Y33" s="4969"/>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13" t="s">
        <v>1602</v>
      </c>
      <c r="Q34" s="3277">
        <f t="shared" si="8"/>
        <v>111</v>
      </c>
      <c r="R34" s="4077" t="s">
        <v>13</v>
      </c>
      <c r="S34" s="4080">
        <f t="shared" si="10"/>
        <v>100</v>
      </c>
      <c r="T34" s="4077" t="s">
        <v>13</v>
      </c>
      <c r="U34" s="4080">
        <f t="shared" si="11"/>
        <v>100</v>
      </c>
      <c r="V34" s="4077" t="s">
        <v>13</v>
      </c>
      <c r="W34" s="4080">
        <f t="shared" si="12"/>
        <v>100</v>
      </c>
      <c r="X34" s="963"/>
      <c r="Y34" s="4973"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4"/>
      <c r="Q35" s="3277">
        <f t="shared" si="8"/>
        <v>111</v>
      </c>
      <c r="R35" s="4078" t="s">
        <v>13</v>
      </c>
      <c r="S35" s="4081">
        <f t="shared" si="10"/>
        <v>100</v>
      </c>
      <c r="T35" s="4078" t="s">
        <v>13</v>
      </c>
      <c r="U35" s="4081">
        <f t="shared" si="11"/>
        <v>100</v>
      </c>
      <c r="V35" s="4078" t="s">
        <v>13</v>
      </c>
      <c r="W35" s="4081">
        <f t="shared" si="12"/>
        <v>100</v>
      </c>
      <c r="X35" s="507"/>
      <c r="Y35" s="4973"/>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4"/>
      <c r="Q36" s="3277" t="str">
        <f>B36</f>
        <v>宗地面积</v>
      </c>
      <c r="R36" s="4077" t="s">
        <v>13</v>
      </c>
      <c r="S36" s="4080" t="e">
        <f t="shared" si="10"/>
        <v>#N/A</v>
      </c>
      <c r="T36" s="4077" t="s">
        <v>13</v>
      </c>
      <c r="U36" s="4080" t="e">
        <f t="shared" si="11"/>
        <v>#N/A</v>
      </c>
      <c r="V36" s="4077" t="s">
        <v>13</v>
      </c>
      <c r="W36" s="4080" t="e">
        <f t="shared" si="12"/>
        <v>#N/A</v>
      </c>
      <c r="X36" s="963"/>
      <c r="Y36" s="4973"/>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4"/>
      <c r="Q37" s="3277" t="str">
        <f t="shared" ref="Q37:Q42" si="14">B37</f>
        <v>宗地形状</v>
      </c>
      <c r="R37" s="4077" t="s">
        <v>13</v>
      </c>
      <c r="S37" s="4080">
        <f t="shared" si="10"/>
        <v>100</v>
      </c>
      <c r="T37" s="4077" t="s">
        <v>13</v>
      </c>
      <c r="U37" s="4080">
        <f t="shared" si="11"/>
        <v>100</v>
      </c>
      <c r="V37" s="4077" t="s">
        <v>13</v>
      </c>
      <c r="W37" s="4080">
        <f t="shared" si="12"/>
        <v>100</v>
      </c>
      <c r="X37" s="963"/>
      <c r="Y37" s="4973"/>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4"/>
      <c r="Q38" s="3277" t="str">
        <f t="shared" si="14"/>
        <v>宗地开发程度</v>
      </c>
      <c r="R38" s="4076" t="s">
        <v>13</v>
      </c>
      <c r="S38" s="4079">
        <f t="shared" si="10"/>
        <v>100</v>
      </c>
      <c r="T38" s="4076" t="s">
        <v>13</v>
      </c>
      <c r="U38" s="4079">
        <f t="shared" si="11"/>
        <v>100</v>
      </c>
      <c r="V38" s="4076" t="s">
        <v>13</v>
      </c>
      <c r="W38" s="4079">
        <f t="shared" si="12"/>
        <v>100</v>
      </c>
      <c r="X38" s="504"/>
      <c r="Y38" s="4973"/>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4" t="s">
        <v>1602</v>
      </c>
      <c r="Q39" s="3277" t="str">
        <f t="shared" si="14"/>
        <v>工程地质条件</v>
      </c>
      <c r="R39" s="4077" t="s">
        <v>13</v>
      </c>
      <c r="S39" s="4080">
        <f t="shared" si="10"/>
        <v>100</v>
      </c>
      <c r="T39" s="4077" t="s">
        <v>13</v>
      </c>
      <c r="U39" s="4080">
        <f t="shared" si="11"/>
        <v>100</v>
      </c>
      <c r="V39" s="4077" t="s">
        <v>13</v>
      </c>
      <c r="W39" s="4080">
        <f t="shared" si="12"/>
        <v>100</v>
      </c>
      <c r="X39" s="963"/>
      <c r="Y39" s="4973"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4"/>
      <c r="Q40" s="3277">
        <f t="shared" si="14"/>
        <v>111</v>
      </c>
      <c r="R40" s="4077" t="s">
        <v>13</v>
      </c>
      <c r="S40" s="4080">
        <f t="shared" si="10"/>
        <v>100</v>
      </c>
      <c r="T40" s="4077" t="s">
        <v>13</v>
      </c>
      <c r="U40" s="4080">
        <f t="shared" si="11"/>
        <v>100</v>
      </c>
      <c r="V40" s="4077" t="s">
        <v>13</v>
      </c>
      <c r="W40" s="4080">
        <f t="shared" si="12"/>
        <v>100</v>
      </c>
      <c r="X40" s="963"/>
      <c r="Y40" s="4973"/>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4"/>
      <c r="Q41" s="3277">
        <f t="shared" si="14"/>
        <v>111</v>
      </c>
      <c r="R41" s="4077" t="s">
        <v>13</v>
      </c>
      <c r="S41" s="4080">
        <f t="shared" si="10"/>
        <v>100</v>
      </c>
      <c r="T41" s="4077" t="s">
        <v>13</v>
      </c>
      <c r="U41" s="4080">
        <f t="shared" si="11"/>
        <v>100</v>
      </c>
      <c r="V41" s="4077" t="s">
        <v>13</v>
      </c>
      <c r="W41" s="4080">
        <f t="shared" si="12"/>
        <v>100</v>
      </c>
      <c r="X41" s="963"/>
      <c r="Y41" s="4973"/>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4"/>
      <c r="Q42" s="3277">
        <f t="shared" si="14"/>
        <v>111</v>
      </c>
      <c r="R42" s="4078" t="s">
        <v>13</v>
      </c>
      <c r="S42" s="4081">
        <f t="shared" si="10"/>
        <v>100</v>
      </c>
      <c r="T42" s="4078" t="s">
        <v>13</v>
      </c>
      <c r="U42" s="4081">
        <f t="shared" si="11"/>
        <v>100</v>
      </c>
      <c r="V42" s="4078" t="s">
        <v>13</v>
      </c>
      <c r="W42" s="4081">
        <f t="shared" si="12"/>
        <v>100</v>
      </c>
      <c r="X42" s="507"/>
      <c r="Y42" s="4973"/>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75" t="str">
        <f>A43</f>
        <v>成交单价</v>
      </c>
      <c r="Q43" s="4975"/>
      <c r="R43" s="4976">
        <f>E43</f>
        <v>0</v>
      </c>
      <c r="S43" s="4976"/>
      <c r="T43" s="4976">
        <f>G43</f>
        <v>0</v>
      </c>
      <c r="U43" s="4976"/>
      <c r="V43" s="4976">
        <f>I43</f>
        <v>0</v>
      </c>
      <c r="W43" s="4976"/>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75" t="str">
        <f>A44</f>
        <v>比较价值（元/平方米）</v>
      </c>
      <c r="Q44" s="4975"/>
      <c r="R44" s="4976" t="e">
        <f>ROUND(PRODUCT(R43,AA9:AA42),0)</f>
        <v>#DIV/0!</v>
      </c>
      <c r="S44" s="4976"/>
      <c r="T44" s="4976" t="e">
        <f>ROUND(PRODUCT(T43,AB9:AB42),0)</f>
        <v>#DIV/0!</v>
      </c>
      <c r="U44" s="4976"/>
      <c r="V44" s="4976" t="e">
        <f>ROUND(PRODUCT(V43,AC9:AC42),0)</f>
        <v>#DIV/0!</v>
      </c>
      <c r="W44" s="4976"/>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77" t="str">
        <f>A45</f>
        <v>估价对象XX用房的比较价值（楼面单价，元/平方米）</v>
      </c>
      <c r="Q45" s="4978"/>
      <c r="R45" s="4979" t="e">
        <f>ROUND(IF(D44="简单平均",AVERAGE(R44:W44),R44*F44+T44*H44+V44*J44),0)</f>
        <v>#DIV/0!</v>
      </c>
      <c r="S45" s="4979"/>
      <c r="T45" s="4979"/>
      <c r="U45" s="4979"/>
      <c r="V45" s="4979"/>
      <c r="W45" s="497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96" t="s">
        <v>1793</v>
      </c>
      <c r="H52" s="5028"/>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9"/>
      <c r="H53" s="501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-5</v>
      </c>
      <c r="C2" s="175" t="s">
        <v>1530</v>
      </c>
      <c r="D2" s="3587"/>
      <c r="E2" s="2225"/>
      <c r="G2" s="2225"/>
      <c r="H2" s="2225"/>
      <c r="I2" s="2225"/>
      <c r="J2" s="2225"/>
      <c r="K2" s="2225"/>
    </row>
    <row r="3" spans="1:33" ht="18" customHeight="1">
      <c r="A3" s="102" t="s">
        <v>1432</v>
      </c>
      <c r="B3" s="2757">
        <f ca="1">ROUND(B2*10000/IF(C1="",'数据-汇总表'!E3,INDIRECT("'数据-取费表'!K"&amp;$K$1)),0)</f>
        <v>-190</v>
      </c>
      <c r="C3" s="175" t="s">
        <v>1531</v>
      </c>
      <c r="E3" s="541"/>
      <c r="I3" s="2225"/>
      <c r="J3" s="2225"/>
      <c r="K3" s="2225"/>
    </row>
    <row r="4" spans="1:33" ht="18" customHeight="1">
      <c r="A4" s="3640" t="s">
        <v>3626</v>
      </c>
      <c r="B4" s="3645">
        <f ca="1">ROUND(B2*10000/IF(C1="",'数据-汇总表'!D3,INDIRECT("'数据-取费表'!R"&amp;$K$1)),0)</f>
        <v>-80</v>
      </c>
      <c r="C4" s="3644" t="s">
        <v>1531</v>
      </c>
      <c r="E4" s="541"/>
      <c r="I4" s="2225"/>
      <c r="J4" s="2225"/>
      <c r="K4" s="2225"/>
    </row>
    <row r="5" spans="1:33" ht="18" customHeight="1" thickBot="1">
      <c r="A5" s="98"/>
      <c r="B5" s="3641">
        <f ca="1">ROUND(B2/(IF(C1="",'数据-汇总表'!D3,INDIRECT("'数据-取费表'!R"&amp;$K$1))/666.67),0)</f>
        <v>-5</v>
      </c>
      <c r="C5" s="3643" t="s">
        <v>3624</v>
      </c>
      <c r="E5" s="541"/>
      <c r="I5" s="2225"/>
      <c r="J5" s="2225"/>
      <c r="K5" s="2225"/>
    </row>
    <row r="6" spans="1:33" s="542" customFormat="1" ht="16.5" customHeight="1">
      <c r="A6" s="2890" t="s">
        <v>3373</v>
      </c>
      <c r="B6" s="2889"/>
      <c r="C6" s="5034" t="s">
        <v>3375</v>
      </c>
      <c r="D6" s="5034"/>
      <c r="E6" s="5034"/>
      <c r="F6" s="5034"/>
      <c r="G6" s="5034"/>
      <c r="H6" s="5034"/>
      <c r="I6" s="5034"/>
      <c r="J6" s="5034"/>
      <c r="K6" s="5035"/>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8" t="s">
        <v>3388</v>
      </c>
      <c r="B11" s="5039"/>
      <c r="C11" s="5039"/>
      <c r="D11" s="5039"/>
      <c r="E11" s="5039"/>
      <c r="F11" s="5039"/>
      <c r="G11" s="5039"/>
      <c r="H11" s="5039"/>
      <c r="I11" s="5039"/>
      <c r="J11" s="5039"/>
      <c r="K11" s="5040"/>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4</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4</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0</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6" t="s">
        <v>3387</v>
      </c>
      <c r="H32" s="5036"/>
      <c r="I32" s="5036"/>
      <c r="J32" s="5036"/>
      <c r="K32" s="5037"/>
    </row>
    <row r="33" spans="1:11" s="180" customFormat="1" ht="13.5" customHeight="1">
      <c r="A33" s="2727">
        <v>8</v>
      </c>
      <c r="B33" s="2896" t="s">
        <v>1553</v>
      </c>
      <c r="C33" s="2941" t="str">
        <f ca="1">C35&amp;"+"&amp;C34&amp;"V"</f>
        <v>1+0V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-5</v>
      </c>
      <c r="D36" s="2915"/>
      <c r="E36" s="2915"/>
      <c r="F36" s="176"/>
      <c r="G36" s="2948" t="s">
        <v>3398</v>
      </c>
      <c r="H36" s="2915"/>
      <c r="I36" s="2915"/>
      <c r="J36" s="2915"/>
      <c r="K36" s="2916"/>
    </row>
    <row r="37" spans="1:11" s="3025" customFormat="1" ht="15" thickBot="1">
      <c r="A37" s="2928">
        <v>10</v>
      </c>
      <c r="B37" s="2929" t="s">
        <v>3473</v>
      </c>
      <c r="C37" s="3022">
        <f ca="1">ROUND(C36*(1+F37),0)</f>
        <v>-5</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4</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4</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0</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0+0V</v>
      </c>
      <c r="D63" s="660"/>
      <c r="E63" s="660"/>
      <c r="F63" s="660"/>
      <c r="G63" s="660"/>
    </row>
    <row r="64" spans="1:7" s="3468" customFormat="1">
      <c r="A64" s="660">
        <v>4</v>
      </c>
      <c r="B64" s="2932" t="s">
        <v>3490</v>
      </c>
      <c r="C64" s="2903" t="str">
        <f ca="1">C33</f>
        <v>1+0V</v>
      </c>
      <c r="D64" s="660"/>
      <c r="E64" s="660"/>
      <c r="F64" s="660"/>
      <c r="G64" s="660"/>
    </row>
    <row r="65" spans="1:7" s="3468" customFormat="1">
      <c r="A65" s="660">
        <v>5</v>
      </c>
      <c r="B65" s="2932" t="s">
        <v>3491</v>
      </c>
      <c r="C65" s="2903">
        <f ca="1">C36</f>
        <v>-5</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9"/>
      <c r="C2" s="4669"/>
      <c r="D2" s="4669"/>
      <c r="E2" s="4669"/>
    </row>
    <row r="3" spans="1:5" ht="17.399999999999999">
      <c r="A3" s="4670" t="str">
        <f>IF(项目基本情况!B9="房地产市场价值","估价结果一览表（市场价值不需“结果表-1”）","估价结果一览表")</f>
        <v>估价结果一览表（市场价值不需“结果表-1”）</v>
      </c>
      <c r="B3" s="4670"/>
      <c r="C3" s="4670"/>
      <c r="D3" s="4670"/>
      <c r="E3" s="4670"/>
    </row>
    <row r="4" spans="1:5" ht="18" thickBot="1">
      <c r="A4" s="1099"/>
      <c r="B4" s="4668" t="s">
        <v>901</v>
      </c>
      <c r="C4" s="4668"/>
      <c r="D4" s="4668"/>
      <c r="E4" s="1099"/>
    </row>
    <row r="5" spans="1:5" ht="16.2" thickTop="1">
      <c r="A5" s="1097"/>
      <c r="B5" s="4666" t="s">
        <v>893</v>
      </c>
      <c r="C5" s="1100" t="s">
        <v>894</v>
      </c>
      <c r="D5" s="573">
        <f ca="1">结果表!H101</f>
        <v>612.3329</v>
      </c>
      <c r="E5" s="1097"/>
    </row>
    <row r="6" spans="1:5" ht="31.2">
      <c r="A6" s="1097"/>
      <c r="B6" s="4666"/>
      <c r="C6" s="1100" t="s">
        <v>895</v>
      </c>
      <c r="D6" s="573" t="str">
        <f ca="1">NUMBERSTRING(INT(D5*10000),2)&amp;"元整"</f>
        <v>陆佰壹拾贰万叁仟叁佰贰拾玖元整</v>
      </c>
      <c r="E6" s="1097"/>
    </row>
    <row r="7" spans="1:5" ht="15.6">
      <c r="A7" s="1097"/>
      <c r="B7" s="4671"/>
      <c r="C7" s="1101" t="s">
        <v>896</v>
      </c>
      <c r="D7" s="574">
        <f ca="1">结果表!H102</f>
        <v>886821</v>
      </c>
      <c r="E7" s="1097"/>
    </row>
    <row r="8" spans="1:5" ht="15.6">
      <c r="A8" s="1097"/>
      <c r="B8" s="4672" t="str">
        <f>结果表!E103</f>
        <v>2.估价师知悉的法定优先受偿款</v>
      </c>
      <c r="C8" s="1102" t="s">
        <v>897</v>
      </c>
      <c r="D8" s="574">
        <f>结果表!H103</f>
        <v>0</v>
      </c>
      <c r="E8" s="1097"/>
    </row>
    <row r="9" spans="1:5" ht="15.6">
      <c r="A9" s="1097"/>
      <c r="B9" s="4674"/>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5" t="str">
        <f>结果表!E107</f>
        <v>3.房地产抵押价值</v>
      </c>
      <c r="C13" s="1105" t="s">
        <v>894</v>
      </c>
      <c r="D13" s="576">
        <f ca="1">结果表!H107</f>
        <v>612.3329</v>
      </c>
      <c r="E13" s="1097"/>
    </row>
    <row r="14" spans="1:5" ht="31.2">
      <c r="A14" s="1097"/>
      <c r="B14" s="4666"/>
      <c r="C14" s="1100" t="s">
        <v>895</v>
      </c>
      <c r="D14" s="573" t="str">
        <f ca="1">NUMBERSTRING(INT(D13*10000),2)&amp;"元整"</f>
        <v>陆佰壹拾贰万叁仟叁佰贰拾玖元整</v>
      </c>
      <c r="E14" s="1097"/>
    </row>
    <row r="15" spans="1:5" ht="15.6">
      <c r="A15" s="1097"/>
      <c r="B15" s="4671"/>
      <c r="C15" s="1101" t="s">
        <v>905</v>
      </c>
      <c r="D15" s="581">
        <f ca="1">结果表!H108</f>
        <v>886821</v>
      </c>
      <c r="E15" s="1097"/>
    </row>
    <row r="16" spans="1:5" ht="15.6">
      <c r="A16" s="1097"/>
      <c r="B16" s="4672" t="str">
        <f>结果表!E109</f>
        <v>——</v>
      </c>
      <c r="C16" s="1105" t="s">
        <v>906</v>
      </c>
      <c r="D16" s="1106" t="str">
        <f>结果表!H109</f>
        <v>——</v>
      </c>
      <c r="E16" s="1097"/>
    </row>
    <row r="17" spans="1:5" ht="15.6">
      <c r="A17" s="1097"/>
      <c r="B17" s="4673"/>
      <c r="C17" s="1100" t="s">
        <v>907</v>
      </c>
      <c r="D17" s="573" t="e">
        <f>NUMBERSTRING(INT(D16*10000),2)&amp;"元整"</f>
        <v>#VALUE!</v>
      </c>
      <c r="E17" s="1097"/>
    </row>
    <row r="18" spans="1:5" ht="15.6">
      <c r="A18" s="1097"/>
      <c r="B18" s="4674"/>
      <c r="C18" s="1101" t="s">
        <v>896</v>
      </c>
      <c r="D18" s="581" t="str">
        <f>结果表!H110</f>
        <v>——</v>
      </c>
      <c r="E18" s="1097"/>
    </row>
    <row r="19" spans="1:5" ht="15.6">
      <c r="A19" s="1097"/>
      <c r="B19" s="4665" t="str">
        <f>结果表!E111</f>
        <v>——</v>
      </c>
      <c r="C19" s="1105" t="s">
        <v>894</v>
      </c>
      <c r="D19" s="574" t="str">
        <f>结果表!H111</f>
        <v>——</v>
      </c>
      <c r="E19" s="1097"/>
    </row>
    <row r="20" spans="1:5" ht="15.6">
      <c r="A20" s="1097"/>
      <c r="B20" s="4666"/>
      <c r="C20" s="1100" t="s">
        <v>907</v>
      </c>
      <c r="D20" s="573" t="e">
        <f>NUMBERSTRING(INT(D19*10000),2)&amp;"元整"</f>
        <v>#VALUE!</v>
      </c>
      <c r="E20" s="1097"/>
    </row>
    <row r="21" spans="1:5" ht="16.2" thickBot="1">
      <c r="A21" s="1097"/>
      <c r="B21" s="4667"/>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359</v>
      </c>
      <c r="C2" s="1688" t="s">
        <v>1980</v>
      </c>
      <c r="D2" s="1688" t="s">
        <v>1981</v>
      </c>
      <c r="E2" s="3165">
        <f ca="1">SUMIF(E6:E13,"&lt;&gt;#ref!",E6:E13)</f>
        <v>262.77</v>
      </c>
      <c r="F2" s="2223"/>
      <c r="G2" s="2223"/>
      <c r="H2" s="2223"/>
      <c r="I2" s="2223"/>
      <c r="J2" s="2223"/>
      <c r="K2" s="2223"/>
      <c r="L2" s="2223"/>
      <c r="M2" s="2223"/>
      <c r="N2" s="2223"/>
      <c r="O2" s="2223"/>
      <c r="P2" s="2223"/>
    </row>
    <row r="3" spans="1:16" ht="15.6">
      <c r="A3" s="1688" t="s">
        <v>1982</v>
      </c>
      <c r="B3" s="3164">
        <f ca="1">ROUND(B2*10000/E2,0)</f>
        <v>13662</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359</v>
      </c>
      <c r="C6" s="1688" t="s">
        <v>1980</v>
      </c>
      <c r="D6" s="2223"/>
      <c r="E6" s="3165">
        <f ca="1">SUMIF(INDIRECT("'"&amp;A6&amp;"'"&amp;"!C:C"),"建筑面积",INDIRECT("'"&amp;A6&amp;"'"&amp;"!D:D"))</f>
        <v>262.77</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69" sqref="F69"/>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262.77</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359</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16784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13662</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13229</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11181</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9861</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9477</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5" t="s">
        <v>1866</v>
      </c>
      <c r="X8" s="5046"/>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7"/>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7"/>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8" t="s">
        <v>3142</v>
      </c>
      <c r="B20" s="70" t="s">
        <v>1900</v>
      </c>
      <c r="C20" s="4523">
        <f>ROUND(IF(F21="与级别开发程度一致",0,(G21-E21)/C21),0)</f>
        <v>-20</v>
      </c>
      <c r="D20" s="2649" t="s">
        <v>1904</v>
      </c>
      <c r="E20" s="2650"/>
      <c r="F20" s="5054" t="s">
        <v>1901</v>
      </c>
      <c r="G20" s="5055"/>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9"/>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46087</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0.86639999999999995</v>
      </c>
      <c r="D24" s="1608" t="s">
        <v>1913</v>
      </c>
      <c r="E24" s="4545">
        <f>存贷款利率!E28/100</f>
        <v>4.3499999999999997E-2</v>
      </c>
      <c r="F24" s="1608" t="s">
        <v>1905</v>
      </c>
      <c r="G24" s="4548">
        <f>SUMIF(M30:Q30,E2,M33:Q33)</f>
        <v>0.05</v>
      </c>
      <c r="H24" s="1608" t="s">
        <v>1914</v>
      </c>
      <c r="I24" s="4549">
        <f>SUMIF('数据-取费表'!C6:C15,E2,'数据-取费表'!F6:F15)/COUNTIF('数据-取费表'!C6:C15,E2)</f>
        <v>37.299999999999997</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359</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13656</v>
      </c>
      <c r="D33" s="4533">
        <f>'数据-汇总表'!F19</f>
        <v>262.77</v>
      </c>
      <c r="E33" s="2845">
        <f>ROUND(C33*D33/10000,0)</f>
        <v>359</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3414</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52"/>
      <c r="B37" s="4561" t="s">
        <v>1942</v>
      </c>
      <c r="C37" s="4531">
        <f>ROUND(D5*C22*C23*C24*C28*F37,0)</f>
        <v>6705</v>
      </c>
      <c r="D37" s="4533"/>
      <c r="E37" s="3337">
        <f>ROUND(C37*D37/10000,0)</f>
        <v>0</v>
      </c>
      <c r="F37" s="3312">
        <f>SUMIF(修正!A59:A70,G2,修正!B59:B70)</f>
        <v>0.6</v>
      </c>
      <c r="G37" s="3337">
        <f>ROUND(IF(E2="工业",C37*$M$42,C37*$M$41),0)</f>
        <v>1676</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53"/>
      <c r="B38" s="3812" t="s">
        <v>1943</v>
      </c>
      <c r="C38" s="4531">
        <f>ROUND(D5*C22*C23*C24*C28*F38,0)</f>
        <v>3353</v>
      </c>
      <c r="D38" s="4533"/>
      <c r="E38" s="3337">
        <f t="shared" ref="E38:E42" si="4">ROUND(C38*D38/10000,0)</f>
        <v>0</v>
      </c>
      <c r="F38" s="3312">
        <f>SUMIF(修正!A59:A70,G2,修正!C59:C70)</f>
        <v>0.3</v>
      </c>
      <c r="G38" s="3337">
        <f>ROUND(IF(E2="工业",C38*$M$42,C38*$M$41),0)</f>
        <v>838</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53"/>
      <c r="B39" s="3812" t="s">
        <v>3145</v>
      </c>
      <c r="C39" s="4531">
        <f>ROUND(D5*C22*C23*C24*C28*F39,0)</f>
        <v>2794</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2794</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50" t="s">
        <v>3180</v>
      </c>
      <c r="B103" s="5050"/>
      <c r="C103" s="5050"/>
      <c r="D103" s="5050"/>
      <c r="E103" s="5050"/>
      <c r="F103" s="5050"/>
      <c r="G103" s="5050"/>
      <c r="H103" s="5050"/>
      <c r="I103" s="5050"/>
      <c r="J103" s="5050"/>
      <c r="K103" s="2687"/>
      <c r="L103" s="2687"/>
      <c r="M103" s="2687"/>
      <c r="N103" s="2687"/>
    </row>
    <row r="104" spans="1:14">
      <c r="A104" s="5051" t="s">
        <v>3181</v>
      </c>
      <c r="B104" s="5051" t="s">
        <v>3182</v>
      </c>
      <c r="C104" s="4597" t="s">
        <v>3183</v>
      </c>
      <c r="D104" s="4598"/>
      <c r="E104" s="4598"/>
      <c r="F104" s="4598"/>
      <c r="G104" s="4598"/>
      <c r="H104" s="4598"/>
      <c r="I104" s="4598"/>
      <c r="J104" s="4598"/>
      <c r="K104" s="4598"/>
      <c r="L104" s="4598"/>
      <c r="M104" s="4598"/>
      <c r="N104" s="4599"/>
    </row>
    <row r="105" spans="1:14">
      <c r="A105" s="5051"/>
      <c r="B105" s="5051"/>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41"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42"/>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42"/>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42"/>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42"/>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42"/>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43"/>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4" t="s">
        <v>3197</v>
      </c>
      <c r="B113" s="5044"/>
      <c r="C113" s="5044"/>
      <c r="D113" s="5044"/>
      <c r="E113" s="5044"/>
      <c r="F113" s="5044"/>
      <c r="G113" s="5044"/>
      <c r="H113" s="5044"/>
      <c r="I113" s="5044"/>
      <c r="J113" s="504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-68</v>
      </c>
      <c r="C2" s="175" t="s">
        <v>1530</v>
      </c>
      <c r="D2" s="175"/>
      <c r="E2" s="2225"/>
      <c r="F2" s="2225"/>
      <c r="G2" s="2225"/>
      <c r="H2" s="2225"/>
      <c r="I2" s="2225"/>
      <c r="J2" s="2225"/>
      <c r="K2" s="2225"/>
    </row>
    <row r="3" spans="1:33" ht="18" customHeight="1">
      <c r="A3" s="102" t="s">
        <v>1432</v>
      </c>
      <c r="B3" s="2757">
        <f ca="1">ROUND(B2*10000/IF(C1="",'数据-汇总表'!E3,INDIRECT("'数据-取费表'!K"&amp;$K$1)),0)</f>
        <v>-2588</v>
      </c>
      <c r="C3" s="175" t="s">
        <v>1531</v>
      </c>
      <c r="D3" s="175"/>
      <c r="E3" s="2225"/>
      <c r="F3" s="2225"/>
      <c r="G3" s="2225"/>
      <c r="H3" s="2225"/>
      <c r="I3" s="2225"/>
      <c r="J3" s="2225"/>
      <c r="K3" s="2225"/>
    </row>
    <row r="4" spans="1:33" ht="18" customHeight="1">
      <c r="A4" s="3648" t="s">
        <v>3629</v>
      </c>
      <c r="B4" s="2756">
        <f ca="1">ROUND(B2*10000/IF(C1="",'数据-汇总表'!D3,INDIRECT("'数据-取费表'!R"&amp;$K$1)),0)</f>
        <v>-1091</v>
      </c>
      <c r="C4" s="1435" t="s">
        <v>3631</v>
      </c>
      <c r="D4" s="175"/>
      <c r="E4" s="2225"/>
      <c r="F4" s="2225"/>
      <c r="G4" s="2225"/>
      <c r="H4" s="2225"/>
      <c r="I4" s="2225"/>
      <c r="J4" s="2225"/>
      <c r="K4" s="2225"/>
    </row>
    <row r="5" spans="1:33" ht="18" customHeight="1" thickBot="1">
      <c r="A5" s="98"/>
      <c r="B5" s="3657">
        <f ca="1">ROUND(B2/(IF(C1="",'数据-汇总表'!D3,INDIRECT("'数据-取费表'!R"&amp;$K$1))/666.67),0)</f>
        <v>-73</v>
      </c>
      <c r="C5" s="3651" t="s">
        <v>3630</v>
      </c>
      <c r="D5" s="175"/>
      <c r="E5" s="2225"/>
      <c r="F5" s="2225"/>
      <c r="G5" s="2225"/>
      <c r="H5" s="2225"/>
      <c r="I5" s="2225"/>
      <c r="J5" s="2225"/>
      <c r="K5" s="2225"/>
    </row>
    <row r="6" spans="1:33" s="542" customFormat="1" ht="16.5" customHeight="1">
      <c r="A6" s="2890" t="s">
        <v>3518</v>
      </c>
      <c r="B6" s="2889"/>
      <c r="C6" s="5034" t="s">
        <v>3375</v>
      </c>
      <c r="D6" s="5034"/>
      <c r="E6" s="5034"/>
      <c r="F6" s="5034"/>
      <c r="G6" s="5034"/>
      <c r="H6" s="5034"/>
      <c r="I6" s="5034"/>
      <c r="J6" s="5034"/>
      <c r="K6" s="5035"/>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6" t="s">
        <v>3519</v>
      </c>
      <c r="B11" s="5057"/>
      <c r="C11" s="5057"/>
      <c r="D11" s="5057"/>
      <c r="E11" s="5057"/>
      <c r="F11" s="5057"/>
      <c r="G11" s="5057"/>
      <c r="H11" s="5057"/>
      <c r="I11" s="5057"/>
      <c r="J11" s="5057"/>
      <c r="K11" s="5058"/>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68</v>
      </c>
      <c r="D15" s="559"/>
      <c r="E15" s="177"/>
      <c r="F15" s="3486"/>
      <c r="G15" s="3613" t="s">
        <v>3538</v>
      </c>
      <c r="H15" s="555"/>
      <c r="I15" s="555"/>
      <c r="J15" s="555"/>
      <c r="K15" s="556"/>
    </row>
    <row r="16" spans="1:33" s="552" customFormat="1" ht="13.5" customHeight="1">
      <c r="A16" s="3624" t="s">
        <v>3588</v>
      </c>
      <c r="B16" s="3490" t="s">
        <v>3521</v>
      </c>
      <c r="C16" s="3491">
        <f ca="1">SUM(C17:C22)</f>
        <v>94</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79</v>
      </c>
      <c r="D17" s="3493"/>
      <c r="E17" s="3494"/>
      <c r="F17" s="3506"/>
      <c r="G17" s="3614"/>
      <c r="H17" s="3611"/>
      <c r="I17" s="3611"/>
      <c r="J17" s="3611"/>
      <c r="K17" s="3623"/>
    </row>
    <row r="18" spans="1:33" s="552" customFormat="1" ht="13.5" customHeight="1">
      <c r="A18" s="3625" t="s">
        <v>3527</v>
      </c>
      <c r="B18" s="3477" t="s">
        <v>3528</v>
      </c>
      <c r="C18" s="2735">
        <f ca="1">ROUND(C17*F18,0)</f>
        <v>4</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2</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1</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1+0.0005V建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14+0.0045V建</v>
      </c>
      <c r="D28" s="1070"/>
      <c r="E28" s="1070"/>
      <c r="F28" s="3509">
        <f ca="1">IF(C1="",'数据-取费表'!Q16,INDIRECT("'数据-取费表'!q"&amp;$K$1))</f>
        <v>0.15</v>
      </c>
      <c r="G28" s="5059" t="s">
        <v>3535</v>
      </c>
      <c r="H28" s="3611"/>
      <c r="I28" s="3611"/>
      <c r="J28" s="3611"/>
      <c r="K28" s="3623"/>
    </row>
    <row r="29" spans="1:33" s="552" customFormat="1" ht="13.5" customHeight="1">
      <c r="A29" s="3625" t="s">
        <v>3547</v>
      </c>
      <c r="B29" s="3479" t="s">
        <v>3552</v>
      </c>
      <c r="C29" s="2888">
        <f ca="1">ROUND((C16+C23)*F28,0)</f>
        <v>14</v>
      </c>
      <c r="D29" s="1070"/>
      <c r="E29" s="1070"/>
      <c r="F29" s="2957"/>
      <c r="G29" s="5059"/>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114</v>
      </c>
      <c r="D32" s="3501"/>
      <c r="E32" s="3502"/>
      <c r="F32" s="3488"/>
      <c r="G32" s="3621" t="s">
        <v>3525</v>
      </c>
      <c r="H32" s="3622"/>
      <c r="I32" s="3622"/>
      <c r="J32" s="3622"/>
      <c r="K32" s="3629"/>
    </row>
    <row r="33" spans="1:11" s="180" customFormat="1" ht="13.5" customHeight="1">
      <c r="A33" s="3624" t="s">
        <v>3546</v>
      </c>
      <c r="B33" s="3503" t="s">
        <v>3536</v>
      </c>
      <c r="C33" s="3504">
        <f ca="1">ROUND(C32*(1-F33),0)</f>
        <v>46</v>
      </c>
      <c r="D33" s="3505"/>
      <c r="E33" s="3467"/>
      <c r="F33" s="3508">
        <f>IF('数据-取费表'!B24=0,'数据-取费表'!N16,1)</f>
        <v>0.6</v>
      </c>
      <c r="G33" s="3613" t="s">
        <v>3537</v>
      </c>
      <c r="H33" s="3618"/>
      <c r="I33" s="3618"/>
      <c r="J33" s="3618"/>
      <c r="K33" s="3628"/>
    </row>
    <row r="34" spans="1:11" s="550" customFormat="1" ht="16.2" thickBot="1">
      <c r="A34" s="3630">
        <v>4</v>
      </c>
      <c r="B34" s="3631" t="s">
        <v>3594</v>
      </c>
      <c r="C34" s="3632">
        <f ca="1">C13-C15</f>
        <v>-68</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70" t="s">
        <v>2495</v>
      </c>
      <c r="B20" s="5060" t="s">
        <v>2516</v>
      </c>
      <c r="C20" s="2724" t="s">
        <v>2327</v>
      </c>
      <c r="D20" s="2724"/>
      <c r="E20" s="3304">
        <v>1</v>
      </c>
      <c r="F20" s="2440" t="s">
        <v>2328</v>
      </c>
      <c r="G20" s="2440"/>
    </row>
    <row r="21" spans="1:13" ht="19.5" customHeight="1">
      <c r="A21" s="5071"/>
      <c r="B21" s="5061"/>
      <c r="C21" s="2717" t="s">
        <v>2329</v>
      </c>
      <c r="D21" s="2717"/>
      <c r="E21" s="3305">
        <v>1</v>
      </c>
      <c r="F21" s="2440" t="s">
        <v>2330</v>
      </c>
      <c r="G21" s="2440"/>
    </row>
    <row r="22" spans="1:13" ht="19.5" customHeight="1">
      <c r="A22" s="5071"/>
      <c r="B22" s="5061"/>
      <c r="C22" s="2717" t="s">
        <v>2331</v>
      </c>
      <c r="D22" s="2717"/>
      <c r="E22" s="3305">
        <v>0.9</v>
      </c>
      <c r="F22" s="2440" t="s">
        <v>2332</v>
      </c>
      <c r="G22" s="2440"/>
    </row>
    <row r="23" spans="1:13" ht="19.5" customHeight="1">
      <c r="A23" s="5071"/>
      <c r="B23" s="5061"/>
      <c r="C23" s="2717" t="s">
        <v>2333</v>
      </c>
      <c r="D23" s="2717"/>
      <c r="E23" s="3305">
        <v>0.9</v>
      </c>
      <c r="F23" s="2440" t="s">
        <v>2334</v>
      </c>
      <c r="G23" s="2440"/>
    </row>
    <row r="24" spans="1:13" ht="19.5" customHeight="1">
      <c r="A24" s="5071"/>
      <c r="B24" s="5061"/>
      <c r="C24" s="2717" t="s">
        <v>2335</v>
      </c>
      <c r="D24" s="2717"/>
      <c r="E24" s="3305">
        <v>0.8</v>
      </c>
      <c r="F24" s="2440" t="s">
        <v>2336</v>
      </c>
      <c r="G24" s="2440"/>
    </row>
    <row r="25" spans="1:13" ht="19.5" customHeight="1">
      <c r="A25" s="5071"/>
      <c r="B25" s="5061"/>
      <c r="C25" s="2717" t="s">
        <v>2337</v>
      </c>
      <c r="D25" s="2717"/>
      <c r="E25" s="3305">
        <v>0.8</v>
      </c>
      <c r="F25" s="2440"/>
      <c r="G25" s="2440"/>
    </row>
    <row r="26" spans="1:13" ht="19.5" customHeight="1">
      <c r="A26" s="5071"/>
      <c r="B26" s="5061"/>
      <c r="C26" s="2720" t="s">
        <v>3276</v>
      </c>
      <c r="D26" s="2720"/>
      <c r="E26" s="3305">
        <v>0.43</v>
      </c>
      <c r="F26" s="2440"/>
      <c r="G26" s="2440"/>
    </row>
    <row r="27" spans="1:13" ht="19.5" customHeight="1" thickBot="1">
      <c r="A27" s="5072"/>
      <c r="B27" s="5062"/>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63" t="s">
        <v>2519</v>
      </c>
      <c r="B29" s="5066" t="s">
        <v>2500</v>
      </c>
      <c r="C29" s="2438" t="s">
        <v>2340</v>
      </c>
      <c r="D29" s="2439"/>
      <c r="E29" s="3304">
        <v>1</v>
      </c>
      <c r="F29" s="2440" t="s">
        <v>2341</v>
      </c>
      <c r="G29" s="2440"/>
    </row>
    <row r="30" spans="1:13" ht="19.5" customHeight="1">
      <c r="A30" s="5064"/>
      <c r="B30" s="5067"/>
      <c r="C30" s="2441" t="s">
        <v>2342</v>
      </c>
      <c r="D30" s="2442"/>
      <c r="E30" s="3305">
        <v>1</v>
      </c>
      <c r="F30" s="2440" t="s">
        <v>2343</v>
      </c>
      <c r="G30" s="2440"/>
    </row>
    <row r="31" spans="1:13" ht="19.5" customHeight="1">
      <c r="A31" s="5064"/>
      <c r="B31" s="5067"/>
      <c r="C31" s="2441" t="s">
        <v>2344</v>
      </c>
      <c r="D31" s="2442"/>
      <c r="E31" s="3305">
        <v>0.8</v>
      </c>
      <c r="F31" s="2440" t="s">
        <v>2345</v>
      </c>
      <c r="G31" s="2440"/>
    </row>
    <row r="32" spans="1:13" ht="19.5" customHeight="1">
      <c r="A32" s="5064"/>
      <c r="B32" s="5067"/>
      <c r="C32" s="2441" t="s">
        <v>2346</v>
      </c>
      <c r="D32" s="2442"/>
      <c r="E32" s="3305">
        <v>0.8</v>
      </c>
      <c r="F32" s="2440" t="s">
        <v>2347</v>
      </c>
      <c r="G32" s="2440"/>
    </row>
    <row r="33" spans="1:7" ht="19.5" customHeight="1">
      <c r="A33" s="5064"/>
      <c r="B33" s="5067"/>
      <c r="C33" s="2441" t="s">
        <v>2348</v>
      </c>
      <c r="D33" s="2442"/>
      <c r="E33" s="3305">
        <v>0.8</v>
      </c>
      <c r="F33" s="2440" t="s">
        <v>2349</v>
      </c>
      <c r="G33" s="2440"/>
    </row>
    <row r="34" spans="1:7" ht="19.5" customHeight="1">
      <c r="A34" s="5064"/>
      <c r="B34" s="5067"/>
      <c r="C34" s="2441" t="s">
        <v>2350</v>
      </c>
      <c r="D34" s="2442"/>
      <c r="E34" s="3305">
        <v>0.7</v>
      </c>
      <c r="F34" s="2440" t="s">
        <v>2351</v>
      </c>
      <c r="G34" s="2440"/>
    </row>
    <row r="35" spans="1:7" ht="19.5" customHeight="1">
      <c r="A35" s="5064"/>
      <c r="B35" s="5067"/>
      <c r="C35" s="2441" t="s">
        <v>2352</v>
      </c>
      <c r="D35" s="2442"/>
      <c r="E35" s="3305">
        <v>0.8</v>
      </c>
      <c r="F35" s="2440" t="s">
        <v>2353</v>
      </c>
      <c r="G35" s="2440"/>
    </row>
    <row r="36" spans="1:7" ht="19.5" customHeight="1">
      <c r="A36" s="5064"/>
      <c r="B36" s="5067"/>
      <c r="C36" s="2441" t="s">
        <v>2354</v>
      </c>
      <c r="D36" s="2442"/>
      <c r="E36" s="3305">
        <v>0.6</v>
      </c>
      <c r="F36" s="2440" t="s">
        <v>2355</v>
      </c>
      <c r="G36" s="2440"/>
    </row>
    <row r="37" spans="1:7" ht="19.5" customHeight="1">
      <c r="A37" s="5064"/>
      <c r="B37" s="5067"/>
      <c r="C37" s="2441" t="s">
        <v>2356</v>
      </c>
      <c r="D37" s="2442"/>
      <c r="E37" s="3305">
        <v>0.2</v>
      </c>
      <c r="F37" s="2440" t="s">
        <v>2357</v>
      </c>
      <c r="G37" s="2440"/>
    </row>
    <row r="38" spans="1:7" ht="19.5" customHeight="1">
      <c r="A38" s="5064"/>
      <c r="B38" s="5067"/>
      <c r="C38" s="2441" t="s">
        <v>2358</v>
      </c>
      <c r="D38" s="2442"/>
      <c r="E38" s="3305">
        <v>0.2</v>
      </c>
      <c r="F38" s="2440" t="s">
        <v>2359</v>
      </c>
      <c r="G38" s="2440"/>
    </row>
    <row r="39" spans="1:7" ht="19.5" customHeight="1">
      <c r="A39" s="5064"/>
      <c r="B39" s="5068" t="s">
        <v>2520</v>
      </c>
      <c r="C39" s="2441" t="s">
        <v>2360</v>
      </c>
      <c r="D39" s="2442"/>
      <c r="E39" s="3305">
        <v>0.6</v>
      </c>
      <c r="F39" s="2440" t="s">
        <v>2361</v>
      </c>
      <c r="G39" s="2440"/>
    </row>
    <row r="40" spans="1:7" ht="19.5" customHeight="1">
      <c r="A40" s="5064"/>
      <c r="B40" s="5067"/>
      <c r="C40" s="2441" t="s">
        <v>2362</v>
      </c>
      <c r="D40" s="2442"/>
      <c r="E40" s="3305">
        <v>0.6</v>
      </c>
      <c r="F40" s="2440" t="s">
        <v>2363</v>
      </c>
      <c r="G40" s="2440"/>
    </row>
    <row r="41" spans="1:7" ht="19.5" customHeight="1" thickBot="1">
      <c r="A41" s="5065"/>
      <c r="B41" s="5069"/>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70" t="s">
        <v>2498</v>
      </c>
      <c r="B43" s="5066" t="s">
        <v>2522</v>
      </c>
      <c r="C43" s="2438" t="s">
        <v>2367</v>
      </c>
      <c r="D43" s="2439"/>
      <c r="E43" s="3304">
        <v>1</v>
      </c>
      <c r="F43" s="2440" t="s">
        <v>2368</v>
      </c>
      <c r="G43" s="2440"/>
    </row>
    <row r="44" spans="1:7" ht="19.5" customHeight="1">
      <c r="A44" s="5071"/>
      <c r="B44" s="5067"/>
      <c r="C44" s="2441" t="s">
        <v>2369</v>
      </c>
      <c r="D44" s="2442"/>
      <c r="E44" s="3305">
        <v>1</v>
      </c>
      <c r="F44" s="2440" t="s">
        <v>2370</v>
      </c>
      <c r="G44" s="2440"/>
    </row>
    <row r="45" spans="1:7" ht="19.5" customHeight="1">
      <c r="A45" s="5071"/>
      <c r="B45" s="5073"/>
      <c r="C45" s="2441" t="s">
        <v>2371</v>
      </c>
      <c r="D45" s="2442"/>
      <c r="E45" s="3305">
        <v>1.5</v>
      </c>
      <c r="F45" s="2440" t="s">
        <v>2372</v>
      </c>
      <c r="G45" s="2440"/>
    </row>
    <row r="46" spans="1:7" ht="19.5" customHeight="1">
      <c r="A46" s="5071"/>
      <c r="B46" s="2449" t="s">
        <v>2523</v>
      </c>
      <c r="C46" s="2441" t="s">
        <v>2524</v>
      </c>
      <c r="D46" s="2442"/>
      <c r="E46" s="3305">
        <v>2</v>
      </c>
      <c r="F46" s="2440" t="s">
        <v>2373</v>
      </c>
      <c r="G46" s="2440"/>
    </row>
    <row r="47" spans="1:7" ht="19.5" customHeight="1">
      <c r="A47" s="5071"/>
      <c r="B47" s="5068" t="s">
        <v>2525</v>
      </c>
      <c r="C47" s="2441" t="s">
        <v>2374</v>
      </c>
      <c r="D47" s="2442"/>
      <c r="E47" s="3305">
        <v>1</v>
      </c>
      <c r="F47" s="2440" t="s">
        <v>2375</v>
      </c>
      <c r="G47" s="2440"/>
    </row>
    <row r="48" spans="1:7" ht="19.5" customHeight="1">
      <c r="A48" s="5071"/>
      <c r="B48" s="5067"/>
      <c r="C48" s="2441" t="s">
        <v>2376</v>
      </c>
      <c r="D48" s="2442"/>
      <c r="E48" s="3305">
        <v>1</v>
      </c>
      <c r="F48" s="2440" t="s">
        <v>2377</v>
      </c>
      <c r="G48" s="2440"/>
    </row>
    <row r="49" spans="1:7" ht="19.5" customHeight="1">
      <c r="A49" s="5071"/>
      <c r="B49" s="5067"/>
      <c r="C49" s="2441" t="s">
        <v>2378</v>
      </c>
      <c r="D49" s="2442"/>
      <c r="E49" s="3305">
        <v>1</v>
      </c>
      <c r="F49" s="2440" t="s">
        <v>2379</v>
      </c>
      <c r="G49" s="2440"/>
    </row>
    <row r="50" spans="1:7" ht="19.5" customHeight="1">
      <c r="A50" s="5071"/>
      <c r="B50" s="5067"/>
      <c r="C50" s="2441" t="s">
        <v>2380</v>
      </c>
      <c r="D50" s="2442"/>
      <c r="E50" s="3305">
        <v>1</v>
      </c>
      <c r="F50" s="2440" t="s">
        <v>2381</v>
      </c>
      <c r="G50" s="2440"/>
    </row>
    <row r="51" spans="1:7" ht="19.5" customHeight="1">
      <c r="A51" s="5071"/>
      <c r="B51" s="5067"/>
      <c r="C51" s="2441" t="s">
        <v>2382</v>
      </c>
      <c r="D51" s="2442"/>
      <c r="E51" s="3305">
        <v>1</v>
      </c>
      <c r="F51" s="2440" t="s">
        <v>2383</v>
      </c>
      <c r="G51" s="2440"/>
    </row>
    <row r="52" spans="1:7" ht="19.5" customHeight="1">
      <c r="A52" s="5071"/>
      <c r="B52" s="5067"/>
      <c r="C52" s="2441" t="s">
        <v>2384</v>
      </c>
      <c r="D52" s="2442"/>
      <c r="E52" s="3305">
        <v>1</v>
      </c>
      <c r="F52" s="2440" t="s">
        <v>2385</v>
      </c>
      <c r="G52" s="2440"/>
    </row>
    <row r="53" spans="1:7" ht="19.5" customHeight="1" thickBot="1">
      <c r="A53" s="5072"/>
      <c r="B53" s="5069"/>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68" t="s">
        <v>2539</v>
      </c>
      <c r="C75" s="2429" t="s">
        <v>2540</v>
      </c>
      <c r="D75" s="2429" t="s">
        <v>2541</v>
      </c>
      <c r="E75" s="3310">
        <v>0.2</v>
      </c>
      <c r="F75" s="3311">
        <v>25</v>
      </c>
    </row>
    <row r="76" spans="1:7" ht="24">
      <c r="A76" s="2449">
        <v>2</v>
      </c>
      <c r="B76" s="5067"/>
      <c r="C76" s="2429" t="s">
        <v>2542</v>
      </c>
      <c r="D76" s="2429" t="s">
        <v>2543</v>
      </c>
      <c r="E76" s="3310">
        <v>0.2</v>
      </c>
      <c r="F76" s="3311">
        <v>25</v>
      </c>
    </row>
    <row r="77" spans="1:7" ht="24">
      <c r="A77" s="2449">
        <v>3</v>
      </c>
      <c r="B77" s="5067"/>
      <c r="C77" s="2429" t="s">
        <v>2544</v>
      </c>
      <c r="D77" s="2429" t="s">
        <v>2545</v>
      </c>
      <c r="E77" s="3310">
        <v>0.2</v>
      </c>
      <c r="F77" s="3311">
        <v>25</v>
      </c>
    </row>
    <row r="78" spans="1:7" ht="14.4">
      <c r="A78" s="2449">
        <v>4</v>
      </c>
      <c r="B78" s="5067"/>
      <c r="C78" s="2429" t="s">
        <v>2546</v>
      </c>
      <c r="D78" s="2429" t="s">
        <v>2547</v>
      </c>
      <c r="E78" s="3310">
        <v>0.15</v>
      </c>
      <c r="F78" s="3311">
        <v>20</v>
      </c>
    </row>
    <row r="79" spans="1:7" ht="24">
      <c r="A79" s="2449">
        <v>5</v>
      </c>
      <c r="B79" s="5067"/>
      <c r="C79" s="2429" t="s">
        <v>2548</v>
      </c>
      <c r="D79" s="2429" t="s">
        <v>2549</v>
      </c>
      <c r="E79" s="3310">
        <v>0.15</v>
      </c>
      <c r="F79" s="3311">
        <v>20</v>
      </c>
    </row>
    <row r="80" spans="1:7" ht="24">
      <c r="A80" s="2449">
        <v>6</v>
      </c>
      <c r="B80" s="5067"/>
      <c r="C80" s="2429" t="s">
        <v>2550</v>
      </c>
      <c r="D80" s="2429" t="s">
        <v>2551</v>
      </c>
      <c r="E80" s="3310">
        <v>0.15</v>
      </c>
      <c r="F80" s="3311">
        <v>20</v>
      </c>
    </row>
    <row r="81" spans="1:6" ht="24">
      <c r="A81" s="2449">
        <v>7</v>
      </c>
      <c r="B81" s="5067"/>
      <c r="C81" s="2429" t="s">
        <v>2552</v>
      </c>
      <c r="D81" s="2429" t="s">
        <v>2553</v>
      </c>
      <c r="E81" s="3310">
        <v>0.15</v>
      </c>
      <c r="F81" s="3311">
        <v>20</v>
      </c>
    </row>
    <row r="82" spans="1:6" ht="24">
      <c r="A82" s="2449">
        <v>8</v>
      </c>
      <c r="B82" s="5067"/>
      <c r="C82" s="2429" t="s">
        <v>2554</v>
      </c>
      <c r="D82" s="2429" t="s">
        <v>2555</v>
      </c>
      <c r="E82" s="3310">
        <v>0.1</v>
      </c>
      <c r="F82" s="3311">
        <v>15</v>
      </c>
    </row>
    <row r="83" spans="1:6" ht="24">
      <c r="A83" s="2449">
        <v>9</v>
      </c>
      <c r="B83" s="5067"/>
      <c r="C83" s="2429" t="s">
        <v>2556</v>
      </c>
      <c r="D83" s="2429" t="s">
        <v>2557</v>
      </c>
      <c r="E83" s="3310">
        <v>0.1</v>
      </c>
      <c r="F83" s="3311">
        <v>15</v>
      </c>
    </row>
    <row r="84" spans="1:6" ht="24">
      <c r="A84" s="2449">
        <v>10</v>
      </c>
      <c r="B84" s="5067"/>
      <c r="C84" s="2429" t="s">
        <v>2558</v>
      </c>
      <c r="D84" s="2429" t="s">
        <v>2559</v>
      </c>
      <c r="E84" s="3310">
        <v>0.1</v>
      </c>
      <c r="F84" s="3311">
        <v>15</v>
      </c>
    </row>
    <row r="85" spans="1:6" ht="24">
      <c r="A85" s="2449">
        <v>11</v>
      </c>
      <c r="B85" s="5067"/>
      <c r="C85" s="2429" t="s">
        <v>2560</v>
      </c>
      <c r="D85" s="2429" t="s">
        <v>2561</v>
      </c>
      <c r="E85" s="3310">
        <v>0.1</v>
      </c>
      <c r="F85" s="3311">
        <v>15</v>
      </c>
    </row>
    <row r="86" spans="1:6" ht="24">
      <c r="A86" s="2449">
        <v>12</v>
      </c>
      <c r="B86" s="5067"/>
      <c r="C86" s="2429" t="s">
        <v>2562</v>
      </c>
      <c r="D86" s="2429" t="s">
        <v>2563</v>
      </c>
      <c r="E86" s="3310">
        <v>0.1</v>
      </c>
      <c r="F86" s="3311">
        <v>15</v>
      </c>
    </row>
    <row r="87" spans="1:6" ht="24">
      <c r="A87" s="2449">
        <v>13</v>
      </c>
      <c r="B87" s="5067"/>
      <c r="C87" s="2429" t="s">
        <v>2564</v>
      </c>
      <c r="D87" s="2429" t="s">
        <v>2565</v>
      </c>
      <c r="E87" s="3310">
        <v>0.1</v>
      </c>
      <c r="F87" s="3311">
        <v>15</v>
      </c>
    </row>
    <row r="88" spans="1:6" ht="24">
      <c r="A88" s="2449">
        <v>14</v>
      </c>
      <c r="B88" s="5067"/>
      <c r="C88" s="2429" t="s">
        <v>2566</v>
      </c>
      <c r="D88" s="2429" t="s">
        <v>2567</v>
      </c>
      <c r="E88" s="3310">
        <v>0.1</v>
      </c>
      <c r="F88" s="3311">
        <v>15</v>
      </c>
    </row>
    <row r="89" spans="1:6" ht="24">
      <c r="A89" s="2449">
        <v>15</v>
      </c>
      <c r="B89" s="5067"/>
      <c r="C89" s="2429" t="s">
        <v>2568</v>
      </c>
      <c r="D89" s="2429" t="s">
        <v>2569</v>
      </c>
      <c r="E89" s="3310">
        <v>0.1</v>
      </c>
      <c r="F89" s="3311">
        <v>15</v>
      </c>
    </row>
    <row r="90" spans="1:6" ht="24">
      <c r="A90" s="2449">
        <v>16</v>
      </c>
      <c r="B90" s="5067"/>
      <c r="C90" s="2429" t="s">
        <v>2570</v>
      </c>
      <c r="D90" s="2429" t="s">
        <v>2571</v>
      </c>
      <c r="E90" s="3310">
        <v>0.1</v>
      </c>
      <c r="F90" s="3311">
        <v>15</v>
      </c>
    </row>
    <row r="91" spans="1:6" ht="24">
      <c r="A91" s="2449">
        <v>17</v>
      </c>
      <c r="B91" s="5073"/>
      <c r="C91" s="2429" t="s">
        <v>2572</v>
      </c>
      <c r="D91" s="2429" t="s">
        <v>2573</v>
      </c>
      <c r="E91" s="3310">
        <v>0.1</v>
      </c>
      <c r="F91" s="3311">
        <v>15</v>
      </c>
    </row>
    <row r="92" spans="1:6" ht="14.4">
      <c r="A92" s="2449">
        <v>18</v>
      </c>
      <c r="B92" s="5068" t="s">
        <v>2574</v>
      </c>
      <c r="C92" s="2429" t="s">
        <v>2575</v>
      </c>
      <c r="D92" s="2429" t="s">
        <v>2576</v>
      </c>
      <c r="E92" s="3310">
        <v>0.2</v>
      </c>
      <c r="F92" s="3311">
        <v>25</v>
      </c>
    </row>
    <row r="93" spans="1:6" ht="24">
      <c r="A93" s="2449">
        <v>19</v>
      </c>
      <c r="B93" s="5067"/>
      <c r="C93" s="2429" t="s">
        <v>2577</v>
      </c>
      <c r="D93" s="2429" t="s">
        <v>2578</v>
      </c>
      <c r="E93" s="3310">
        <v>0.2</v>
      </c>
      <c r="F93" s="3311">
        <v>25</v>
      </c>
    </row>
    <row r="94" spans="1:6" ht="14.4">
      <c r="A94" s="2449">
        <v>20</v>
      </c>
      <c r="B94" s="5067"/>
      <c r="C94" s="2429" t="s">
        <v>2579</v>
      </c>
      <c r="D94" s="2429" t="s">
        <v>2580</v>
      </c>
      <c r="E94" s="3310">
        <v>0.15</v>
      </c>
      <c r="F94" s="3311">
        <v>20</v>
      </c>
    </row>
    <row r="95" spans="1:6" ht="24">
      <c r="A95" s="2449">
        <v>21</v>
      </c>
      <c r="B95" s="5067"/>
      <c r="C95" s="2429" t="s">
        <v>2581</v>
      </c>
      <c r="D95" s="2429" t="s">
        <v>2582</v>
      </c>
      <c r="E95" s="3310">
        <v>0.15</v>
      </c>
      <c r="F95" s="3311">
        <v>20</v>
      </c>
    </row>
    <row r="96" spans="1:6" ht="24">
      <c r="A96" s="2449">
        <v>22</v>
      </c>
      <c r="B96" s="5067"/>
      <c r="C96" s="2429" t="s">
        <v>2583</v>
      </c>
      <c r="D96" s="2429" t="s">
        <v>2584</v>
      </c>
      <c r="E96" s="3310">
        <v>0.15</v>
      </c>
      <c r="F96" s="3311">
        <v>20</v>
      </c>
    </row>
    <row r="97" spans="1:6" ht="36">
      <c r="A97" s="2449">
        <v>23</v>
      </c>
      <c r="B97" s="5067"/>
      <c r="C97" s="2429" t="s">
        <v>2585</v>
      </c>
      <c r="D97" s="2429" t="s">
        <v>2586</v>
      </c>
      <c r="E97" s="3310">
        <v>0.15</v>
      </c>
      <c r="F97" s="3311">
        <v>20</v>
      </c>
    </row>
    <row r="98" spans="1:6" ht="24">
      <c r="A98" s="2449">
        <v>24</v>
      </c>
      <c r="B98" s="5067"/>
      <c r="C98" s="2429" t="s">
        <v>2587</v>
      </c>
      <c r="D98" s="2429" t="s">
        <v>2588</v>
      </c>
      <c r="E98" s="3310">
        <v>0.1</v>
      </c>
      <c r="F98" s="3311">
        <v>15</v>
      </c>
    </row>
    <row r="99" spans="1:6" ht="24">
      <c r="A99" s="2449">
        <v>25</v>
      </c>
      <c r="B99" s="5067"/>
      <c r="C99" s="2429" t="s">
        <v>2589</v>
      </c>
      <c r="D99" s="2429" t="s">
        <v>2590</v>
      </c>
      <c r="E99" s="3310">
        <v>0.1</v>
      </c>
      <c r="F99" s="3311">
        <v>15</v>
      </c>
    </row>
    <row r="100" spans="1:6" ht="24">
      <c r="A100" s="2449">
        <v>26</v>
      </c>
      <c r="B100" s="5067"/>
      <c r="C100" s="2429" t="s">
        <v>2591</v>
      </c>
      <c r="D100" s="2429" t="s">
        <v>2592</v>
      </c>
      <c r="E100" s="3310">
        <v>0.1</v>
      </c>
      <c r="F100" s="3311">
        <v>15</v>
      </c>
    </row>
    <row r="101" spans="1:6" ht="24">
      <c r="A101" s="2449">
        <v>27</v>
      </c>
      <c r="B101" s="5067"/>
      <c r="C101" s="2429" t="s">
        <v>2593</v>
      </c>
      <c r="D101" s="2429" t="s">
        <v>2594</v>
      </c>
      <c r="E101" s="3310">
        <v>0.1</v>
      </c>
      <c r="F101" s="3311">
        <v>15</v>
      </c>
    </row>
    <row r="102" spans="1:6" ht="24">
      <c r="A102" s="2449">
        <v>28</v>
      </c>
      <c r="B102" s="5067"/>
      <c r="C102" s="2429" t="s">
        <v>2595</v>
      </c>
      <c r="D102" s="2429" t="s">
        <v>2596</v>
      </c>
      <c r="E102" s="3310">
        <v>0.1</v>
      </c>
      <c r="F102" s="3311">
        <v>15</v>
      </c>
    </row>
    <row r="103" spans="1:6" ht="24">
      <c r="A103" s="2449">
        <v>29</v>
      </c>
      <c r="B103" s="5067"/>
      <c r="C103" s="2429" t="s">
        <v>2597</v>
      </c>
      <c r="D103" s="2429" t="s">
        <v>2598</v>
      </c>
      <c r="E103" s="3310">
        <v>0.1</v>
      </c>
      <c r="F103" s="3311">
        <v>15</v>
      </c>
    </row>
    <row r="104" spans="1:6" ht="24">
      <c r="A104" s="2449">
        <v>30</v>
      </c>
      <c r="B104" s="5067"/>
      <c r="C104" s="2429" t="s">
        <v>2599</v>
      </c>
      <c r="D104" s="2429" t="s">
        <v>2600</v>
      </c>
      <c r="E104" s="3310">
        <v>0.1</v>
      </c>
      <c r="F104" s="3311">
        <v>15</v>
      </c>
    </row>
    <row r="105" spans="1:6" ht="24">
      <c r="A105" s="2449">
        <v>31</v>
      </c>
      <c r="B105" s="5067"/>
      <c r="C105" s="2429" t="s">
        <v>2601</v>
      </c>
      <c r="D105" s="2429" t="s">
        <v>2602</v>
      </c>
      <c r="E105" s="3310">
        <v>0.1</v>
      </c>
      <c r="F105" s="3311">
        <v>15</v>
      </c>
    </row>
    <row r="106" spans="1:6" ht="24">
      <c r="A106" s="2449">
        <v>32</v>
      </c>
      <c r="B106" s="5067"/>
      <c r="C106" s="2429" t="s">
        <v>2603</v>
      </c>
      <c r="D106" s="2429" t="s">
        <v>2604</v>
      </c>
      <c r="E106" s="3310">
        <v>0.1</v>
      </c>
      <c r="F106" s="3311">
        <v>15</v>
      </c>
    </row>
    <row r="107" spans="1:6" ht="24">
      <c r="A107" s="2449">
        <v>33</v>
      </c>
      <c r="B107" s="5067"/>
      <c r="C107" s="2429" t="s">
        <v>2605</v>
      </c>
      <c r="D107" s="2429" t="s">
        <v>2606</v>
      </c>
      <c r="E107" s="3310">
        <v>0.1</v>
      </c>
      <c r="F107" s="3311">
        <v>15</v>
      </c>
    </row>
    <row r="108" spans="1:6" ht="24">
      <c r="A108" s="2449">
        <v>34</v>
      </c>
      <c r="B108" s="5073"/>
      <c r="C108" s="2429" t="s">
        <v>2607</v>
      </c>
      <c r="D108" s="2429" t="s">
        <v>2608</v>
      </c>
      <c r="E108" s="3310">
        <v>0.1</v>
      </c>
      <c r="F108" s="3311">
        <v>15</v>
      </c>
    </row>
    <row r="109" spans="1:6" ht="36">
      <c r="A109" s="2449">
        <v>35</v>
      </c>
      <c r="B109" s="5068" t="s">
        <v>2609</v>
      </c>
      <c r="C109" s="2449" t="s">
        <v>2610</v>
      </c>
      <c r="D109" s="2429" t="s">
        <v>2611</v>
      </c>
      <c r="E109" s="3310">
        <v>0.15</v>
      </c>
      <c r="F109" s="3311">
        <v>20</v>
      </c>
    </row>
    <row r="110" spans="1:6" ht="24">
      <c r="A110" s="2449">
        <v>36</v>
      </c>
      <c r="B110" s="5067"/>
      <c r="C110" s="2449" t="s">
        <v>2612</v>
      </c>
      <c r="D110" s="2429" t="s">
        <v>2613</v>
      </c>
      <c r="E110" s="3310">
        <v>0.15</v>
      </c>
      <c r="F110" s="3311">
        <v>20</v>
      </c>
    </row>
    <row r="111" spans="1:6" ht="24">
      <c r="A111" s="2449">
        <v>37</v>
      </c>
      <c r="B111" s="5067"/>
      <c r="C111" s="2449" t="s">
        <v>2614</v>
      </c>
      <c r="D111" s="2429" t="s">
        <v>2615</v>
      </c>
      <c r="E111" s="3310">
        <v>0.15</v>
      </c>
      <c r="F111" s="3311">
        <v>20</v>
      </c>
    </row>
    <row r="112" spans="1:6" ht="24">
      <c r="A112" s="2449">
        <v>38</v>
      </c>
      <c r="B112" s="5067"/>
      <c r="C112" s="2449" t="s">
        <v>2616</v>
      </c>
      <c r="D112" s="2429" t="s">
        <v>2617</v>
      </c>
      <c r="E112" s="3310">
        <v>0.1</v>
      </c>
      <c r="F112" s="3311">
        <v>15</v>
      </c>
    </row>
    <row r="113" spans="1:6" ht="24">
      <c r="A113" s="2449">
        <v>39</v>
      </c>
      <c r="B113" s="5067"/>
      <c r="C113" s="2449" t="s">
        <v>2618</v>
      </c>
      <c r="D113" s="2429" t="s">
        <v>2619</v>
      </c>
      <c r="E113" s="3310">
        <v>0.1</v>
      </c>
      <c r="F113" s="3311">
        <v>15</v>
      </c>
    </row>
    <row r="114" spans="1:6" ht="24">
      <c r="A114" s="2449">
        <v>40</v>
      </c>
      <c r="B114" s="5073"/>
      <c r="C114" s="2449" t="s">
        <v>2620</v>
      </c>
      <c r="D114" s="2429" t="s">
        <v>2621</v>
      </c>
      <c r="E114" s="3310">
        <v>0.1</v>
      </c>
      <c r="F114" s="3311">
        <v>15</v>
      </c>
    </row>
    <row r="115" spans="1:6" ht="24">
      <c r="A115" s="2449">
        <v>41</v>
      </c>
      <c r="B115" s="5061" t="s">
        <v>2622</v>
      </c>
      <c r="C115" s="2449" t="s">
        <v>2623</v>
      </c>
      <c r="D115" s="2429" t="s">
        <v>2624</v>
      </c>
      <c r="E115" s="3310">
        <v>0.1</v>
      </c>
      <c r="F115" s="3311">
        <v>15</v>
      </c>
    </row>
    <row r="116" spans="1:6" ht="24">
      <c r="A116" s="2449">
        <v>42</v>
      </c>
      <c r="B116" s="5061"/>
      <c r="C116" s="2449" t="s">
        <v>2625</v>
      </c>
      <c r="D116" s="2429" t="s">
        <v>2626</v>
      </c>
      <c r="E116" s="3310">
        <v>0.1</v>
      </c>
      <c r="F116" s="3311">
        <v>15</v>
      </c>
    </row>
    <row r="117" spans="1:6" ht="24">
      <c r="A117" s="2449">
        <v>43</v>
      </c>
      <c r="B117" s="5061"/>
      <c r="C117" s="2449" t="s">
        <v>2627</v>
      </c>
      <c r="D117" s="2429" t="s">
        <v>2628</v>
      </c>
      <c r="E117" s="3310">
        <v>0.1</v>
      </c>
      <c r="F117" s="3311">
        <v>15</v>
      </c>
    </row>
    <row r="118" spans="1:6" ht="24">
      <c r="A118" s="2449">
        <v>44</v>
      </c>
      <c r="B118" s="5068" t="s">
        <v>2629</v>
      </c>
      <c r="C118" s="2449" t="s">
        <v>2630</v>
      </c>
      <c r="D118" s="2429" t="s">
        <v>2631</v>
      </c>
      <c r="E118" s="3310">
        <v>0.1</v>
      </c>
      <c r="F118" s="3311">
        <v>15</v>
      </c>
    </row>
    <row r="119" spans="1:6" ht="24">
      <c r="A119" s="2449">
        <v>45</v>
      </c>
      <c r="B119" s="5073"/>
      <c r="C119" s="2429" t="s">
        <v>2632</v>
      </c>
      <c r="D119" s="2429" t="s">
        <v>2633</v>
      </c>
      <c r="E119" s="3310">
        <v>0.1</v>
      </c>
      <c r="F119" s="3311">
        <v>15</v>
      </c>
    </row>
    <row r="120" spans="1:6" ht="24">
      <c r="A120" s="2449">
        <v>46</v>
      </c>
      <c r="B120" s="5068" t="s">
        <v>2634</v>
      </c>
      <c r="C120" s="2449" t="s">
        <v>2635</v>
      </c>
      <c r="D120" s="2429" t="s">
        <v>2636</v>
      </c>
      <c r="E120" s="3310">
        <v>0.1</v>
      </c>
      <c r="F120" s="3311">
        <v>15</v>
      </c>
    </row>
    <row r="121" spans="1:6" ht="24">
      <c r="A121" s="2449">
        <v>47</v>
      </c>
      <c r="B121" s="5073"/>
      <c r="C121" s="2449" t="s">
        <v>2637</v>
      </c>
      <c r="D121" s="2429" t="s">
        <v>2638</v>
      </c>
      <c r="E121" s="3310">
        <v>0.1</v>
      </c>
      <c r="F121" s="3311">
        <v>15</v>
      </c>
    </row>
    <row r="122" spans="1:6" ht="24">
      <c r="A122" s="2449">
        <v>48</v>
      </c>
      <c r="B122" s="5068" t="s">
        <v>2639</v>
      </c>
      <c r="C122" s="2449" t="s">
        <v>2640</v>
      </c>
      <c r="D122" s="2429" t="s">
        <v>2641</v>
      </c>
      <c r="E122" s="3310">
        <v>0.1</v>
      </c>
      <c r="F122" s="3311">
        <v>15</v>
      </c>
    </row>
    <row r="123" spans="1:6" ht="24">
      <c r="A123" s="2449">
        <v>49</v>
      </c>
      <c r="B123" s="5073"/>
      <c r="C123" s="2449" t="s">
        <v>2642</v>
      </c>
      <c r="D123" s="2429" t="s">
        <v>2643</v>
      </c>
      <c r="E123" s="3310">
        <v>0.1</v>
      </c>
      <c r="F123" s="3311">
        <v>15</v>
      </c>
    </row>
    <row r="124" spans="1:6" ht="24">
      <c r="A124" s="2449">
        <v>50</v>
      </c>
      <c r="B124" s="5061" t="s">
        <v>2644</v>
      </c>
      <c r="C124" s="2449" t="s">
        <v>2645</v>
      </c>
      <c r="D124" s="2429" t="s">
        <v>2646</v>
      </c>
      <c r="E124" s="3310">
        <v>0.1</v>
      </c>
      <c r="F124" s="3311">
        <v>15</v>
      </c>
    </row>
    <row r="125" spans="1:6" ht="24">
      <c r="A125" s="2449">
        <v>51</v>
      </c>
      <c r="B125" s="5061"/>
      <c r="C125" s="2449" t="s">
        <v>2647</v>
      </c>
      <c r="D125" s="2429" t="s">
        <v>2648</v>
      </c>
      <c r="E125" s="3310">
        <v>0.1</v>
      </c>
      <c r="F125" s="3311">
        <v>15</v>
      </c>
    </row>
    <row r="126" spans="1:6" ht="24">
      <c r="A126" s="2449">
        <v>52</v>
      </c>
      <c r="B126" s="5061" t="s">
        <v>2649</v>
      </c>
      <c r="C126" s="2449" t="s">
        <v>2650</v>
      </c>
      <c r="D126" s="2429" t="s">
        <v>2651</v>
      </c>
      <c r="E126" s="3310">
        <v>0.1</v>
      </c>
      <c r="F126" s="3311">
        <v>15</v>
      </c>
    </row>
    <row r="127" spans="1:6" ht="24">
      <c r="A127" s="2449">
        <v>53</v>
      </c>
      <c r="B127" s="5061"/>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61" t="s">
        <v>2657</v>
      </c>
      <c r="C129" s="2449" t="s">
        <v>2658</v>
      </c>
      <c r="D129" s="2429" t="s">
        <v>2659</v>
      </c>
      <c r="E129" s="3310">
        <v>0.1</v>
      </c>
      <c r="F129" s="3311">
        <v>15</v>
      </c>
    </row>
    <row r="130" spans="1:6" ht="24">
      <c r="A130" s="2449">
        <v>56</v>
      </c>
      <c r="B130" s="5061"/>
      <c r="C130" s="2449" t="s">
        <v>2660</v>
      </c>
      <c r="D130" s="2429" t="s">
        <v>2661</v>
      </c>
      <c r="E130" s="3310">
        <v>0.1</v>
      </c>
      <c r="F130" s="3311">
        <v>15</v>
      </c>
    </row>
    <row r="131" spans="1:6" ht="24">
      <c r="A131" s="2449">
        <v>57</v>
      </c>
      <c r="B131" s="5061"/>
      <c r="C131" s="2449" t="s">
        <v>2662</v>
      </c>
      <c r="D131" s="2429" t="s">
        <v>2663</v>
      </c>
      <c r="E131" s="3310">
        <v>0.1</v>
      </c>
      <c r="F131" s="3311">
        <v>15</v>
      </c>
    </row>
    <row r="132" spans="1:6" ht="24">
      <c r="A132" s="2449">
        <v>58</v>
      </c>
      <c r="B132" s="5061" t="s">
        <v>2664</v>
      </c>
      <c r="C132" s="2449" t="s">
        <v>2665</v>
      </c>
      <c r="D132" s="2429" t="s">
        <v>2666</v>
      </c>
      <c r="E132" s="3310">
        <v>0.1</v>
      </c>
      <c r="F132" s="3311">
        <v>15</v>
      </c>
    </row>
    <row r="133" spans="1:6" ht="24">
      <c r="A133" s="2449">
        <v>59</v>
      </c>
      <c r="B133" s="5061"/>
      <c r="C133" s="2449" t="s">
        <v>2667</v>
      </c>
      <c r="D133" s="2429" t="s">
        <v>2668</v>
      </c>
      <c r="E133" s="3310">
        <v>0.1</v>
      </c>
      <c r="F133" s="3311">
        <v>15</v>
      </c>
    </row>
    <row r="134" spans="1:6" ht="24">
      <c r="A134" s="2449">
        <v>60</v>
      </c>
      <c r="B134" s="5068" t="s">
        <v>2669</v>
      </c>
      <c r="C134" s="2449" t="s">
        <v>2670</v>
      </c>
      <c r="D134" s="2429" t="s">
        <v>2671</v>
      </c>
      <c r="E134" s="3310">
        <v>0.1</v>
      </c>
      <c r="F134" s="3311">
        <v>15</v>
      </c>
    </row>
    <row r="135" spans="1:6" ht="24">
      <c r="A135" s="2449">
        <v>61</v>
      </c>
      <c r="B135" s="5073"/>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61" t="s">
        <v>2677</v>
      </c>
      <c r="C137" s="2449" t="s">
        <v>2678</v>
      </c>
      <c r="D137" s="2429" t="s">
        <v>2679</v>
      </c>
      <c r="E137" s="3310">
        <v>0.1</v>
      </c>
      <c r="F137" s="3311">
        <v>15</v>
      </c>
    </row>
    <row r="138" spans="1:6" ht="24">
      <c r="A138" s="2449">
        <v>64</v>
      </c>
      <c r="B138" s="5061"/>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25651</v>
      </c>
      <c r="C2" s="2" t="s">
        <v>104</v>
      </c>
      <c r="D2" s="98"/>
      <c r="E2" s="98"/>
      <c r="F2" s="98"/>
      <c r="G2" s="98"/>
    </row>
    <row r="3" spans="1:7" s="99" customFormat="1" ht="18" customHeight="1" thickBot="1">
      <c r="A3" s="102" t="s">
        <v>56</v>
      </c>
      <c r="B3" s="103">
        <f ca="1">ROUND(B2*10000/'数据-汇总表'!E3,0)</f>
        <v>976177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623</v>
      </c>
      <c r="D22" s="134">
        <f ca="1">C26</f>
        <v>5.0000000000000001E-4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5</v>
      </c>
      <c r="D25" s="137"/>
      <c r="E25" s="140"/>
      <c r="F25" s="138"/>
      <c r="G25" s="141" t="s">
        <v>81</v>
      </c>
    </row>
    <row r="26" spans="1:7" s="113" customFormat="1">
      <c r="A26" s="540" t="s">
        <v>348</v>
      </c>
      <c r="B26" s="114" t="s">
        <v>416</v>
      </c>
      <c r="C26" s="137">
        <f ca="1">ROUND(IF('数据-取费表'!B22&lt;=1,F21*F22*'数据-取费表'!B23/2,F21*(POWER((1+F22),'数据-取费表'!B23/2)-1)),4)</f>
        <v>5.0000000000000001E-4</v>
      </c>
      <c r="D26" s="137"/>
      <c r="E26" s="140"/>
      <c r="F26" s="138"/>
      <c r="G26" s="142"/>
    </row>
    <row r="27" spans="1:7" s="113" customFormat="1" ht="26.4">
      <c r="A27" s="537" t="s">
        <v>340</v>
      </c>
      <c r="B27" s="143" t="s">
        <v>83</v>
      </c>
      <c r="C27" s="144">
        <f>C28</f>
        <v>3139</v>
      </c>
      <c r="D27" s="134">
        <f>C29</f>
        <v>4.4999999999999997E-3</v>
      </c>
      <c r="E27" s="135" t="s">
        <v>97</v>
      </c>
      <c r="F27" s="145">
        <f>'数据-取费表'!Q16</f>
        <v>0.15</v>
      </c>
      <c r="G27" s="146" t="s">
        <v>425</v>
      </c>
    </row>
    <row r="28" spans="1:7" s="113" customFormat="1" ht="13.5" customHeight="1">
      <c r="A28" s="540" t="s">
        <v>347</v>
      </c>
      <c r="B28" s="147" t="s">
        <v>418</v>
      </c>
      <c r="C28" s="148">
        <f>ROUND((C5+C19+C20)*F27*'数据-取费表'!B21/'数据-取费表'!B20,0)</f>
        <v>3139</v>
      </c>
      <c r="D28" s="134"/>
      <c r="E28" s="135"/>
      <c r="F28" s="145"/>
      <c r="G28" s="146"/>
    </row>
    <row r="29" spans="1:7" s="113" customFormat="1" ht="13.5" customHeight="1">
      <c r="A29" s="540" t="s">
        <v>345</v>
      </c>
      <c r="B29" s="147" t="s">
        <v>419</v>
      </c>
      <c r="C29" s="137">
        <f>ROUND(C21*F27*'数据-取费表'!B21/'数据-取费表'!B20,4)</f>
        <v>4.4999999999999997E-3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25583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94</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79</v>
      </c>
      <c r="D34" s="116"/>
      <c r="E34" s="119"/>
      <c r="F34" s="156">
        <f>IF('数据-取费表'!B24=0,1,'数据-取费表'!N16)</f>
        <v>1</v>
      </c>
      <c r="G34" s="118" t="s">
        <v>87</v>
      </c>
    </row>
    <row r="35" spans="1:7" ht="13.5" customHeight="1">
      <c r="A35" s="540" t="s">
        <v>349</v>
      </c>
      <c r="B35" s="114" t="s">
        <v>31</v>
      </c>
      <c r="C35" s="119">
        <f>ROUND(C34*F35,0)</f>
        <v>4</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2</v>
      </c>
      <c r="D36" s="119"/>
      <c r="E36" s="119"/>
      <c r="F36" s="158">
        <f>'数据-取费表'!B34</f>
        <v>0.02</v>
      </c>
      <c r="G36" s="159" t="s">
        <v>33</v>
      </c>
    </row>
    <row r="37" spans="1:7" s="157" customFormat="1" ht="13.5" customHeight="1">
      <c r="A37" s="540" t="s">
        <v>351</v>
      </c>
      <c r="B37" s="114" t="s">
        <v>89</v>
      </c>
      <c r="C37" s="148">
        <f>ROUND(E37*D37*F34/10000,0)</f>
        <v>9</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1</v>
      </c>
      <c r="D41" s="134">
        <f ca="1">C44</f>
        <v>5.0000000000000001E-4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1</v>
      </c>
      <c r="D42" s="137"/>
      <c r="E42" s="137"/>
      <c r="F42" s="138"/>
      <c r="G42" s="4876" t="s">
        <v>92</v>
      </c>
    </row>
    <row r="43" spans="1:7" ht="13.5" customHeight="1">
      <c r="A43" s="540" t="s">
        <v>345</v>
      </c>
      <c r="B43" s="114" t="s">
        <v>420</v>
      </c>
      <c r="C43" s="137">
        <f ca="1">ROUND(IF('数据-取费表'!B22&lt;=1,C39*F22*'数据-取费表'!B21/2,C39*(POWER((1+F22),'数据-取费表'!B21/2)-1)),0)</f>
        <v>0</v>
      </c>
      <c r="D43" s="137"/>
      <c r="E43" s="137"/>
      <c r="F43" s="138"/>
      <c r="G43" s="4878"/>
    </row>
    <row r="44" spans="1:7" ht="13.5" customHeight="1">
      <c r="A44" s="540" t="s">
        <v>346</v>
      </c>
      <c r="B44" s="114" t="s">
        <v>422</v>
      </c>
      <c r="C44" s="137">
        <f ca="1">ROUND(IF('数据-取费表'!B22&lt;=1,C40*F22*'数据-取费表'!B21/2,C40*(POWER((1+F22),'数据-取费表'!B21/2)-1)),4)</f>
        <v>5.0000000000000001E-4</v>
      </c>
      <c r="D44" s="137"/>
      <c r="E44" s="137"/>
      <c r="F44" s="138"/>
      <c r="G44" s="4877"/>
    </row>
    <row r="45" spans="1:7" s="113" customFormat="1" ht="13.5" customHeight="1">
      <c r="A45" s="537" t="s">
        <v>339</v>
      </c>
      <c r="B45" s="143" t="s">
        <v>83</v>
      </c>
      <c r="C45" s="144">
        <f>C46</f>
        <v>14</v>
      </c>
      <c r="D45" s="134">
        <f>C47</f>
        <v>4.4999999999999997E-3</v>
      </c>
      <c r="E45" s="135" t="s">
        <v>100</v>
      </c>
      <c r="F45" s="145"/>
      <c r="G45" s="146" t="s">
        <v>428</v>
      </c>
    </row>
    <row r="46" spans="1:7" s="113" customFormat="1" ht="13.5" customHeight="1">
      <c r="A46" s="540" t="s">
        <v>347</v>
      </c>
      <c r="B46" s="147" t="s">
        <v>421</v>
      </c>
      <c r="C46" s="148">
        <f>ROUND((C33+C39)*F27,0)</f>
        <v>14</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114</v>
      </c>
      <c r="D49" s="131"/>
      <c r="E49" s="131"/>
      <c r="F49" s="163"/>
      <c r="G49" s="133" t="s">
        <v>429</v>
      </c>
    </row>
    <row r="50" spans="1:7" s="157" customFormat="1" ht="24">
      <c r="A50" s="537" t="s">
        <v>342</v>
      </c>
      <c r="B50" s="109" t="s">
        <v>95</v>
      </c>
      <c r="C50" s="131"/>
      <c r="D50" s="131"/>
      <c r="E50" s="131"/>
      <c r="F50" s="163">
        <f>IF('数据-取费表'!B24=0,'数据-取费表'!N16,1)</f>
        <v>0.6</v>
      </c>
      <c r="G50" s="146" t="s">
        <v>96</v>
      </c>
    </row>
    <row r="51" spans="1:7" ht="16.5" customHeight="1">
      <c r="A51" s="537" t="s">
        <v>343</v>
      </c>
      <c r="B51" s="109" t="s">
        <v>103</v>
      </c>
      <c r="C51" s="131">
        <f ca="1">ROUND(C49*F50,0)</f>
        <v>68</v>
      </c>
      <c r="D51" s="131"/>
      <c r="E51" s="131"/>
      <c r="F51" s="163"/>
      <c r="G51" s="133" t="s">
        <v>35</v>
      </c>
    </row>
    <row r="52" spans="1:7" s="107" customFormat="1" ht="16.8" thickBot="1">
      <c r="A52" s="164" t="s">
        <v>36</v>
      </c>
      <c r="B52" s="165"/>
      <c r="C52" s="166">
        <f ca="1">C31+C51</f>
        <v>25651</v>
      </c>
      <c r="D52" s="165"/>
      <c r="E52" s="165"/>
      <c r="F52" s="165"/>
      <c r="G52" s="167"/>
    </row>
    <row r="55" spans="1:7" ht="15">
      <c r="B55" s="169" t="s">
        <v>37</v>
      </c>
      <c r="C55" s="170"/>
    </row>
    <row r="56" spans="1:7">
      <c r="B56" s="172" t="s">
        <v>38</v>
      </c>
      <c r="C56" s="173">
        <f ca="1">ROUND(C51/C52,3)</f>
        <v>3.0000000000000001E-3</v>
      </c>
    </row>
    <row r="57" spans="1:7">
      <c r="B57" s="172" t="s">
        <v>39</v>
      </c>
      <c r="C57" s="174">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4" t="s">
        <v>3069</v>
      </c>
      <c r="B1" s="5074"/>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5" t="s">
        <v>3120</v>
      </c>
      <c r="B1" s="5075"/>
      <c r="C1" s="5075"/>
      <c r="D1" s="5075"/>
      <c r="E1" s="5075"/>
      <c r="F1" s="5076"/>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6" zoomScale="90" zoomScaleNormal="90" workbookViewId="0">
      <selection activeCell="G41" sqref="G41:G59"/>
    </sheetView>
  </sheetViews>
  <sheetFormatPr defaultRowHeight="14.4"/>
  <cols>
    <col min="1" max="1" width="13.88671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7" t="s">
        <v>450</v>
      </c>
      <c r="S1" s="5078"/>
      <c r="T1" s="5078"/>
      <c r="U1" s="5078"/>
      <c r="V1" s="5078"/>
      <c r="W1" s="5078"/>
      <c r="X1" s="2495"/>
      <c r="Y1" s="5077" t="s">
        <v>451</v>
      </c>
      <c r="Z1" s="5078"/>
      <c r="AA1" s="5078"/>
      <c r="AB1" s="5078"/>
      <c r="AC1" s="5078"/>
      <c r="AD1" s="5078"/>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7" t="s">
        <v>2715</v>
      </c>
      <c r="S33" s="5078"/>
      <c r="T33" s="5078"/>
      <c r="U33" s="5078"/>
      <c r="V33" s="5078"/>
      <c r="W33" s="5078"/>
      <c r="X33" s="2495"/>
      <c r="Y33" s="5077" t="s">
        <v>2716</v>
      </c>
      <c r="Z33" s="5078"/>
      <c r="AA33" s="5078"/>
      <c r="AB33" s="5078"/>
      <c r="AC33" s="5078"/>
      <c r="AD33" s="5078"/>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75" t="str">
        <f>IF(项目基本情况!B9="房地产市场价值","估价结果一览表","结果表-2")</f>
        <v>估价结果一览表</v>
      </c>
      <c r="B1" s="4675"/>
      <c r="C1" s="4675"/>
      <c r="D1" s="4675"/>
      <c r="E1" s="4675"/>
      <c r="F1" s="4675"/>
      <c r="G1" s="4675"/>
      <c r="H1" s="4675"/>
      <c r="I1" s="4675"/>
    </row>
    <row r="2" spans="1:9" ht="30" customHeight="1" thickTop="1">
      <c r="A2" s="4676" t="s">
        <v>912</v>
      </c>
      <c r="B2" s="4676" t="s">
        <v>913</v>
      </c>
      <c r="C2" s="4676" t="s">
        <v>914</v>
      </c>
      <c r="D2" s="4676" t="str">
        <f>结果表!D116</f>
        <v>出让国有建设用地使用权价值</v>
      </c>
      <c r="E2" s="4676"/>
      <c r="F2" s="4676">
        <f>结果表!F116</f>
        <v>0</v>
      </c>
      <c r="G2" s="4676"/>
      <c r="H2" s="4676" t="str">
        <f>IF(项目基本情况!B9="房地产市场价值","房地产市场价值","房地产价值")</f>
        <v>房地产市场价值</v>
      </c>
      <c r="I2" s="4676"/>
    </row>
    <row r="3" spans="1:9" ht="15.6">
      <c r="A3" s="4677"/>
      <c r="B3" s="4677"/>
      <c r="C3" s="4677"/>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612.3329</v>
      </c>
      <c r="I4" s="577">
        <f ca="1">结果表!I118</f>
        <v>886821</v>
      </c>
    </row>
    <row r="5" spans="1:9" ht="30" customHeight="1">
      <c r="A5" s="4677" t="s">
        <v>911</v>
      </c>
      <c r="B5" s="4677"/>
      <c r="C5" s="4677"/>
      <c r="D5" s="4677" t="e">
        <f ca="1">结果表!D119</f>
        <v>#REF!</v>
      </c>
      <c r="E5" s="4677"/>
      <c r="F5" s="4677" t="e">
        <f ca="1">结果表!F119</f>
        <v>#REF!</v>
      </c>
      <c r="G5" s="4677"/>
      <c r="H5" s="4677" t="str">
        <f ca="1">结果表!H119</f>
        <v>陆佰壹拾贰万叁仟叁佰贰拾玖元整</v>
      </c>
      <c r="I5" s="4677"/>
    </row>
    <row r="6" spans="1:9" ht="15.6">
      <c r="A6" s="4678" t="str">
        <f>结果表!A120</f>
        <v/>
      </c>
      <c r="B6" s="4678"/>
      <c r="C6" s="4678"/>
      <c r="D6" s="4678">
        <f>结果表!H120</f>
        <v>0</v>
      </c>
      <c r="E6" s="4678"/>
      <c r="F6" s="4678"/>
      <c r="G6" s="4678"/>
      <c r="H6" s="4678"/>
      <c r="I6" s="4678"/>
    </row>
    <row r="7" spans="1:9" ht="15">
      <c r="A7" s="4677" t="s">
        <v>911</v>
      </c>
      <c r="B7" s="4677"/>
      <c r="C7" s="4677"/>
      <c r="D7" s="4679" t="str">
        <f>结果表!H121</f>
        <v>零元整</v>
      </c>
      <c r="E7" s="4680"/>
      <c r="F7" s="4680"/>
      <c r="G7" s="4680"/>
      <c r="H7" s="4680"/>
      <c r="I7" s="4681"/>
    </row>
    <row r="8" spans="1:9" ht="15.6">
      <c r="A8" s="4678" t="str">
        <f>结果表!A122</f>
        <v/>
      </c>
      <c r="B8" s="4678"/>
      <c r="C8" s="4678"/>
      <c r="D8" s="4678">
        <f ca="1">结果表!H122</f>
        <v>612.3329</v>
      </c>
      <c r="E8" s="4678"/>
      <c r="F8" s="4678"/>
      <c r="G8" s="4678"/>
      <c r="H8" s="4678"/>
      <c r="I8" s="4678"/>
    </row>
    <row r="9" spans="1:9" ht="15">
      <c r="A9" s="4677" t="s">
        <v>911</v>
      </c>
      <c r="B9" s="4677"/>
      <c r="C9" s="4677"/>
      <c r="D9" s="4677" t="str">
        <f ca="1">结果表!H123</f>
        <v>陆佰壹拾贰万叁仟叁佰贰拾玖元整</v>
      </c>
      <c r="E9" s="4677"/>
      <c r="F9" s="4677"/>
      <c r="G9" s="4677"/>
      <c r="H9" s="4677"/>
      <c r="I9" s="4677"/>
    </row>
    <row r="10" spans="1:9" ht="15.6">
      <c r="A10" s="4678" t="str">
        <f>结果表!A124</f>
        <v/>
      </c>
      <c r="B10" s="4678"/>
      <c r="C10" s="4678"/>
      <c r="D10" s="4678" t="str">
        <f>结果表!H124</f>
        <v>——</v>
      </c>
      <c r="E10" s="4678"/>
      <c r="F10" s="4678"/>
      <c r="G10" s="4678"/>
      <c r="H10" s="4678"/>
      <c r="I10" s="4678"/>
    </row>
    <row r="11" spans="1:9" ht="15">
      <c r="A11" s="4677" t="s">
        <v>911</v>
      </c>
      <c r="B11" s="4677"/>
      <c r="C11" s="4677"/>
      <c r="D11" s="4677" t="e">
        <f>结果表!H125</f>
        <v>#VALUE!</v>
      </c>
      <c r="E11" s="4677"/>
      <c r="F11" s="4677"/>
      <c r="G11" s="4677"/>
      <c r="H11" s="4677"/>
      <c r="I11" s="4677"/>
    </row>
    <row r="12" spans="1:9" ht="15.6">
      <c r="A12" s="4678" t="str">
        <f>结果表!A126</f>
        <v/>
      </c>
      <c r="B12" s="4678"/>
      <c r="C12" s="4678"/>
      <c r="D12" s="4678" t="str">
        <f>结果表!H126</f>
        <v>——</v>
      </c>
      <c r="E12" s="4678"/>
      <c r="F12" s="4678"/>
      <c r="G12" s="4678"/>
      <c r="H12" s="4678"/>
      <c r="I12" s="4678"/>
    </row>
    <row r="13" spans="1:9" ht="15.6" thickBot="1">
      <c r="A13" s="4682" t="s">
        <v>911</v>
      </c>
      <c r="B13" s="4682"/>
      <c r="C13" s="4682"/>
      <c r="D13" s="4682" t="e">
        <f>结果表!H127</f>
        <v>#VALUE!</v>
      </c>
      <c r="E13" s="4682"/>
      <c r="F13" s="4682"/>
      <c r="G13" s="4682"/>
      <c r="H13" s="4682"/>
      <c r="I13" s="4682"/>
    </row>
    <row r="14" spans="1:9" ht="14.4" thickTop="1">
      <c r="A14" s="4683" t="s">
        <v>916</v>
      </c>
      <c r="B14" s="4683"/>
      <c r="C14" s="4683"/>
      <c r="D14" s="4683"/>
      <c r="E14" s="4683"/>
      <c r="F14" s="4683"/>
      <c r="G14" s="4683"/>
      <c r="H14" s="4683"/>
      <c r="I14" s="4683"/>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4" t="s">
        <v>446</v>
      </c>
      <c r="C1" s="5084"/>
      <c r="D1" s="5084"/>
      <c r="E1" s="5084"/>
      <c r="F1" s="5084"/>
      <c r="G1" s="5080" t="s">
        <v>447</v>
      </c>
      <c r="H1" s="5080"/>
      <c r="I1" s="5080"/>
      <c r="J1" s="5080"/>
      <c r="K1" s="5080"/>
      <c r="L1" s="5080"/>
      <c r="N1" s="5080" t="s">
        <v>448</v>
      </c>
      <c r="O1" s="5080"/>
      <c r="P1" s="5080"/>
      <c r="Q1" s="5080"/>
      <c r="S1" s="5080" t="s">
        <v>449</v>
      </c>
      <c r="T1" s="5080"/>
      <c r="U1" s="5080"/>
      <c r="V1" s="5080"/>
      <c r="X1" s="5079" t="s">
        <v>450</v>
      </c>
      <c r="Y1" s="5080"/>
      <c r="Z1" s="5080"/>
      <c r="AA1" s="5080"/>
      <c r="AB1" s="5080"/>
      <c r="AD1" s="5079" t="s">
        <v>451</v>
      </c>
      <c r="AE1" s="5080"/>
      <c r="AF1" s="5080"/>
      <c r="AG1" s="5080"/>
      <c r="AH1" s="5080"/>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82">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82"/>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82"/>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82"/>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82"/>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82"/>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82"/>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3"/>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81">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82"/>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82"/>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3"/>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81">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82"/>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82"/>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3"/>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81">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82"/>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82"/>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3"/>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81">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82">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82">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3">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81">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82">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82">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3">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81">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82">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82">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3">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81">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82">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82">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3">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81">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82">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82">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3">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81">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82">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82">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3">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81">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82">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82">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3">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81">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82">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82">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3">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81">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82">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82">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3">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81">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82">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82">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3">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84" zoomScale="80" zoomScaleNormal="80" workbookViewId="0">
      <selection activeCell="J239" sqref="J239"/>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2" t="s">
        <v>2727</v>
      </c>
      <c r="B1" s="5092"/>
      <c r="C1" s="5092"/>
      <c r="D1" s="5092"/>
      <c r="E1" s="5092"/>
      <c r="F1" s="5092"/>
      <c r="G1" s="5093"/>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90"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91"/>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46087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84" t="s">
        <v>933</v>
      </c>
      <c r="B1" s="4684"/>
      <c r="C1" s="4684"/>
      <c r="D1" s="4684"/>
    </row>
    <row r="2" spans="1:4" ht="17.399999999999999">
      <c r="A2" s="4685" t="s">
        <v>917</v>
      </c>
      <c r="B2" s="4685"/>
      <c r="C2" s="4685"/>
      <c r="D2" s="4685"/>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85" t="s">
        <v>923</v>
      </c>
      <c r="B6" s="4685"/>
      <c r="C6" s="4685"/>
      <c r="D6" s="4685"/>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86" t="s">
        <v>926</v>
      </c>
      <c r="B11" s="4687"/>
      <c r="C11" s="4687"/>
      <c r="D11" s="4687"/>
    </row>
    <row r="12" spans="1:4" ht="15.6">
      <c r="A12" s="4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8"/>
      <c r="C12" s="4688"/>
      <c r="D12" s="4688"/>
    </row>
    <row r="13" spans="1:4" ht="30" customHeight="1">
      <c r="A13" s="4687" t="str">
        <f>IF(项目基本情况!B8="抵押","3.抵押双方在办理抵押登记手续时，应使用本公司出具的正式《房地产评估报告》，特提醒报告使用者注意。","——")</f>
        <v>——</v>
      </c>
      <c r="B13" s="4688"/>
      <c r="C13" s="4688"/>
      <c r="D13" s="4688"/>
    </row>
    <row r="14" spans="1:4" ht="15.75" customHeight="1">
      <c r="A14" s="4687" t="str">
        <f>IF(项目基本情况!B8="抵押","4.本次评估估价师所知悉的法定优先受偿款情况说明如下：","——")</f>
        <v>——</v>
      </c>
      <c r="B14" s="4688"/>
      <c r="C14" s="4688"/>
      <c r="D14" s="4688"/>
    </row>
    <row r="15" spans="1:4" ht="42" customHeight="1">
      <c r="A15" s="4687" t="str">
        <f>IF(项目基本情况!B8="抵押","（1）"&amp;CONCATENATE(项目基本情况!L20,项目基本情况!L21,项目基本情况!L22),"——")</f>
        <v>——</v>
      </c>
      <c r="B15" s="4687"/>
      <c r="C15" s="4687"/>
      <c r="D15" s="4687"/>
    </row>
    <row r="16" spans="1:4" ht="30" customHeight="1">
      <c r="A16" s="4690" t="s">
        <v>927</v>
      </c>
      <c r="B16" s="4690"/>
      <c r="C16" s="4690"/>
      <c r="D16" s="4690"/>
    </row>
    <row r="17" spans="1:4" ht="144" customHeight="1">
      <c r="A17" s="4690" t="s">
        <v>928</v>
      </c>
      <c r="B17" s="4690"/>
      <c r="C17" s="4690"/>
      <c r="D17" s="4690"/>
    </row>
    <row r="18" spans="1:4" ht="15.75" customHeight="1">
      <c r="A18" s="4687" t="str">
        <f>IF(项目基本情况!B8="抵押",结果表!K120,"——")</f>
        <v>——</v>
      </c>
      <c r="B18" s="4687"/>
      <c r="C18" s="4687"/>
      <c r="D18" s="4687"/>
    </row>
    <row r="19" spans="1:4" ht="46.5" customHeight="1">
      <c r="A19" s="4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7"/>
      <c r="C19" s="4687"/>
      <c r="D19" s="4687"/>
    </row>
    <row r="20" spans="1:4" ht="57.75" customHeight="1">
      <c r="A20" s="46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7"/>
      <c r="C20" s="4687"/>
      <c r="D20" s="4687"/>
    </row>
    <row r="21" spans="1:4" ht="57.75" customHeight="1">
      <c r="A21" s="46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1"/>
      <c r="C21" s="4691"/>
      <c r="D21" s="4691"/>
    </row>
    <row r="22" spans="1:4" ht="18.75" customHeight="1">
      <c r="A22" s="4692" t="s">
        <v>929</v>
      </c>
      <c r="B22" s="4692"/>
      <c r="C22" s="4692"/>
      <c r="D22" s="4692"/>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9">
        <v>42551</v>
      </c>
      <c r="D31" s="468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8" t="s">
        <v>940</v>
      </c>
      <c r="B15" s="4693" t="s">
        <v>107</v>
      </c>
      <c r="C15" s="4694"/>
    </row>
    <row r="16" spans="1:7" ht="14.4">
      <c r="A16" s="4699"/>
      <c r="B16" s="4693" t="s">
        <v>40</v>
      </c>
      <c r="C16" s="4694"/>
    </row>
    <row r="17" spans="1:3" ht="14.4">
      <c r="A17" s="4699"/>
      <c r="B17" s="4696" t="s">
        <v>941</v>
      </c>
      <c r="C17" s="1138" t="s">
        <v>940</v>
      </c>
    </row>
    <row r="18" spans="1:3" ht="14.4">
      <c r="A18" s="4699"/>
      <c r="B18" s="4696"/>
      <c r="C18" s="1138" t="s">
        <v>942</v>
      </c>
    </row>
    <row r="19" spans="1:3" ht="14.4">
      <c r="A19" s="4699"/>
      <c r="B19" s="4696"/>
      <c r="C19" s="1138" t="s">
        <v>943</v>
      </c>
    </row>
    <row r="20" spans="1:3" ht="14.4">
      <c r="A20" s="4700"/>
      <c r="B20" s="4695" t="s">
        <v>944</v>
      </c>
      <c r="C20" s="4694"/>
    </row>
    <row r="21" spans="1:3" ht="14.4">
      <c r="A21" s="1139" t="s">
        <v>945</v>
      </c>
      <c r="B21" s="1140"/>
      <c r="C21" s="1141"/>
    </row>
    <row r="22" spans="1:3" ht="14.4">
      <c r="A22" s="4697" t="s">
        <v>946</v>
      </c>
      <c r="B22" s="4695" t="s">
        <v>947</v>
      </c>
      <c r="C22" s="4694"/>
    </row>
    <row r="23" spans="1:3" ht="14.4">
      <c r="A23" s="4697"/>
      <c r="B23" s="4695" t="s">
        <v>948</v>
      </c>
      <c r="C23" s="4694"/>
    </row>
    <row r="24" spans="1:3" ht="14.4">
      <c r="A24" s="4697"/>
      <c r="B24" s="4695" t="s">
        <v>949</v>
      </c>
      <c r="C24" s="4694"/>
    </row>
    <row r="25" spans="1:3" ht="14.4">
      <c r="A25" s="4697"/>
      <c r="B25" s="4696" t="s">
        <v>950</v>
      </c>
      <c r="C25" s="1138" t="s">
        <v>951</v>
      </c>
    </row>
    <row r="26" spans="1:3" ht="14.4">
      <c r="A26" s="4697"/>
      <c r="B26" s="4696"/>
      <c r="C26" s="1138" t="s">
        <v>952</v>
      </c>
    </row>
    <row r="27" spans="1:3" ht="14.4">
      <c r="A27" s="4697"/>
      <c r="B27" s="4696"/>
      <c r="C27" s="1138" t="s">
        <v>953</v>
      </c>
    </row>
    <row r="28" spans="1:3" ht="14.4">
      <c r="A28" s="4697"/>
      <c r="B28" s="4696"/>
      <c r="C28" s="1138" t="s">
        <v>954</v>
      </c>
    </row>
    <row r="29" spans="1:3" ht="14.4">
      <c r="A29" s="4697"/>
      <c r="B29" s="4696"/>
      <c r="C29" s="1138" t="s">
        <v>955</v>
      </c>
    </row>
    <row r="30" spans="1:3" ht="14.4">
      <c r="A30" s="4697"/>
      <c r="B30" s="4696"/>
      <c r="C30" s="1138" t="s">
        <v>956</v>
      </c>
    </row>
    <row r="31" spans="1:3" ht="14.4">
      <c r="A31" s="4697"/>
      <c r="B31" s="4696"/>
      <c r="C31" s="1138" t="s">
        <v>957</v>
      </c>
    </row>
    <row r="32" spans="1:3" ht="14.4">
      <c r="A32" s="4697"/>
      <c r="B32" s="4696"/>
      <c r="C32" s="1138" t="s">
        <v>958</v>
      </c>
    </row>
    <row r="33" spans="1:3" ht="14.4">
      <c r="A33" s="4697"/>
      <c r="B33" s="4696"/>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46101</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701" t="s">
        <v>2063</v>
      </c>
      <c r="B17" s="4701"/>
      <c r="C17" s="4701"/>
      <c r="D17" s="4701"/>
      <c r="E17" s="4701"/>
      <c r="F17" s="4701"/>
      <c r="G17" s="4701"/>
      <c r="H17" s="4701"/>
    </row>
    <row r="18" spans="1:8" ht="24" customHeight="1">
      <c r="A18" s="4702" t="s">
        <v>2064</v>
      </c>
      <c r="B18" s="4702"/>
      <c r="C18" s="4702"/>
      <c r="D18" s="1837"/>
      <c r="E18" s="4703" t="s">
        <v>2065</v>
      </c>
      <c r="F18" s="4702"/>
      <c r="G18" s="4702"/>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Sheet2</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2026-03-20T09:22:43Z</dcterms:modified>
</cp:coreProperties>
</file>