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5"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收益法（反）" sheetId="63" r:id="rId37"/>
    <sheet name="存贷款利率" sheetId="61" state="hidden" r:id="rId38"/>
    <sheet name="案例" sheetId="64"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36">'收益法（反）'!$A$1:$I$41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 i="65" l="1"/>
  <c r="B3" i="65"/>
  <c r="F23" i="65" l="1"/>
  <c r="E23" i="65"/>
  <c r="F22" i="65"/>
  <c r="E22" i="65"/>
  <c r="F21" i="65"/>
  <c r="E21" i="65"/>
  <c r="F20" i="65"/>
  <c r="E20" i="65"/>
  <c r="F19" i="65"/>
  <c r="E19" i="65"/>
  <c r="F18" i="65"/>
  <c r="E18" i="65"/>
  <c r="F17" i="65"/>
  <c r="E17" i="65"/>
  <c r="F16" i="65"/>
  <c r="E16" i="65"/>
  <c r="F15" i="65"/>
  <c r="E15" i="65"/>
  <c r="I14" i="65"/>
  <c r="H14" i="65"/>
  <c r="G14" i="65"/>
  <c r="E14" i="65"/>
  <c r="D14" i="65"/>
  <c r="F14" i="65" s="1"/>
  <c r="C14" i="65"/>
  <c r="B14" i="65"/>
  <c r="B8" i="65"/>
  <c r="C8" i="65" s="1"/>
  <c r="B7" i="65"/>
  <c r="D7" i="65" s="1"/>
  <c r="C7" i="65"/>
  <c r="D35" i="63"/>
  <c r="I31" i="63"/>
  <c r="H28" i="63"/>
  <c r="H27" i="63"/>
  <c r="H26" i="63"/>
  <c r="H22" i="63"/>
  <c r="I20" i="63"/>
  <c r="I17" i="63"/>
  <c r="H15" i="63"/>
  <c r="H14" i="63"/>
  <c r="H12" i="63"/>
  <c r="I11" i="63"/>
  <c r="H9" i="63"/>
  <c r="I8" i="63"/>
  <c r="I7" i="63"/>
  <c r="I6" i="63"/>
  <c r="I5" i="63"/>
  <c r="I4" i="63"/>
  <c r="I3" i="63"/>
  <c r="E13" i="1"/>
  <c r="D30" i="43"/>
  <c r="D29" i="43"/>
  <c r="I23" i="33"/>
  <c r="D8" i="65" l="1"/>
  <c r="I19" i="33"/>
  <c r="I17" i="33"/>
  <c r="I15" i="33"/>
  <c r="G23" i="33"/>
  <c r="G19" i="33"/>
  <c r="G17" i="33"/>
  <c r="G15" i="33"/>
  <c r="C33" i="33"/>
  <c r="D93" i="33"/>
  <c r="E19" i="33"/>
  <c r="E15" i="33"/>
  <c r="C5" i="33"/>
  <c r="C36" i="63" l="1"/>
  <c r="E28" i="63"/>
  <c r="H25" i="63"/>
  <c r="E25" i="63" s="1"/>
  <c r="E24" i="63"/>
  <c r="C22" i="63"/>
  <c r="C21" i="63"/>
  <c r="E19" i="63" s="1"/>
  <c r="F19" i="63"/>
  <c r="F16" i="63"/>
  <c r="E15" i="63"/>
  <c r="C15" i="63"/>
  <c r="M10" i="63"/>
  <c r="P9" i="63"/>
  <c r="O10" i="63" s="1"/>
  <c r="J8" i="63"/>
  <c r="M4" i="63"/>
  <c r="C8" i="63"/>
  <c r="C12" i="63" l="1"/>
  <c r="C9" i="63"/>
  <c r="C10" i="63"/>
  <c r="C11" i="63"/>
  <c r="L4" i="59"/>
  <c r="J4" i="59"/>
  <c r="K4" i="59"/>
  <c r="I4" i="59"/>
  <c r="C13" i="63" l="1"/>
  <c r="C14" i="63" s="1"/>
  <c r="Q4" i="59"/>
  <c r="F4" i="59" s="1"/>
  <c r="P4" i="59"/>
  <c r="E4" i="59" s="1"/>
  <c r="O4" i="59"/>
  <c r="C4" i="59" s="1"/>
  <c r="D4" i="59" s="1"/>
  <c r="N4" i="59"/>
  <c r="B4" i="59" s="1"/>
  <c r="Q5" i="59"/>
  <c r="P5" i="59"/>
  <c r="O5" i="59"/>
  <c r="N5" i="59"/>
  <c r="F5" i="59"/>
  <c r="E5" i="59"/>
  <c r="C5" i="59"/>
  <c r="D5" i="59" s="1"/>
  <c r="B5" i="59"/>
  <c r="I5" i="59"/>
  <c r="L5" i="59"/>
  <c r="K5" i="59"/>
  <c r="J5" i="59"/>
  <c r="C20" i="63" l="1"/>
  <c r="C19" i="63" s="1"/>
  <c r="A2" i="50"/>
  <c r="P59" i="15" l="1"/>
  <c r="K60" i="15"/>
  <c r="P72" i="15" s="1"/>
  <c r="A132" i="57" l="1"/>
  <c r="A130" i="57"/>
  <c r="A128" i="57"/>
  <c r="A126" i="57"/>
  <c r="A129" i="9"/>
  <c r="A127" i="9"/>
  <c r="A125" i="9"/>
  <c r="A123" i="9"/>
  <c r="A16" i="54"/>
  <c r="A14" i="54"/>
  <c r="A19" i="55" l="1"/>
  <c r="A13" i="55"/>
  <c r="A1" i="52"/>
  <c r="A4" i="50"/>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3" i="61"/>
  <c r="F3" i="61"/>
  <c r="F6" i="61"/>
  <c r="D7" i="61"/>
  <c r="F4" i="61"/>
  <c r="D6" i="61"/>
  <c r="D4" i="61"/>
  <c r="D5"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55" i="43"/>
  <c r="B7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S40" i="33" s="1"/>
  <c r="D113" i="33"/>
  <c r="E113"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H39" i="33" s="1"/>
  <c r="AB39"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s="1"/>
  <c r="Q44" i="33"/>
  <c r="Z44" i="33" s="1"/>
  <c r="Q43" i="33"/>
  <c r="Z43" i="33"/>
  <c r="Q42" i="33"/>
  <c r="Z42" i="33"/>
  <c r="J42" i="33"/>
  <c r="AC42" i="33" s="1"/>
  <c r="Q41" i="33"/>
  <c r="Z41" i="33" s="1"/>
  <c r="Q40" i="33"/>
  <c r="Z40" i="33" s="1"/>
  <c r="J40" i="33"/>
  <c r="AC40" i="33" s="1"/>
  <c r="H40" i="33"/>
  <c r="AB40" i="33" s="1"/>
  <c r="AA40" i="33"/>
  <c r="Q39" i="33"/>
  <c r="Z39" i="33"/>
  <c r="Q38" i="33"/>
  <c r="Z38" i="33"/>
  <c r="J38" i="33"/>
  <c r="AC38" i="33" s="1"/>
  <c r="H38" i="33"/>
  <c r="AB38" i="33" s="1"/>
  <c r="F38" i="33"/>
  <c r="AA38" i="33" s="1"/>
  <c r="Q37" i="33"/>
  <c r="Z37" i="33" s="1"/>
  <c r="Q36" i="33"/>
  <c r="Z36" i="33" s="1"/>
  <c r="Q35" i="33"/>
  <c r="Z35" i="33" s="1"/>
  <c r="H35" i="33"/>
  <c r="AB35" i="33" s="1"/>
  <c r="F35" i="33"/>
  <c r="S35" i="33" s="1"/>
  <c r="Q34" i="33"/>
  <c r="Z34" i="33" s="1"/>
  <c r="F34" i="33"/>
  <c r="AA34" i="33" s="1"/>
  <c r="Q33" i="33"/>
  <c r="Z33" i="33"/>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S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F26" i="33"/>
  <c r="AA26" i="33" s="1"/>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J34" i="33"/>
  <c r="W34" i="33" s="1"/>
  <c r="F36" i="33"/>
  <c r="S36"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6" i="33"/>
  <c r="U36" i="33" s="1"/>
  <c r="F17" i="33"/>
  <c r="AA17" i="33" s="1"/>
  <c r="H15" i="33"/>
  <c r="AB15" i="33" s="1"/>
  <c r="AB11" i="33"/>
  <c r="AC27" i="40"/>
  <c r="AC42" i="34"/>
  <c r="W42" i="34"/>
  <c r="AA42" i="34"/>
  <c r="S42" i="34"/>
  <c r="W38" i="34"/>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W30" i="33"/>
  <c r="S14" i="33"/>
  <c r="AC32" i="34"/>
  <c r="AC14" i="34"/>
  <c r="J10" i="36"/>
  <c r="AC10" i="36"/>
  <c r="AB46" i="21"/>
  <c r="U14" i="21"/>
  <c r="AC14" i="21"/>
  <c r="S46" i="33"/>
  <c r="AC13" i="36"/>
  <c r="AC11" i="36"/>
  <c r="U32" i="36"/>
  <c r="U31" i="33"/>
  <c r="AC29" i="33"/>
  <c r="W29"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A30" i="35"/>
  <c r="AC30" i="21"/>
  <c r="S15" i="34"/>
  <c r="J40" i="34"/>
  <c r="AC40" i="34" s="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AA35" i="33"/>
  <c r="E117" i="33"/>
  <c r="F117" i="33" s="1"/>
  <c r="G117"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37" i="33" l="1"/>
  <c r="F113" i="33"/>
  <c r="G113" i="33" s="1"/>
  <c r="H113" i="33" s="1"/>
  <c r="I113" i="33" s="1"/>
  <c r="J113" i="33" s="1"/>
  <c r="K113" i="33" s="1"/>
  <c r="L113" i="33" s="1"/>
  <c r="M113" i="33" s="1"/>
  <c r="J37" i="33"/>
  <c r="AC37" i="33" s="1"/>
  <c r="H37" i="33"/>
  <c r="AB37" i="33" s="1"/>
  <c r="W38" i="33"/>
  <c r="W44" i="33"/>
  <c r="W23" i="33"/>
  <c r="AB45" i="33"/>
  <c r="U44" i="33"/>
  <c r="AB10" i="33"/>
  <c r="S37" i="33"/>
  <c r="AA37" i="33"/>
  <c r="J39" i="33"/>
  <c r="AC39" i="33" s="1"/>
  <c r="F41" i="33"/>
  <c r="S41" i="33" s="1"/>
  <c r="S34" i="33"/>
  <c r="AB43" i="33"/>
  <c r="J41" i="33"/>
  <c r="W41" i="33" s="1"/>
  <c r="H34" i="33"/>
  <c r="AB34" i="33" s="1"/>
  <c r="AA41" i="33"/>
  <c r="S38" i="33"/>
  <c r="AC34" i="33"/>
  <c r="AA27" i="33"/>
  <c r="S26" i="33"/>
  <c r="W28" i="33"/>
  <c r="AB28" i="33"/>
  <c r="S25" i="33"/>
  <c r="G60" i="40"/>
  <c r="C60" i="40" s="1"/>
  <c r="AB23" i="33"/>
  <c r="S11" i="33"/>
  <c r="B74" i="43"/>
  <c r="C27" i="39"/>
  <c r="AA44" i="3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8" i="33"/>
  <c r="W43"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I18" i="63" s="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8" i="63" l="1"/>
  <c r="E16" i="63" s="1"/>
  <c r="C17" i="63"/>
  <c r="G4" i="47"/>
  <c r="F48" i="43"/>
  <c r="W37" i="33"/>
  <c r="AC41" i="33"/>
  <c r="U34" i="33"/>
  <c r="D68" i="39"/>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C16" i="63" l="1"/>
  <c r="C23" i="63"/>
  <c r="H51" i="43"/>
  <c r="H56" i="43"/>
  <c r="H49" i="43"/>
  <c r="H48" i="43"/>
  <c r="H52" i="43"/>
  <c r="H50" i="43"/>
  <c r="H54" i="43"/>
  <c r="H55" i="43"/>
  <c r="H53" i="43"/>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C7" i="63" l="1"/>
  <c r="C27" i="63" s="1"/>
  <c r="C26" i="63"/>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24" i="63" l="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 i="11" l="1"/>
  <c r="C7" i="11" s="1"/>
  <c r="C5" i="11" s="1"/>
  <c r="C20" i="11"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3" i="11" l="1"/>
  <c r="C28" i="11"/>
  <c r="C27" i="11" s="1"/>
  <c r="C25" i="11"/>
  <c r="C22"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31" i="11" l="1"/>
  <c r="Q46" i="15"/>
  <c r="C49" i="11"/>
  <c r="C51" i="11" s="1"/>
  <c r="C52" i="11" s="1"/>
  <c r="P58" i="57"/>
  <c r="N59" i="57"/>
  <c r="N60" i="57"/>
  <c r="B3" i="12"/>
  <c r="C13" i="15"/>
  <c r="Q47" i="15"/>
  <c r="J19" i="15"/>
  <c r="J17" i="15" s="1"/>
  <c r="C33" i="15"/>
  <c r="C31" i="15" s="1"/>
  <c r="J14" i="15"/>
  <c r="C58" i="15"/>
  <c r="C36" i="15"/>
  <c r="K68" i="39"/>
  <c r="J70" i="39"/>
  <c r="K63" i="40"/>
  <c r="J65" i="40"/>
  <c r="D20" i="57"/>
  <c r="C20" i="9"/>
  <c r="B3" i="11" l="1"/>
  <c r="B5" i="65"/>
  <c r="N62" i="57"/>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102" i="9"/>
  <c r="C5" i="65" l="1"/>
  <c r="D5" i="65" s="1"/>
  <c r="B6" i="65"/>
  <c r="C6" i="65" s="1"/>
  <c r="D6" i="65" s="1"/>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C19" i="57"/>
  <c r="D20" i="9"/>
  <c r="E2" i="21"/>
  <c r="E2" i="37"/>
  <c r="C20" i="57"/>
  <c r="E2" i="35"/>
  <c r="D19" i="9"/>
  <c r="E2" i="34"/>
  <c r="E2" i="33"/>
  <c r="E2" i="11"/>
  <c r="B2" i="36" l="1"/>
  <c r="B3" i="36" s="1"/>
  <c r="B2" i="34"/>
  <c r="B3" i="34" s="1"/>
  <c r="B2" i="35"/>
  <c r="B2" i="37"/>
  <c r="B3" i="37" s="1"/>
  <c r="B2" i="33"/>
  <c r="B3" i="33" s="1"/>
  <c r="B2" i="21"/>
  <c r="B3" i="21" s="1"/>
  <c r="D101" i="9"/>
  <c r="C102" i="57"/>
  <c r="B2" i="11"/>
  <c r="C3" i="63" s="1"/>
  <c r="C4" i="63" s="1"/>
  <c r="C29" i="63" s="1"/>
  <c r="C30" i="63" s="1"/>
  <c r="D36" i="63" s="1"/>
  <c r="G20" i="9"/>
  <c r="D102" i="9"/>
  <c r="G20" i="57"/>
  <c r="C103" i="57"/>
  <c r="Q65" i="15"/>
  <c r="L58" i="15"/>
  <c r="L61" i="15" s="1"/>
  <c r="L47" i="15" s="1"/>
  <c r="O68" i="39"/>
  <c r="O70" i="39" s="1"/>
  <c r="N70" i="39"/>
  <c r="O63" i="40"/>
  <c r="O65" i="40" s="1"/>
  <c r="N65" i="40"/>
  <c r="D19" i="57"/>
  <c r="C19" i="9"/>
  <c r="D37" i="63" l="1"/>
  <c r="G44" i="63" s="1"/>
  <c r="J9" i="63"/>
  <c r="G35" i="63"/>
  <c r="B2" i="15"/>
  <c r="B3" i="15"/>
  <c r="Q64" i="15"/>
  <c r="Q73" i="15" s="1"/>
  <c r="Q55" i="15"/>
  <c r="Q60" i="15" s="1"/>
  <c r="D22" i="57"/>
  <c r="D102" i="57"/>
  <c r="G19" i="57"/>
  <c r="C105" i="57" s="1"/>
  <c r="C101" i="9"/>
  <c r="D22" i="9"/>
  <c r="G19" i="9"/>
  <c r="C32" i="9" s="1"/>
  <c r="H7" i="40"/>
  <c r="F7" i="40"/>
  <c r="J7" i="40"/>
  <c r="H7" i="39"/>
  <c r="F7" i="39"/>
  <c r="J7" i="39"/>
  <c r="H45" i="63" l="1"/>
  <c r="I44" i="63" s="1"/>
  <c r="E38" i="63"/>
  <c r="E39" i="63" s="1"/>
  <c r="C38" i="63"/>
  <c r="C39" i="63" s="1"/>
  <c r="J10" i="63"/>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D121" i="9" s="1"/>
  <c r="D4" i="52" s="1"/>
  <c r="B37" i="60" s="1"/>
  <c r="G121" i="9"/>
  <c r="G4" i="52" s="1"/>
  <c r="B41" i="60" s="1"/>
  <c r="I121" i="9"/>
  <c r="D107" i="9" s="1"/>
  <c r="E4" i="52" l="1"/>
  <c r="B38" i="60" s="1"/>
  <c r="H121" i="9"/>
  <c r="H4" i="52" s="1"/>
  <c r="I103" i="9"/>
  <c r="D122" i="9"/>
  <c r="D5" i="52" s="1"/>
  <c r="B39" i="60" s="1"/>
  <c r="C104" i="9"/>
  <c r="I102" i="9"/>
  <c r="F121" i="9"/>
  <c r="I4" i="52"/>
  <c r="C103" i="9" l="1"/>
  <c r="H122" i="9"/>
  <c r="H5" i="52" s="1"/>
  <c r="D106" i="9"/>
  <c r="D112" i="9" s="1"/>
  <c r="D117" i="9" s="1"/>
  <c r="F122" i="9"/>
  <c r="F5" i="52" s="1"/>
  <c r="B42" i="60" s="1"/>
  <c r="F4" i="52"/>
  <c r="B40" i="60" s="1"/>
  <c r="D30" i="50"/>
  <c r="D9" i="50"/>
  <c r="B21" i="60" s="1"/>
  <c r="D7" i="50"/>
  <c r="D45" i="9"/>
  <c r="M48" i="9"/>
  <c r="I110" i="9"/>
  <c r="D28" i="50"/>
  <c r="D29" i="50" s="1"/>
  <c r="D113" i="9"/>
  <c r="D44" i="50" l="1"/>
  <c r="I115" i="9"/>
  <c r="D23" i="50" s="1"/>
  <c r="B34" i="60" s="1"/>
  <c r="D38" i="50"/>
  <c r="B62" i="60" s="1"/>
  <c r="I111" i="9"/>
  <c r="D15" i="50"/>
  <c r="D36" i="50"/>
  <c r="D37" i="50" s="1"/>
  <c r="D125" i="9"/>
  <c r="D8" i="52" s="1"/>
  <c r="D55" i="9"/>
  <c r="M53" i="9" s="1"/>
  <c r="D59" i="9"/>
  <c r="M55" i="9" s="1"/>
  <c r="C78" i="9"/>
  <c r="C73" i="9" s="1"/>
  <c r="D53" i="9"/>
  <c r="D48" i="9" s="1"/>
  <c r="M52" i="9" s="1"/>
  <c r="C85" i="9"/>
  <c r="C72" i="9"/>
  <c r="C64" i="9"/>
  <c r="C63" i="9" s="1"/>
  <c r="C67" i="9" s="1"/>
  <c r="C68" i="9" s="1"/>
  <c r="D54" i="9" s="1"/>
  <c r="C93" i="9"/>
  <c r="C86" i="9" s="1"/>
  <c r="D52" i="9"/>
  <c r="B19" i="60"/>
  <c r="D8" i="50"/>
  <c r="B22" i="60" s="1"/>
  <c r="C79" i="9" l="1"/>
  <c r="C81" i="9" s="1"/>
  <c r="C95" i="9"/>
  <c r="D17" i="50"/>
  <c r="D126" i="9"/>
  <c r="D9" i="52" s="1"/>
  <c r="B29" i="60"/>
  <c r="D16" i="50"/>
  <c r="B30" i="60" s="1"/>
  <c r="C80" i="9" l="1"/>
  <c r="E80" i="9" s="1"/>
  <c r="E81" i="9" s="1"/>
  <c r="C96" i="9"/>
  <c r="E96" i="9" s="1"/>
  <c r="E97"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<sst xmlns="http://schemas.openxmlformats.org/spreadsheetml/2006/main" count="7050" uniqueCount="3070">
  <si>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</si>
  <si>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</si>
  <si>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</si>
  <si>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</si>
  <si>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</si>
  <si>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</si>
  <si>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</si>
  <si>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</si>
  <si>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</si>
  <si>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</si>
  <si>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</si>
  <si>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</si>
  <si>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</si>
  <si>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</si>
  <si>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</si>
  <si>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</si>
  <si>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</si>
  <si>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</si>
  <si>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</si>
  <si>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</si>
  <si>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</si>
  <si>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</si>
  <si>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</si>
  <si>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</si>
  <si>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</si>
  <si>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</si>
  <si>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</si>
  <si>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</si>
  <si>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</si>
  <si>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</si>
  <si>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</si>
  <si>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</si>
  <si>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</si>
  <si>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</si>
  <si>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</si>
  <si>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</si>
  <si>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</si>
  <si>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</si>
  <si>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</si>
  <si>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</si>
  <si>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</si>
  <si>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</si>
  <si>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</si>
  <si>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</si>
  <si>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</si>
  <si>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</si>
  <si>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</si>
  <si>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</si>
  <si>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</si>
  <si>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</si>
  <si>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</si>
  <si>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</si>
  <si>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</si>
  <si>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</si>
  <si>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</si>
  <si>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</si>
  <si>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</si>
  <si>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</si>
  <si>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</si>
  <si>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</si>
  <si>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</si>
  <si>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</si>
  <si>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</si>
  <si>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</si>
  <si>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</si>
  <si>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</si>
  <si>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</si>
  <si>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</si>
  <si>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</si>
  <si>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</si>
  <si>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</si>
  <si>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</si>
  <si>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</si>
  <si>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</si>
  <si>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</si>
  <si>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</si>
  <si>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</si>
  <si>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</si>
  <si>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</si>
  <si>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</si>
  <si>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</si>
  <si>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</si>
  <si>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</si>
  <si>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</si>
  <si>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</si>
  <si>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</si>
  <si>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</si>
  <si>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</si>
  <si>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</si>
  <si>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</si>
  <si>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</si>
  <si>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</si>
  <si>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</si>
  <si>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</si>
  <si>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</si>
  <si>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</si>
  <si>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</si>
  <si>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</si>
  <si>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</si>
  <si>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</si>
  <si>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</si>
  <si>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</si>
  <si>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</si>
  <si>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</si>
  <si>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</si>
  <si>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</si>
  <si>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</si>
  <si>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</si>
  <si>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</si>
  <si>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</si>
  <si>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</si>
  <si>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</si>
  <si>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</si>
  <si>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</si>
  <si>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</si>
  <si>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</si>
  <si>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</si>
  <si>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</si>
  <si>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</si>
  <si>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</si>
  <si>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</si>
  <si>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</si>
  <si>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</si>
  <si>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</si>
  <si>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</si>
  <si>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</si>
  <si>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</si>
  <si>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</si>
  <si>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</si>
  <si>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</si>
  <si>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</si>
  <si>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</si>
  <si>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</si>
  <si>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</si>
  <si>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</si>
  <si>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</si>
  <si>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</si>
  <si>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</si>
  <si>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</si>
  <si>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</si>
  <si>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</si>
  <si>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</si>
  <si>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</si>
  <si>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</si>
  <si>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</si>
  <si>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</si>
  <si>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</si>
  <si>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</si>
  <si>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</si>
  <si>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</si>
  <si>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</si>
  <si>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</si>
  <si>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</si>
  <si>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</si>
  <si>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</si>
  <si>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</si>
  <si>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</si>
  <si>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</si>
  <si>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</si>
  <si>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</si>
  <si>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</si>
  <si>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</si>
  <si>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</si>
  <si>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</si>
  <si>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</si>
  <si>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</si>
  <si>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</si>
  <si>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</si>
  <si>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</si>
  <si>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</si>
  <si>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</si>
  <si>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</si>
  <si>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</si>
  <si>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</si>
  <si>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</si>
  <si>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</si>
  <si>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</si>
  <si>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</si>
  <si>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</si>
  <si>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</si>
  <si>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</si>
  <si>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</si>
  <si>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</si>
  <si>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</si>
  <si>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</si>
  <si>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</si>
  <si>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</si>
  <si>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</si>
  <si>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</si>
  <si>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</si>
  <si>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</si>
  <si>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</si>
  <si>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</si>
  <si>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</si>
  <si>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</si>
  <si>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</si>
  <si>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</si>
  <si>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</si>
  <si>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</si>
  <si>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</si>
  <si>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</si>
  <si>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</si>
  <si>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</si>
  <si>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</si>
  <si>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</si>
  <si>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</si>
  <si>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</si>
  <si>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</si>
  <si>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</si>
  <si>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</si>
  <si>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</si>
  <si>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</si>
  <si>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</si>
  <si>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</si>
  <si>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</si>
  <si>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</si>
  <si>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</si>
  <si>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</si>
  <si>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</si>
  <si>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</si>
  <si>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</si>
  <si>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</si>
  <si>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</si>
  <si>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</si>
  <si>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</si>
  <si>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</si>
  <si>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</si>
  <si>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</si>
  <si>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</si>
  <si>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</si>
  <si>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</si>
  <si>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</si>
  <si>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</si>
  <si>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</si>
  <si>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</si>
  <si>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</si>
  <si>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</si>
  <si>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</si>
  <si>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</si>
  <si>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</si>
  <si>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</si>
  <si>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</si>
  <si>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</si>
  <si>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</si>
  <si>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</si>
  <si>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</si>
  <si>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</si>
  <si>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</si>
  <si>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</si>
  <si>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</si>
  <si>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</si>
  <si>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</si>
  <si>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</si>
  <si>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</si>
  <si>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</si>
  <si>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</si>
  <si>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</si>
  <si>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</si>
  <si>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</si>
  <si>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</si>
  <si>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</si>
  <si>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</si>
  <si>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</si>
  <si>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</si>
  <si>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</si>
  <si>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</si>
  <si>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</si>
  <si>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</si>
  <si>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</si>
  <si>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</si>
  <si>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</si>
  <si>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</si>
  <si>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</si>
  <si>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</si>
  <si>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</si>
  <si>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</si>
  <si>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</si>
  <si>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</si>
  <si>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</si>
  <si>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</si>
  <si>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</si>
  <si>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</si>
  <si>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</si>
  <si>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</si>
  <si>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</si>
  <si>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</si>
  <si>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</si>
  <si>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</si>
  <si>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</si>
  <si>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</si>
  <si>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</si>
  <si>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</si>
  <si>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</si>
  <si>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</si>
  <si>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</si>
  <si>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</si>
  <si>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</si>
  <si>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</si>
  <si>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</si>
  <si>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</si>
  <si>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</si>
  <si>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</si>
  <si>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</si>
  <si>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</si>
  <si>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</si>
  <si>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</si>
  <si>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</si>
  <si>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</si>
  <si>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</si>
  <si>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</si>
  <si>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</si>
  <si>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</si>
  <si>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</si>
  <si>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</si>
  <si>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</si>
  <si>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</si>
  <si>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</si>
  <si>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</si>
  <si>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</si>
  <si>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</si>
  <si>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</si>
  <si>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</si>
  <si>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</si>
  <si>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</si>
  <si>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</si>
  <si>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</si>
  <si>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</si>
  <si>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</si>
  <si>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</si>
  <si>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</si>
  <si>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</si>
  <si>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</si>
  <si>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</si>
  <si>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</si>
  <si>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</si>
  <si>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</si>
  <si>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</si>
  <si>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</si>
  <si>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</si>
  <si>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</si>
  <si>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</si>
  <si>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</si>
  <si>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</si>
  <si>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</si>
  <si>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</si>
  <si>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</si>
  <si>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</si>
  <si>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</si>
  <si>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</si>
  <si>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</si>
  <si>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</si>
  <si>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</si>
  <si>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</si>
  <si>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</si>
  <si>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</si>
  <si>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</si>
  <si>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</si>
  <si>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</si>
  <si>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</si>
  <si>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</si>
  <si>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</si>
  <si>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</si>
  <si>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</si>
  <si>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</si>
  <si>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</si>
  <si>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</si>
  <si>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</si>
  <si>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</si>
  <si>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</si>
  <si>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</si>
  <si>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</si>
  <si>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</si>
  <si>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</si>
  <si>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</si>
  <si>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</si>
  <si>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</si>
  <si>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</si>
  <si>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</si>
  <si>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</si>
  <si>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</si>
  <si>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</si>
  <si>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</si>
  <si>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</si>
  <si>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</si>
  <si>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</si>
  <si>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</si>
  <si>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</si>
  <si>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</si>
  <si>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</si>
  <si>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</si>
  <si>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</si>
  <si>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</si>
  <si>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</si>
  <si>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</si>
  <si>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</si>
  <si>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</si>
  <si>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</si>
  <si>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</si>
  <si>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</si>
  <si>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</si>
  <si>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</si>
  <si>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</si>
  <si>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</si>
  <si>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</si>
  <si>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</si>
  <si>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</si>
  <si>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</si>
  <si>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</si>
  <si>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</si>
  <si>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</si>
  <si>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</si>
  <si>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</si>
  <si>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</si>
  <si>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</si>
  <si>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</si>
  <si>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</si>
  <si>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</si>
  <si>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</si>
  <si>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</si>
  <si>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</si>
  <si>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</si>
  <si>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</si>
  <si>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</si>
  <si>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</si>
  <si>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</si>
  <si>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</si>
  <si>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</si>
  <si>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</si>
  <si>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</si>
  <si>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</si>
  <si>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</si>
  <si>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</si>
  <si>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</si>
  <si>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</si>
  <si>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</si>
  <si>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</si>
  <si>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</si>
  <si>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</si>
  <si>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</si>
  <si>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</si>
  <si>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</si>
  <si>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</si>
  <si>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</si>
  <si>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</si>
  <si>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</si>
  <si>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</si>
  <si>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</si>
  <si>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</si>
  <si>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</si>
  <si>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</si>
  <si>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</si>
  <si>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</si>
  <si>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</si>
  <si>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</si>
  <si>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</si>
  <si>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</si>
  <si>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</si>
  <si>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</si>
  <si>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</si>
  <si>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</si>
  <si>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</si>
  <si>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</si>
  <si>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</si>
  <si>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</si>
  <si>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</si>
  <si>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</si>
  <si>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</si>
  <si>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</si>
  <si>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</si>
  <si>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</si>
  <si>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</si>
  <si>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</si>
  <si>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</si>
  <si>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</si>
  <si>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</si>
  <si>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</si>
  <si>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</si>
  <si>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</si>
  <si>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</si>
  <si>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</si>
  <si>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</si>
  <si>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</si>
  <si>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</si>
  <si>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</si>
  <si>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</si>
  <si>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</si>
  <si>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</si>
  <si>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</si>
  <si>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</si>
  <si>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</si>
  <si>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</si>
  <si>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</si>
  <si>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</si>
  <si>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</si>
  <si>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</si>
  <si>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</si>
  <si>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</si>
  <si>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</si>
  <si>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</si>
  <si>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</si>
  <si>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</si>
  <si>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</si>
  <si>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</si>
  <si>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</si>
  <si>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</si>
  <si>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</si>
  <si>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</si>
  <si>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</si>
  <si>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</si>
  <si>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</si>
  <si>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</si>
  <si>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</si>
  <si>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</si>
  <si>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</si>
  <si>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</si>
  <si>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</si>
  <si>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</si>
  <si>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</si>
  <si>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</si>
  <si>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</si>
  <si>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</si>
  <si>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</si>
  <si>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</si>
  <si>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</si>
  <si>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</si>
  <si>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</si>
  <si>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</si>
  <si>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</si>
  <si>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</si>
  <si>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</si>
  <si>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</si>
  <si>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</si>
  <si>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</si>
  <si>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</si>
  <si>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</si>
  <si>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</si>
  <si>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</si>
  <si>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</si>
  <si>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</si>
  <si>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</si>
  <si>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</si>
  <si>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</si>
  <si>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</si>
  <si>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</si>
  <si>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</si>
  <si>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</si>
  <si>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</si>
  <si>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</si>
  <si>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</si>
  <si>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</si>
  <si>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</si>
  <si>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</si>
  <si>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</si>
  <si>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</si>
  <si>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</si>
  <si>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</si>
  <si>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</si>
  <si>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</si>
  <si>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</si>
  <si>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</si>
  <si>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</si>
  <si>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</si>
  <si>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</si>
  <si>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</si>
  <si>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</si>
  <si>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</si>
  <si>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</si>
  <si>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</si>
  <si>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</si>
  <si>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</si>
  <si>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</si>
  <si>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</si>
  <si>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</si>
  <si>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</si>
  <si>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</si>
  <si>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</si>
  <si>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</si>
  <si>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</si>
  <si>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</si>
  <si>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</si>
  <si>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</si>
  <si>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</si>
  <si>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</si>
  <si>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</si>
  <si>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</si>
  <si>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</si>
  <si>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</si>
  <si>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</si>
  <si>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</si>
  <si>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</si>
  <si>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</si>
  <si>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</si>
  <si>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</si>
  <si>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</si>
  <si>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</si>
  <si>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</si>
  <si>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</si>
  <si>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</si>
  <si>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</si>
  <si>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</si>
  <si>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</si>
  <si>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</si>
  <si>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</si>
  <si>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</si>
  <si>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</si>
  <si>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</si>
  <si>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</si>
  <si>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</si>
  <si>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</si>
  <si>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</si>
  <si>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</si>
  <si>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</si>
  <si>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</si>
  <si>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</si>
  <si>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</si>
  <si>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</si>
  <si>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</si>
  <si>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</si>
  <si>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</si>
  <si>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</si>
  <si>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</si>
  <si>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</si>
  <si>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</si>
  <si>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</si>
  <si>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</si>
  <si>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</si>
  <si>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</si>
  <si>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</si>
  <si>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</si>
  <si>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</si>
  <si>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</si>
  <si>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</si>
  <si>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</si>
  <si>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</si>
  <si>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</si>
  <si>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</si>
  <si>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</si>
  <si>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</si>
  <si>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</si>
  <si>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</si>
  <si>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</si>
  <si>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</si>
  <si>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</si>
  <si>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</si>
  <si>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</si>
  <si>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</si>
  <si>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</si>
  <si>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</si>
  <si>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</si>
  <si>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</si>
  <si>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</si>
  <si>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</si>
  <si>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</si>
  <si>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</si>
  <si>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</si>
  <si>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</si>
  <si>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</si>
  <si>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</si>
  <si>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</si>
  <si>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</si>
  <si>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</si>
  <si>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</si>
  <si>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</si>
  <si>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</si>
  <si>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</si>
  <si>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</si>
  <si>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</si>
  <si>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</si>
  <si>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</si>
  <si>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</si>
  <si>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</si>
  <si>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</si>
  <si>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</si>
  <si>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</si>
  <si>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</si>
  <si>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</si>
  <si>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</si>
  <si>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</si>
  <si>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</si>
  <si>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</si>
  <si>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</si>
  <si>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</si>
  <si>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</si>
  <si>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</si>
  <si>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</si>
  <si>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</si>
  <si>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</si>
  <si>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</si>
  <si>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</si>
  <si>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</si>
  <si>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</si>
  <si>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</si>
  <si>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</si>
  <si>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</si>
  <si>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</si>
  <si>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</si>
  <si>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</si>
  <si>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</si>
  <si>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</si>
  <si>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</si>
  <si>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</si>
  <si>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</si>
  <si>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</si>
  <si>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</si>
  <si>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</si>
  <si>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</si>
  <si>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</si>
  <si>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</si>
  <si>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</si>
  <si>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</si>
  <si>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</si>
  <si>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</si>
  <si>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</si>
  <si>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</si>
  <si>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</si>
  <si>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</si>
  <si>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</si>
  <si>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</si>
  <si>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</si>
  <si>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</si>
  <si>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</si>
  <si>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</si>
  <si>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</si>
  <si>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</si>
  <si>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</si>
  <si>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</si>
  <si>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</si>
  <si>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</si>
  <si>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</si>
  <si>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</si>
  <si>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</si>
  <si>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</si>
  <si>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</si>
  <si>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</si>
  <si>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</si>
  <si>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</si>
  <si>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</si>
  <si>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</si>
  <si>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</si>
  <si>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</si>
  <si>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</si>
  <si>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</si>
  <si>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</si>
  <si>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</si>
  <si>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</si>
  <si>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</si>
  <si>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</si>
  <si>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</si>
  <si>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</si>
  <si>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</si>
  <si>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</si>
  <si>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</si>
  <si>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</si>
  <si>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</si>
  <si>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</si>
  <si>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</si>
  <si>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</si>
  <si>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</si>
  <si>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</si>
  <si>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</si>
  <si>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</si>
  <si>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</si>
  <si>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</si>
  <si>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</si>
  <si>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</si>
  <si>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</si>
  <si>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</si>
  <si>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</si>
  <si>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</si>
  <si>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</si>
  <si>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</si>
  <si>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</si>
  <si>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</si>
  <si>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</si>
  <si>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</si>
  <si>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</si>
  <si>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</si>
  <si>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</si>
  <si>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</si>
  <si>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</si>
  <si>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</si>
  <si>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</si>
  <si>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</si>
  <si>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</si>
  <si>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</si>
  <si>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</si>
  <si>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</si>
  <si>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</si>
  <si>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</si>
  <si>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</si>
  <si>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</si>
  <si>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</si>
  <si>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</si>
  <si>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</si>
  <si>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</si>
  <si>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</si>
  <si>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</si>
  <si>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</si>
  <si>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</si>
  <si>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</si>
  <si>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</si>
  <si>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</si>
  <si>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</si>
  <si>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</si>
  <si>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</si>
  <si>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</si>
  <si>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</si>
  <si>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</si>
  <si>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</si>
  <si>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</si>
  <si>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</si>
  <si>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</si>
  <si>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</si>
  <si>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</si>
  <si>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</si>
  <si>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</si>
  <si>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</si>
  <si>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</si>
  <si>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</si>
  <si>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</si>
  <si>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</si>
  <si>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</si>
  <si>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</si>
  <si>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</si>
  <si>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</si>
  <si>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</si>
  <si>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</si>
  <si>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</si>
  <si>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</si>
  <si>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</si>
  <si>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</si>
  <si>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</si>
  <si>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</si>
  <si>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</si>
  <si>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</si>
  <si>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</si>
  <si>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</si>
  <si>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</si>
  <si>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</si>
  <si>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</si>
  <si>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</si>
  <si>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</si>
  <si>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</si>
  <si>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</si>
  <si>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</si>
  <si>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</si>
  <si>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</si>
  <si>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</si>
  <si>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</si>
  <si>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</si>
  <si>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</si>
  <si>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</si>
  <si>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</si>
  <si>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</si>
  <si>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</si>
  <si>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</si>
  <si>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</si>
  <si>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</si>
  <si>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</si>
  <si>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</si>
  <si>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</si>
  <si>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</si>
  <si>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</si>
  <si>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</si>
  <si>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</si>
  <si>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</si>
  <si>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</si>
  <si>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</si>
  <si>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</si>
  <si>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</si>
  <si>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</si>
  <si>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</si>
  <si>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</si>
  <si>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</si>
  <si>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</si>
  <si>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</si>
  <si>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</si>
  <si>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</si>
  <si>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</si>
  <si>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</si>
  <si>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</si>
  <si>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</si>
  <si>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</si>
  <si>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</si>
  <si>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</si>
  <si>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</si>
  <si>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</si>
  <si>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</si>
  <si>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</si>
  <si>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</si>
  <si>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</si>
  <si>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</si>
  <si>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</si>
  <si>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</si>
  <si>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</si>
  <si>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</si>
  <si>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</si>
  <si>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</si>
  <si>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</si>
  <si>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</si>
  <si>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</si>
  <si>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</si>
  <si>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</si>
  <si>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</si>
  <si>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</si>
  <si>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</si>
  <si>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</si>
  <si>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</si>
  <si>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</si>
  <si>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</si>
  <si>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</si>
  <si>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</si>
  <si>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</si>
  <si>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</si>
  <si>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</si>
  <si>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</si>
  <si>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</si>
  <si>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</si>
  <si>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</si>
  <si>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</si>
  <si>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</si>
  <si>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</si>
  <si>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</si>
  <si>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</si>
  <si>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</si>
  <si>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</si>
  <si>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</si>
  <si>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</si>
  <si>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</si>
  <si>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</si>
  <si>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</si>
  <si>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</si>
  <si>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</si>
  <si>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</si>
  <si>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</si>
  <si>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</si>
  <si>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</si>
  <si>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</si>
  <si>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</si>
  <si>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</si>
  <si>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</si>
  <si>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</si>
  <si>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</si>
  <si>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</si>
  <si>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</si>
  <si>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</si>
  <si>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</si>
  <si>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</si>
  <si>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</si>
  <si>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</si>
  <si>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</si>
  <si>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</si>
  <si>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</si>
  <si>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</si>
  <si>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</si>
  <si>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</si>
  <si>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</si>
  <si>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</si>
  <si>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</si>
  <si>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</si>
  <si>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</si>
  <si>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</si>
  <si>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</si>
  <si>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</si>
  <si>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</si>
  <si>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</si>
  <si>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</si>
  <si>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</si>
  <si>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</si>
  <si>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</si>
  <si>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</si>
  <si>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</si>
  <si>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</si>
  <si>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</si>
  <si>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</si>
  <si>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</si>
  <si>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</si>
  <si>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</si>
  <si>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</si>
  <si>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</si>
  <si>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</si>
  <si>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</si>
  <si>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</si>
  <si>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</si>
  <si>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</si>
  <si>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</si>
  <si>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</si>
  <si>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</si>
  <si>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</si>
  <si>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</si>
  <si>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</si>
  <si>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</si>
  <si>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</si>
  <si>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</si>
  <si>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</si>
  <si>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</si>
  <si>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</si>
  <si>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</si>
  <si>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</si>
  <si>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</si>
  <si>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</si>
  <si>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</si>
  <si>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</si>
  <si>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</si>
  <si>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</si>
  <si>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</si>
  <si>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</si>
  <si>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</si>
  <si>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</si>
  <si>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</si>
  <si>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</si>
  <si>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</si>
  <si>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</si>
  <si>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</si>
  <si>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</si>
  <si>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</si>
  <si>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</si>
  <si>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</si>
  <si>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</si>
  <si>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</si>
  <si>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</si>
  <si>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</si>
  <si>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</si>
  <si>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</si>
  <si>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</si>
  <si>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</si>
  <si>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</si>
  <si>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</si>
  <si>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</si>
  <si>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</si>
  <si>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</si>
  <si>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</si>
  <si>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</si>
  <si>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</si>
  <si>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</si>
  <si>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</si>
  <si>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</si>
  <si>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</si>
  <si>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</si>
  <si>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</si>
  <si>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</si>
  <si>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</si>
  <si>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</si>
  <si>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</si>
  <si>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</si>
  <si>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</si>
  <si>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</si>
  <si>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</si>
  <si>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</si>
  <si>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</si>
  <si>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</si>
  <si>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</si>
  <si>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</si>
  <si>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</si>
  <si>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</si>
  <si>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</si>
  <si>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</si>
  <si>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</si>
  <si>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</si>
  <si>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</si>
  <si>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</si>
  <si>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</si>
  <si>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</si>
  <si>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</si>
  <si>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</si>
  <si>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</si>
  <si>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</si>
  <si>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</si>
  <si>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</si>
  <si>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</si>
  <si>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</si>
  <si>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</si>
  <si>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</si>
  <si>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</si>
  <si>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</si>
  <si>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</si>
  <si>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</si>
  <si>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</si>
  <si>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</si>
  <si>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</si>
  <si>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</si>
  <si>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</si>
  <si>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</si>
  <si>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</si>
  <si>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</si>
  <si>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</si>
  <si>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</si>
  <si>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</si>
  <si>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</si>
  <si>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</si>
  <si>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</si>
  <si>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</si>
  <si>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</si>
  <si>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</si>
  <si>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</si>
  <si>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</si>
  <si>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</si>
  <si>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</si>
  <si>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</si>
  <si>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</si>
  <si>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</si>
  <si>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</si>
  <si>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</si>
  <si>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</si>
  <si>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</si>
  <si>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</si>
  <si>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</si>
  <si>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</si>
  <si>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</si>
  <si>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</si>
  <si>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</si>
  <si>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</si>
  <si>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</si>
  <si>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</si>
  <si>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</si>
  <si>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</si>
  <si>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</si>
  <si>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</si>
  <si>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</si>
  <si>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</si>
  <si>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</si>
  <si>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</si>
  <si>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</si>
  <si>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</si>
  <si>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</si>
  <si>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</si>
  <si>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</si>
  <si>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</si>
  <si>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</si>
  <si>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</si>
  <si>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</si>
  <si>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</si>
  <si>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</si>
  <si>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</si>
  <si>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</si>
  <si>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</si>
  <si>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</si>
  <si>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</si>
  <si>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</si>
  <si>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</si>
  <si>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</si>
  <si>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</si>
  <si>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</si>
  <si>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</si>
  <si>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</si>
  <si>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</si>
  <si>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</si>
  <si>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</si>
  <si>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</si>
  <si>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</si>
  <si>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</si>
  <si>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</si>
  <si>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</si>
  <si>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</si>
  <si>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</si>
  <si>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</si>
  <si>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</si>
  <si>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</si>
  <si>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</si>
  <si>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</si>
  <si>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</si>
  <si>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</si>
  <si>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</si>
  <si>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</si>
  <si>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</si>
  <si>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</si>
  <si>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</si>
  <si>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</si>
  <si>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</si>
  <si>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</si>
  <si>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</si>
  <si>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</si>
  <si>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</si>
  <si>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</si>
  <si>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</si>
  <si>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</si>
  <si>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</si>
  <si>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</si>
  <si>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</si>
  <si>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</si>
  <si>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</si>
  <si>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</si>
  <si>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</si>
  <si>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</si>
  <si>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</si>
  <si>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</si>
  <si>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</si>
  <si>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</si>
  <si>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</si>
  <si>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</si>
  <si>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</si>
  <si>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</si>
  <si>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</si>
  <si>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</si>
  <si>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</si>
  <si>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</si>
  <si>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</si>
  <si>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</si>
  <si>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</si>
  <si>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</si>
  <si>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</si>
  <si>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</si>
  <si>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</si>
  <si>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</si>
  <si>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</si>
  <si>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</si>
  <si>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</si>
  <si>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</si>
  <si>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</si>
  <si>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</si>
  <si>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</si>
  <si>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</si>
  <si>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</si>
  <si>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</si>
  <si>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</si>
  <si>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</si>
  <si>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</si>
  <si>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</si>
  <si>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</si>
  <si>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</si>
  <si>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</si>
  <si>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</si>
  <si>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</si>
  <si>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</si>
  <si>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</si>
  <si>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</si>
  <si>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</si>
  <si>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价值类型</t>
  </si>
  <si>
    <t>总价（万元）</t>
  </si>
  <si>
    <t>楼面单价（元/平方米）</t>
  </si>
  <si>
    <t>市场价值</t>
  </si>
  <si>
    <t>抵押价值</t>
  </si>
  <si>
    <t>抵押净值</t>
  </si>
  <si>
    <t>估价对象3</t>
  </si>
  <si>
    <t>估价对象4</t>
  </si>
  <si>
    <t>估价对象5</t>
  </si>
  <si>
    <t>估价对象6</t>
  </si>
  <si>
    <t>估价对象7</t>
  </si>
  <si>
    <t>估价对象8</t>
  </si>
  <si>
    <t>估价对象9</t>
  </si>
  <si>
    <t>估价对象10</t>
  </si>
  <si>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</si>
  <si>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</si>
  <si>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</si>
  <si>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</si>
  <si>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</si>
  <si>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</si>
  <si>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</si>
  <si>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</si>
  <si>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</si>
  <si>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</si>
  <si>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</si>
  <si>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</si>
  <si>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</si>
  <si>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</si>
  <si>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</si>
  <si>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</si>
  <si>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</si>
  <si>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</si>
  <si>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</si>
  <si>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</si>
  <si>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</si>
  <si>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</si>
  <si>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</si>
  <si>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</si>
  <si>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</si>
  <si>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</si>
  <si>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</si>
  <si>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</si>
  <si>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</si>
  <si>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</si>
  <si>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</si>
  <si>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</si>
  <si>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</si>
  <si>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</si>
  <si>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</si>
  <si>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</si>
  <si>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</si>
  <si>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</si>
  <si>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</si>
  <si>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</si>
  <si>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</si>
  <si>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</si>
  <si>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</si>
  <si>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</si>
  <si>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</si>
  <si>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</si>
  <si>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</si>
  <si>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</si>
  <si>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</si>
  <si>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</si>
  <si>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</si>
  <si>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</si>
  <si>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</si>
  <si>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</si>
  <si>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</si>
  <si>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</si>
  <si>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</si>
  <si>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</si>
  <si>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</si>
  <si>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</si>
  <si>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</si>
  <si>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</si>
  <si>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</si>
  <si>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</si>
  <si>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</si>
  <si>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</si>
  <si>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</si>
  <si>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</si>
  <si>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</si>
  <si>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</si>
  <si>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</si>
  <si>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</si>
  <si>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</si>
  <si>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</si>
  <si>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</si>
  <si>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</si>
  <si>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</si>
  <si>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</si>
  <si>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</si>
  <si>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</si>
  <si>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</si>
  <si>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</si>
  <si>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</si>
  <si>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</si>
  <si>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</si>
  <si>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</si>
  <si>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</si>
  <si>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</si>
  <si>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</si>
  <si>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</si>
  <si>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</si>
  <si>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</si>
  <si>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</si>
  <si>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</si>
  <si>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</si>
  <si>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</si>
  <si>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</si>
  <si>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</si>
  <si>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</si>
  <si>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</si>
  <si>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</si>
  <si>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</si>
  <si>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</si>
  <si>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</si>
  <si>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</si>
  <si>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</si>
  <si>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</si>
  <si>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</si>
  <si>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</si>
  <si>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</si>
  <si>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</si>
  <si>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</si>
  <si>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</si>
  <si>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</si>
  <si>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</si>
  <si>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</si>
  <si>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</si>
  <si>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</si>
  <si>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</si>
  <si>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</si>
  <si>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</si>
  <si>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</si>
  <si>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</si>
  <si>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</si>
  <si>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</si>
  <si>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</si>
  <si>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</si>
  <si>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</si>
  <si>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</si>
  <si>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</si>
  <si>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</si>
  <si>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</si>
  <si>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</si>
  <si>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</si>
  <si>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</si>
  <si>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</si>
  <si>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</si>
  <si>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</si>
  <si>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</si>
  <si>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</si>
  <si>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</si>
  <si>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</si>
  <si>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</si>
  <si>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</si>
  <si>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</si>
  <si>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</si>
  <si>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</si>
  <si>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</si>
  <si>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</si>
  <si>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</si>
  <si>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</si>
  <si>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</si>
  <si>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</si>
  <si>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</si>
  <si>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</si>
  <si>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</si>
  <si>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</si>
  <si>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</si>
  <si>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</si>
  <si>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</si>
  <si>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</si>
  <si>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</si>
  <si>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</si>
  <si>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</si>
  <si>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</si>
  <si>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</si>
  <si>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</si>
  <si>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</si>
  <si>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</si>
  <si>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</si>
  <si>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</si>
  <si>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</si>
  <si>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</si>
  <si>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</si>
  <si>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</si>
  <si>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</si>
  <si>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</si>
  <si>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</si>
  <si>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</si>
  <si>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</si>
  <si>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</si>
  <si>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</si>
  <si>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</si>
  <si>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</si>
  <si>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</si>
  <si>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</si>
  <si>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</si>
  <si>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</si>
  <si>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</si>
  <si>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</si>
  <si>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</si>
  <si>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</si>
  <si>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</si>
  <si>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</si>
  <si>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</si>
  <si>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</si>
  <si>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</si>
  <si>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</si>
  <si>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</si>
  <si>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</si>
  <si>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</si>
  <si>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</si>
  <si>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</si>
  <si>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</si>
  <si>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</si>
  <si>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</si>
  <si>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</si>
  <si>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</si>
  <si>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</si>
  <si>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</si>
  <si>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</si>
  <si>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</si>
  <si>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</si>
  <si>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</si>
  <si>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</si>
  <si>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</si>
  <si>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</si>
  <si>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</si>
  <si>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</si>
  <si>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</si>
  <si>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</si>
  <si>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</si>
  <si>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</si>
  <si>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</si>
  <si>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</si>
  <si>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</si>
  <si>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</si>
  <si>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</si>
  <si>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</si>
  <si>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</si>
  <si>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</si>
  <si>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</si>
  <si>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</si>
  <si>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</si>
  <si>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</si>
  <si>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</si>
  <si>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</si>
  <si>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</si>
  <si>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</si>
  <si>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</si>
  <si>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</si>
  <si>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</si>
  <si>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</si>
  <si>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</si>
  <si>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</si>
  <si>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</si>
  <si>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</si>
  <si>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</si>
  <si>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</si>
  <si>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</si>
  <si>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</si>
  <si>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</si>
  <si>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</si>
  <si>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</si>
  <si>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</si>
  <si>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</si>
  <si>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</si>
  <si>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</si>
  <si>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</si>
  <si>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</si>
  <si>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</si>
  <si>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</si>
  <si>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</si>
  <si>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</si>
  <si>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</si>
  <si>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</si>
  <si>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</si>
  <si>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</si>
  <si>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</si>
  <si>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</si>
  <si>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</si>
  <si>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</si>
  <si>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</si>
  <si>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</si>
  <si>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</si>
  <si>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</si>
  <si>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</si>
  <si>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</si>
  <si>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</si>
  <si>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</si>
  <si>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</si>
  <si>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</si>
  <si>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</si>
  <si>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</si>
  <si>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</si>
  <si>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</si>
  <si>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</si>
  <si>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</si>
  <si>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</si>
  <si>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</si>
  <si>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</si>
  <si>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</si>
  <si>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</si>
  <si>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</si>
  <si>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</si>
  <si>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</si>
  <si>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</si>
  <si>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</si>
  <si>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</si>
  <si>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</si>
  <si>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</si>
  <si>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</si>
  <si>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</si>
  <si>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</si>
  <si>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</si>
  <si>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</si>
  <si>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</si>
  <si>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</si>
  <si>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</si>
  <si>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</si>
  <si>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</si>
  <si>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</si>
  <si>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</si>
  <si>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</si>
  <si>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</si>
  <si>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</si>
  <si>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</si>
  <si>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</si>
  <si>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</si>
  <si>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</si>
  <si>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</si>
  <si>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</si>
  <si>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</si>
  <si>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</si>
  <si>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</si>
  <si>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</si>
  <si>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</si>
  <si>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</si>
  <si>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</si>
  <si>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</si>
  <si>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</si>
  <si>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</si>
  <si>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</si>
  <si>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</si>
  <si>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</si>
  <si>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</si>
  <si>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</si>
  <si>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</si>
  <si>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</si>
  <si>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</si>
  <si>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</si>
  <si>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</si>
  <si>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</si>
  <si>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</si>
  <si>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</si>
  <si>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</si>
  <si>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</si>
  <si>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</si>
  <si>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</si>
  <si>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</si>
  <si>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</si>
  <si>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</si>
  <si>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</si>
  <si>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</si>
  <si>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</si>
  <si>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</si>
  <si>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</si>
  <si>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</si>
  <si>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</si>
  <si>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</si>
  <si>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</si>
  <si>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</si>
  <si>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</si>
  <si>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</si>
  <si>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</si>
  <si>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</si>
  <si>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</si>
  <si>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</si>
  <si>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</si>
  <si>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</si>
  <si>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</si>
  <si>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</si>
  <si>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</si>
  <si>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</si>
  <si>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</si>
  <si>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</si>
  <si>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</si>
  <si>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</si>
  <si>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</si>
  <si>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</si>
  <si>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</si>
  <si>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</si>
  <si>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</si>
  <si>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</si>
  <si>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</si>
  <si>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</si>
  <si>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</si>
  <si>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</si>
  <si>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</si>
  <si>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</si>
  <si>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</si>
  <si>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</si>
  <si>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</si>
  <si>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</si>
  <si>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</si>
  <si>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</si>
  <si>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</si>
  <si>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</si>
  <si>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</si>
  <si>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</si>
  <si>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</si>
  <si>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</si>
  <si>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</si>
  <si>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</si>
  <si>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</si>
  <si>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</si>
  <si>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</si>
  <si>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</si>
  <si>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</si>
  <si>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</si>
  <si>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</si>
  <si>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</si>
  <si>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</si>
  <si>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</si>
  <si>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</si>
  <si>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</si>
  <si>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</si>
  <si>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</si>
  <si>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</si>
  <si>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</si>
  <si>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</si>
  <si>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</si>
  <si>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</si>
  <si>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</si>
  <si>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</si>
  <si>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</si>
  <si>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</si>
  <si>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</si>
  <si>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</si>
  <si>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</si>
  <si>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</si>
  <si>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</si>
  <si>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</si>
  <si>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</si>
  <si>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</si>
  <si>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</si>
  <si>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</si>
  <si>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</si>
  <si>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</si>
  <si>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</si>
  <si>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</si>
  <si>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</si>
  <si>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</si>
  <si>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</si>
  <si>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</si>
  <si>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</si>
  <si>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</si>
  <si>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</si>
  <si>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</si>
  <si>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</si>
  <si>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</si>
  <si>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</si>
  <si>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</si>
  <si>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</si>
  <si>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</si>
  <si>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</si>
  <si>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</si>
  <si>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</si>
  <si>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</si>
  <si>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</si>
  <si>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</si>
  <si>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</si>
  <si>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</si>
  <si>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</si>
  <si>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</si>
  <si>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</si>
  <si>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</si>
  <si>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</si>
  <si>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</si>
  <si>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</si>
  <si>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</si>
  <si>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</si>
  <si>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</si>
  <si>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</si>
  <si>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</si>
  <si>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</si>
  <si>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</si>
  <si>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</si>
  <si>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</si>
  <si>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</si>
  <si>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</si>
  <si>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</si>
  <si>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</si>
  <si>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</si>
  <si>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</si>
  <si>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</si>
  <si>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</si>
  <si>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</si>
  <si>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</si>
  <si>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</si>
  <si>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</si>
  <si>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</si>
  <si>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</si>
  <si>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</si>
  <si>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</si>
  <si>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</si>
  <si>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</si>
  <si>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</si>
  <si>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</si>
  <si>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</si>
  <si>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</si>
  <si>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</si>
  <si>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</si>
  <si>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</si>
  <si>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</si>
  <si>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</si>
  <si>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</si>
  <si>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</si>
  <si>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</si>
  <si>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</si>
  <si>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</si>
  <si>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</si>
  <si>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</si>
  <si>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</si>
  <si>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</si>
  <si>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</si>
  <si>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</si>
  <si>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</si>
  <si>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</si>
  <si>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</si>
  <si>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</si>
  <si>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</si>
  <si>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</si>
  <si>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</si>
  <si>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</si>
  <si>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</si>
  <si>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</si>
  <si>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</si>
  <si>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</si>
  <si>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</si>
  <si>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</si>
  <si>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</si>
  <si>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</si>
  <si>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</si>
  <si>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</si>
  <si>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</si>
  <si>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</si>
  <si>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</si>
  <si>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</si>
  <si>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</si>
  <si>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</si>
  <si>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</si>
  <si>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</si>
  <si>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</si>
  <si>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</si>
  <si>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</si>
  <si>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</si>
  <si>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</si>
  <si>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</si>
  <si>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</si>
  <si>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</si>
  <si>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</si>
  <si>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</si>
  <si>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</si>
  <si>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</si>
  <si>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</si>
  <si>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</si>
  <si>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</si>
  <si>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</si>
  <si>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</si>
  <si>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</si>
  <si>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</si>
  <si>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</si>
  <si>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</si>
  <si>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</si>
  <si>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</si>
  <si>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</si>
  <si>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</si>
  <si>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</si>
  <si>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</si>
  <si>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</si>
  <si>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</si>
  <si>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</si>
  <si>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</si>
  <si>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</si>
  <si>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</si>
  <si>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</si>
  <si>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</si>
  <si>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</si>
  <si>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</si>
  <si>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</si>
  <si>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</si>
  <si>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</si>
  <si>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</si>
  <si>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</si>
  <si>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</si>
  <si>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</si>
  <si>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</si>
  <si>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</si>
  <si>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</si>
  <si>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</si>
  <si>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</si>
  <si>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</si>
  <si>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</si>
  <si>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</si>
  <si>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</si>
  <si>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</si>
  <si>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</si>
  <si>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</si>
  <si>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</si>
  <si>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</si>
  <si>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</si>
  <si>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</si>
  <si>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</si>
  <si>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</si>
  <si>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</si>
  <si>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</si>
  <si>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</si>
  <si>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</si>
  <si>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</si>
  <si>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</si>
  <si>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</si>
  <si>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</si>
  <si>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</si>
  <si>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</si>
  <si>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</si>
  <si>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</si>
  <si>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</si>
  <si>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</si>
  <si>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</si>
  <si>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</si>
  <si>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</si>
  <si>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</si>
  <si>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</si>
  <si>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</si>
  <si>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</si>
  <si>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</si>
  <si>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</si>
  <si>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</si>
  <si>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</si>
  <si>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</si>
  <si>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</si>
  <si>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</si>
  <si>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</si>
  <si>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</si>
  <si>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</si>
  <si>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</si>
  <si>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</si>
  <si>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</si>
  <si>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</si>
  <si>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</si>
  <si>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</si>
  <si>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</si>
  <si>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</si>
  <si>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</si>
  <si>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</si>
  <si>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</si>
  <si>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</si>
  <si>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</si>
  <si>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</si>
  <si>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</si>
  <si>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</si>
  <si>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</si>
  <si>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</si>
  <si>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</si>
  <si>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</si>
  <si>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</si>
  <si>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</si>
  <si>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</si>
  <si>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</si>
  <si>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</si>
  <si>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</si>
  <si>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</si>
  <si>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</si>
  <si>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</si>
  <si>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</si>
  <si>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</si>
  <si>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</si>
  <si>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</si>
  <si>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</si>
  <si>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</si>
  <si>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</si>
  <si>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</si>
  <si>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</si>
  <si>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</si>
  <si>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</si>
  <si>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</si>
  <si>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</si>
  <si>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</si>
  <si>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</si>
  <si>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</si>
  <si>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</si>
  <si>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</si>
  <si>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</si>
  <si>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</si>
  <si>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</si>
  <si>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</si>
  <si>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</si>
  <si>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</si>
  <si>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</si>
  <si>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</si>
  <si>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</si>
  <si>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</si>
  <si>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</si>
  <si>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</si>
  <si>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</si>
  <si>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</si>
  <si>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</si>
  <si>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</si>
  <si>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</si>
  <si>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</si>
  <si>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</si>
  <si>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</si>
  <si>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</si>
  <si>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</si>
  <si>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</si>
  <si>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</si>
  <si>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</si>
  <si>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</si>
  <si>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</si>
  <si>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</si>
  <si>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</si>
  <si>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</si>
  <si>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</si>
  <si>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</si>
  <si>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</si>
  <si>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</si>
  <si>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</si>
  <si>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</si>
  <si>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</si>
  <si>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</si>
  <si>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</si>
  <si>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</si>
  <si>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</si>
  <si>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</si>
  <si>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</si>
  <si>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</si>
  <si>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</si>
  <si>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</si>
  <si>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</si>
  <si>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</si>
  <si>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</si>
  <si>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</si>
  <si>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</si>
  <si>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</si>
  <si>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</si>
  <si>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</si>
  <si>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</si>
  <si>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</si>
  <si>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</si>
  <si>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</si>
  <si>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</si>
  <si>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</si>
  <si>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</si>
  <si>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</si>
  <si>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</si>
  <si>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</si>
  <si>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</si>
  <si>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</si>
  <si>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</si>
  <si>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</si>
  <si>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</si>
  <si>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</si>
  <si>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</si>
  <si>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</si>
  <si>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</si>
  <si>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</si>
  <si>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</si>
  <si>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</si>
  <si>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</si>
  <si>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</si>
  <si>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</si>
  <si>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</si>
  <si>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</si>
  <si>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</si>
  <si>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</si>
  <si>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</si>
  <si>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</si>
  <si>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</si>
  <si>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</si>
  <si>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</si>
  <si>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</si>
  <si>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</si>
  <si>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</si>
  <si>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</si>
  <si>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</si>
  <si>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</si>
  <si>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</si>
  <si>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</si>
  <si>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</si>
  <si>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</si>
  <si>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</si>
  <si>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</si>
  <si>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</si>
  <si>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</si>
  <si>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</si>
  <si>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</si>
  <si>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</si>
  <si>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</si>
  <si>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</si>
  <si>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</si>
  <si>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</si>
  <si>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</si>
  <si>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</si>
  <si>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</si>
  <si>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</si>
  <si>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</si>
  <si>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</si>
  <si>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</si>
  <si>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</si>
  <si>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</si>
  <si>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</si>
  <si>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</si>
  <si>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</si>
  <si>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</si>
  <si>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</si>
  <si>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</si>
  <si>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</si>
  <si>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</si>
  <si>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</si>
  <si>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</si>
  <si>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</si>
  <si>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</si>
  <si>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</si>
  <si>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</si>
  <si>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</si>
  <si>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</si>
  <si>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</si>
  <si>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</si>
  <si>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</si>
  <si>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</si>
  <si>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</si>
  <si>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</si>
  <si>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</si>
  <si>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</si>
  <si>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</si>
  <si>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</si>
  <si>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</si>
  <si>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</si>
  <si>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</si>
  <si>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</si>
  <si>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</si>
  <si>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</si>
  <si>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</si>
  <si>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</si>
  <si>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</si>
  <si>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</si>
  <si>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</si>
  <si>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</si>
  <si>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</si>
  <si>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</si>
  <si>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</si>
  <si>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</si>
  <si>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</si>
  <si>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</si>
  <si>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</si>
  <si>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</si>
  <si>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</si>
  <si>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</si>
  <si>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</si>
  <si>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</si>
  <si>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</si>
  <si>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</si>
  <si>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</si>
  <si>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</si>
  <si>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</si>
  <si>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</si>
  <si>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</si>
  <si>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</si>
  <si>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</si>
  <si>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</si>
  <si>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</si>
  <si>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</si>
  <si>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</si>
  <si>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</si>
  <si>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</si>
  <si>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</si>
  <si>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</si>
  <si>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</si>
  <si>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</si>
  <si>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</si>
  <si>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</si>
  <si>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</si>
  <si>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</si>
  <si>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</si>
  <si>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</si>
  <si>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</si>
  <si>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</si>
  <si>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</si>
  <si>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</si>
  <si>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</si>
  <si>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</si>
  <si>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</si>
  <si>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</si>
  <si>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</si>
  <si>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</si>
  <si>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</si>
  <si>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</si>
  <si>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</si>
  <si>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</si>
  <si>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</si>
  <si>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</si>
  <si>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</si>
  <si>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</si>
  <si>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</si>
  <si>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</si>
  <si>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</si>
  <si>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</si>
  <si>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</si>
  <si>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</si>
  <si>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</si>
  <si>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</si>
  <si>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</si>
  <si>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</si>
  <si>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</si>
  <si>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</si>
  <si>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</si>
  <si>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</si>
  <si>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</si>
  <si>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</si>
  <si>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</si>
  <si>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</si>
  <si>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</si>
  <si>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</si>
  <si>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</si>
  <si>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</si>
  <si>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</si>
  <si>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</si>
  <si>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</si>
  <si>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</si>
  <si>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</si>
  <si>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</si>
  <si>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</si>
  <si>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</si>
  <si>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</si>
  <si>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</si>
  <si>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</si>
  <si>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</si>
  <si>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</si>
  <si>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</si>
  <si>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</si>
  <si>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</si>
  <si>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</si>
  <si>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</si>
  <si>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</si>
  <si>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</si>
  <si>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</si>
  <si>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</si>
  <si>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</si>
  <si>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</si>
  <si>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</si>
  <si>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</si>
  <si>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</si>
  <si>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</si>
  <si>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</si>
  <si>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</si>
  <si>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</si>
  <si>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</si>
  <si>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</si>
  <si>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</si>
  <si>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</si>
  <si>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</si>
  <si>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</si>
  <si>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</si>
  <si>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</si>
  <si>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</si>
  <si>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</si>
  <si>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</si>
  <si>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</si>
  <si>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</si>
  <si>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</si>
  <si>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</si>
  <si>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</si>
  <si>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</si>
  <si>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</si>
  <si>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</si>
  <si>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</si>
  <si>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</si>
  <si>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</si>
  <si>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</si>
  <si>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</si>
  <si>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</si>
  <si>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</si>
  <si>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</si>
  <si>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</si>
  <si>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</si>
  <si>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</si>
  <si>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</si>
  <si>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</si>
  <si>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</si>
  <si>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</si>
  <si>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</si>
  <si>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</si>
  <si>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</si>
  <si>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</si>
  <si>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</si>
  <si>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</si>
  <si>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</si>
  <si>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</si>
  <si>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</si>
  <si>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</si>
  <si>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</si>
  <si>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</si>
  <si>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</si>
  <si>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</si>
  <si>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</si>
  <si>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</si>
  <si>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</si>
  <si>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</si>
  <si>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</si>
  <si>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</si>
  <si>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</si>
  <si>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</si>
  <si>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</si>
  <si>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</si>
  <si>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</si>
  <si>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</si>
  <si>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</si>
  <si>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</si>
  <si>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</si>
  <si>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</si>
  <si>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</si>
  <si>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</si>
  <si>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</si>
  <si>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</si>
  <si>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</si>
  <si>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</si>
  <si>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</si>
  <si>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</si>
  <si>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</si>
  <si>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</si>
  <si>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</si>
  <si>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</si>
  <si>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</si>
  <si>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</si>
  <si>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</si>
  <si>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</si>
  <si>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</si>
  <si>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</si>
  <si>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</si>
  <si>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</si>
  <si>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</si>
  <si>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</si>
  <si>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</si>
  <si>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</si>
  <si>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</si>
  <si>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</si>
  <si>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</si>
  <si>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</si>
  <si>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</si>
  <si>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</si>
  <si>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</si>
  <si>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</si>
  <si>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</si>
  <si>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</si>
  <si>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</si>
  <si>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</si>
  <si>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</si>
  <si>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</si>
  <si>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</si>
  <si>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</si>
  <si>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</si>
  <si>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</si>
  <si>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</si>
  <si>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</si>
  <si>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</si>
  <si>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</si>
  <si>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</si>
  <si>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</si>
  <si>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</si>
  <si>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</si>
  <si>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</si>
  <si>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</si>
  <si>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</si>
  <si>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</si>
  <si>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</si>
  <si>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</si>
  <si>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</si>
  <si>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</si>
  <si>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</si>
  <si>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</si>
  <si>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</si>
  <si>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</si>
  <si>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</si>
  <si>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</si>
  <si>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</si>
  <si>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</si>
  <si>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</si>
  <si>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</si>
  <si>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</si>
  <si>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</si>
  <si>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</si>
  <si>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</si>
  <si>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</si>
  <si>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</si>
  <si>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</si>
  <si>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</si>
  <si>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</si>
  <si>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</si>
  <si>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</si>
  <si>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</si>
  <si>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</si>
  <si>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</si>
  <si>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</si>
  <si>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</si>
  <si>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</si>
  <si>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</si>
  <si>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</si>
  <si>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</si>
  <si>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</si>
  <si>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</si>
  <si>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</si>
  <si>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</si>
  <si>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</si>
  <si>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</si>
  <si>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</si>
  <si>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</si>
  <si>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</si>
  <si>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</si>
  <si>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</si>
  <si>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</si>
  <si>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</si>
  <si>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</si>
  <si>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</si>
  <si>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</si>
  <si>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</si>
  <si>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</si>
  <si>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</si>
  <si>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</si>
  <si>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</si>
  <si>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</si>
  <si>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</si>
  <si>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</si>
  <si>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</si>
  <si>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</si>
  <si>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</si>
  <si>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</si>
  <si>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</si>
  <si>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</si>
  <si>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</si>
  <si>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</si>
  <si>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</si>
  <si>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</si>
  <si>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</si>
  <si>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</si>
  <si>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</si>
  <si>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</si>
  <si>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</si>
  <si>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</si>
  <si>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</si>
  <si>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</si>
  <si>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</si>
  <si>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</si>
  <si>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</si>
  <si>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</si>
  <si>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</si>
  <si>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</si>
  <si>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</si>
  <si>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</si>
  <si>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</si>
  <si>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</si>
  <si>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</si>
  <si>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</si>
  <si>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</si>
  <si>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</si>
  <si>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</si>
  <si>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</si>
  <si>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</si>
  <si>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</si>
  <si>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</si>
  <si>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</si>
  <si>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</si>
  <si>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</si>
  <si>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</si>
  <si>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</si>
  <si>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</si>
  <si>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</si>
  <si>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</si>
  <si>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</si>
  <si>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</si>
  <si>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</si>
  <si>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</si>
  <si>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</si>
  <si>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</si>
  <si>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</si>
  <si>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</si>
  <si>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</si>
  <si>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</si>
  <si>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</si>
  <si>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</si>
  <si>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</si>
  <si>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</si>
  <si>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</si>
  <si>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</si>
  <si>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</si>
  <si>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</si>
  <si>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</si>
  <si>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</si>
  <si>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</si>
  <si>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</si>
  <si>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</si>
  <si>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</si>
  <si>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</si>
  <si>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</si>
  <si>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</si>
  <si>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</si>
  <si>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</si>
  <si>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</si>
  <si>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</si>
  <si>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</si>
  <si>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</si>
  <si>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</si>
  <si>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</si>
  <si>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</si>
  <si>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</si>
  <si>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</si>
  <si>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</si>
  <si>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</si>
  <si>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</si>
  <si>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</si>
  <si>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</si>
  <si>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</si>
  <si>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</si>
  <si>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</si>
  <si>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</si>
  <si>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</si>
  <si>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</si>
  <si>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</si>
  <si>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</si>
  <si>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</si>
  <si>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</si>
  <si>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</si>
  <si>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</si>
  <si>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</si>
  <si>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</si>
  <si>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</si>
  <si>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</si>
  <si>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</si>
  <si>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</si>
  <si>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</si>
  <si>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</si>
  <si>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</si>
  <si>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</si>
  <si>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</si>
  <si>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</si>
  <si>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</si>
  <si>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</si>
  <si>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</si>
  <si>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</si>
  <si>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</si>
  <si>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</si>
  <si>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</si>
  <si>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</si>
  <si>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</si>
  <si>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</si>
  <si>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</si>
  <si>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</si>
  <si>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</si>
  <si>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</si>
  <si>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</si>
  <si>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</si>
  <si>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</si>
  <si>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</si>
  <si>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</si>
  <si>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</si>
  <si>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</si>
  <si>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</si>
  <si>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</si>
  <si>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</si>
  <si>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</si>
  <si>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</si>
  <si>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</si>
  <si>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</si>
  <si>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</si>
  <si>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</si>
  <si>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</si>
  <si>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</si>
  <si>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</si>
  <si>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</si>
  <si>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</si>
  <si>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</si>
  <si>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</si>
  <si>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</si>
  <si>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</si>
  <si>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</si>
  <si>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</si>
  <si>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</si>
  <si>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</si>
  <si>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</si>
  <si>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</si>
  <si>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</si>
  <si>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</si>
  <si>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</si>
  <si>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</si>
  <si>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</si>
  <si>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</si>
  <si>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</si>
  <si>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</si>
  <si>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</si>
  <si>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</si>
  <si>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</si>
  <si>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</si>
  <si>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</si>
  <si>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</si>
  <si>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</si>
  <si>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</si>
  <si>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</si>
  <si>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</si>
  <si>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</si>
  <si>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</si>
  <si>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</si>
  <si>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</si>
  <si>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</si>
  <si>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</si>
  <si>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</si>
  <si>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</si>
  <si>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</si>
  <si>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</si>
  <si>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</si>
  <si>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</si>
  <si>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</si>
  <si>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</si>
  <si>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</si>
  <si>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</si>
  <si>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</si>
  <si>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</si>
  <si>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</si>
  <si>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</si>
  <si>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</si>
  <si>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</si>
  <si>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</si>
  <si>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</si>
  <si>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</si>
  <si>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</si>
  <si>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</si>
  <si>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</si>
  <si>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</si>
  <si>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</si>
  <si>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</si>
  <si>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</si>
  <si>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</si>
  <si>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</si>
  <si>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</si>
  <si>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</si>
  <si>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</si>
  <si>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</si>
  <si>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</si>
  <si>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</si>
  <si>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</si>
  <si>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</si>
  <si>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</si>
  <si>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</si>
  <si>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</si>
  <si>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</si>
  <si>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</si>
  <si>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</si>
  <si>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</si>
  <si>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</si>
  <si>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</si>
  <si>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</si>
  <si>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</si>
  <si>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</si>
  <si>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</si>
  <si>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</si>
  <si>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</si>
  <si>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</si>
  <si>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</si>
  <si>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</si>
  <si>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</si>
  <si>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</si>
  <si>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</si>
  <si>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</si>
  <si>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</si>
  <si>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</si>
  <si>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</si>
  <si>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</si>
  <si>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</si>
  <si>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</si>
  <si>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</si>
  <si>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</si>
  <si>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</si>
  <si>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</si>
  <si>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</si>
  <si>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</si>
  <si>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</si>
  <si>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</si>
  <si>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</si>
  <si>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</si>
  <si>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</si>
  <si>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</si>
  <si>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</si>
  <si>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</si>
  <si>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</si>
  <si>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</si>
  <si>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</si>
  <si>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</si>
  <si>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</si>
  <si>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</si>
  <si>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</si>
  <si>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</si>
  <si>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</si>
  <si>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</si>
  <si>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</si>
  <si>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</si>
  <si>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</si>
  <si>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</si>
  <si>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</si>
  <si>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</si>
  <si>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</si>
  <si>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</si>
  <si>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</si>
  <si>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</si>
  <si>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</si>
  <si>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</si>
  <si>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</si>
  <si>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</si>
  <si>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</si>
  <si>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</si>
  <si>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</si>
  <si>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</si>
  <si>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</si>
  <si>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</si>
  <si>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</si>
  <si>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</si>
  <si>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</si>
  <si>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</si>
  <si>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</si>
  <si>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</si>
  <si>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</si>
  <si>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</si>
  <si>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</si>
  <si>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</si>
  <si>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</si>
  <si>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</si>
  <si>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</si>
  <si>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</si>
  <si>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</si>
  <si>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</si>
  <si>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</si>
  <si>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</si>
  <si>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</si>
  <si>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</si>
  <si>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</si>
  <si>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</si>
  <si>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</si>
  <si>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</si>
  <si>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</si>
  <si>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</si>
  <si>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</si>
  <si>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</si>
  <si>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</si>
  <si>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</si>
  <si>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</si>
  <si>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</si>
  <si>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</si>
  <si>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</si>
  <si>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</si>
  <si>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</si>
  <si>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</si>
  <si>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</si>
  <si>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</si>
  <si>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</si>
  <si>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</si>
  <si>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</si>
  <si>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</si>
  <si>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</si>
  <si>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</si>
  <si>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</si>
  <si>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</si>
  <si>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</si>
  <si>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</si>
  <si>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</si>
  <si>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</si>
  <si>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</si>
  <si>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</si>
  <si>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</si>
  <si>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</si>
  <si>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</si>
  <si>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</si>
  <si>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</si>
  <si>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</si>
  <si>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</si>
  <si>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</si>
  <si>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</si>
  <si>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</si>
  <si>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</si>
  <si>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</si>
  <si>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</si>
  <si>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</si>
  <si>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</si>
  <si>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</si>
  <si>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</si>
  <si>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</si>
  <si>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</si>
  <si>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</si>
  <si>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</si>
  <si>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</si>
  <si>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</si>
  <si>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</si>
  <si>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</si>
  <si>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</si>
  <si>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</si>
  <si>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</si>
  <si>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</si>
  <si>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</si>
  <si>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</si>
  <si>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</si>
  <si>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</si>
  <si>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</si>
  <si>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</si>
  <si>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</si>
  <si>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</si>
  <si>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</si>
  <si>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</si>
  <si>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</si>
  <si>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</si>
  <si>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</si>
  <si>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</si>
  <si>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</si>
  <si>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</si>
  <si>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</si>
  <si>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</si>
  <si>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</si>
  <si>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</si>
  <si>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</si>
  <si>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</si>
  <si>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</si>
  <si>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</si>
  <si>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</si>
  <si>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</si>
  <si>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</si>
  <si>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</si>
  <si>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</si>
  <si>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</si>
  <si>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</si>
  <si>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</si>
  <si>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</si>
  <si>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</si>
  <si>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</si>
  <si>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</si>
  <si>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</si>
  <si>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</si>
  <si>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</si>
  <si>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</si>
  <si>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</si>
  <si>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</si>
  <si>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</si>
  <si>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</si>
  <si>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</si>
  <si>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</si>
  <si>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</si>
  <si>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</si>
  <si>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</si>
  <si>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</si>
  <si>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</si>
  <si>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</si>
  <si>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</si>
  <si>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</si>
  <si>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</si>
  <si>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</si>
  <si>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</si>
  <si>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</si>
  <si>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</si>
  <si>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</si>
  <si>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</si>
  <si>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</si>
  <si>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</si>
  <si>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</si>
  <si>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</si>
  <si>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</si>
  <si>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</si>
  <si>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</si>
  <si>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</si>
  <si>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</si>
  <si>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</si>
  <si>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</si>
  <si>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</si>
  <si>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</si>
  <si>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27</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</si>
  <si>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</si>
  <si>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</si>
  <si>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</si>
  <si>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</si>
  <si>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</si>
  <si>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</si>
  <si>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</si>
  <si>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</si>
  <si>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</si>
  <si>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</si>
  <si>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</si>
  <si>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</si>
  <si>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</si>
  <si>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</si>
  <si>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</si>
  <si>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</si>
  <si>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</si>
  <si>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</si>
  <si>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</si>
  <si>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</si>
  <si>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</si>
  <si>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</si>
  <si>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</si>
  <si>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</si>
  <si>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</si>
  <si>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</si>
  <si>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</si>
  <si>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</si>
  <si>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</si>
  <si>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</si>
  <si>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</si>
  <si>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</si>
  <si>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</si>
  <si>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</si>
  <si>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</si>
  <si>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</si>
  <si>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</si>
  <si>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</si>
  <si>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1.1×费率</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</si>
  <si>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</si>
  <si>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</si>
  <si>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</si>
  <si>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</si>
  <si>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</si>
  <si>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</si>
  <si>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</si>
  <si>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</si>
  <si>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1.1×费率</t>
    <phoneticPr fontId="4" type="noConversion"/>
  </si>
  <si>
    <t>按建安费用3%-5%计取</t>
    <phoneticPr fontId="4" type="noConversion"/>
  </si>
  <si>
    <t>1</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</si>
  <si>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</si>
  <si>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</si>
  <si>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</si>
  <si>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</si>
  <si>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</si>
  <si>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</si>
  <si>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</si>
  <si>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</si>
  <si>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</si>
  <si>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</si>
  <si>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</si>
  <si>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</si>
  <si>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</si>
  <si>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</si>
  <si>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</si>
  <si>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</si>
  <si>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</si>
  <si>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</si>
  <si>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</si>
  <si>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</si>
  <si>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</si>
  <si>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</si>
  <si>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</si>
  <si>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</si>
  <si>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</si>
  <si>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</si>
  <si>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</si>
  <si>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</si>
  <si>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</si>
  <si>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</si>
  <si>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</si>
  <si>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</si>
  <si>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</si>
  <si>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</si>
  <si>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</si>
  <si>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</si>
  <si>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</si>
  <si>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</si>
  <si>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</si>
  <si>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</si>
  <si>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</si>
  <si>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</si>
  <si>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</si>
  <si>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</si>
  <si>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</si>
  <si>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</si>
  <si>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</si>
  <si>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</si>
  <si>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</si>
  <si>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</si>
  <si>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</si>
  <si>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3</t>
    <phoneticPr fontId="4" type="noConversion"/>
  </si>
  <si>
    <t>保险费</t>
  </si>
  <si>
    <t>建筑物现值×保险费率</t>
    <phoneticPr fontId="4" type="noConversion"/>
  </si>
  <si>
    <t>4</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</si>
  <si>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</si>
  <si>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</si>
  <si>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</si>
  <si>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</si>
  <si>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</si>
  <si>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</si>
  <si>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</si>
  <si>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</si>
  <si>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</si>
  <si>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</si>
  <si>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</si>
  <si>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</si>
  <si>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</si>
  <si>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</si>
  <si>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</si>
  <si>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</si>
  <si>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</si>
  <si>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</si>
  <si>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</si>
  <si>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</si>
  <si>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</si>
  <si>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</si>
  <si>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</si>
  <si>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</si>
  <si>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</si>
  <si>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企业</t>
  </si>
  <si>
    <t>北京市</t>
  </si>
  <si>
    <t>陈颖</t>
  </si>
  <si>
    <t>叶凌</t>
  </si>
  <si>
    <t>核定资产</t>
  </si>
  <si>
    <t>房地产市场价值</t>
  </si>
  <si>
    <t>北京养生堂药店(蓟门桥店)</t>
    <phoneticPr fontId="4" type="noConversion"/>
  </si>
  <si>
    <t>蓟门小区</t>
    <phoneticPr fontId="4" type="noConversion"/>
  </si>
  <si>
    <t>正常</t>
  </si>
  <si>
    <t>商业</t>
  </si>
  <si>
    <t>商业</t>
    <phoneticPr fontId="25" type="noConversion"/>
  </si>
  <si>
    <t>30-40（含）</t>
  </si>
  <si>
    <t>是</t>
    <phoneticPr fontId="25" type="noConversion"/>
  </si>
  <si>
    <t>否</t>
  </si>
  <si>
    <t>否</t>
    <phoneticPr fontId="25" type="noConversion"/>
  </si>
  <si>
    <t>可注册</t>
    <phoneticPr fontId="25" type="noConversion"/>
  </si>
  <si>
    <t>隶属于蓟门桥商圈，周边2公里内有翠微百货（牡丹园店）、花园路百货商场、物美超市等，商业繁华度较好</t>
    <phoneticPr fontId="20" type="noConversion"/>
  </si>
  <si>
    <t>周边2公里内最高级别道路高速公路—G6，周边遍布十余条公交站点及地铁10号线（牡丹园站）等，综合评价交通便捷度较好</t>
    <phoneticPr fontId="35" type="noConversion"/>
  </si>
  <si>
    <t>隶属于蓟门桥商圈，周边2公里内写字楼大于10座，办公集聚程度较好</t>
    <phoneticPr fontId="20" type="noConversion"/>
  </si>
  <si>
    <t>五通</t>
  </si>
  <si>
    <t>五通</t>
    <phoneticPr fontId="20" type="noConversion"/>
  </si>
  <si>
    <t>2公里内有餐饮、医院、超市、购物中心、学校等，估价对象所在区域公共配套设施较齐备</t>
    <phoneticPr fontId="35" type="noConversion"/>
  </si>
  <si>
    <t>城市次干道——花园东路、项目内道路</t>
    <phoneticPr fontId="20" type="noConversion"/>
  </si>
  <si>
    <t>区域自然环境：元大都遗址公园；人文环境；综合评价环境状况一般</t>
    <phoneticPr fontId="35" type="noConversion"/>
  </si>
  <si>
    <t>商业</t>
    <phoneticPr fontId="7" type="noConversion"/>
  </si>
  <si>
    <t>高速公路</t>
  </si>
  <si>
    <t>高速公路</t>
    <phoneticPr fontId="25" type="noConversion"/>
  </si>
  <si>
    <t>主干道</t>
    <phoneticPr fontId="25" type="noConversion"/>
  </si>
  <si>
    <t>次干道</t>
  </si>
  <si>
    <t>次干道</t>
    <phoneticPr fontId="25" type="noConversion"/>
  </si>
  <si>
    <t>支路</t>
  </si>
  <si>
    <t>支路</t>
    <phoneticPr fontId="25" type="noConversion"/>
  </si>
  <si>
    <t>项目内道路</t>
  </si>
  <si>
    <t>项目内道路</t>
    <phoneticPr fontId="25" type="noConversion"/>
  </si>
  <si>
    <t>一般</t>
    <phoneticPr fontId="25" type="noConversion"/>
  </si>
  <si>
    <t>密集</t>
    <phoneticPr fontId="25" type="noConversion"/>
  </si>
  <si>
    <t>较密集</t>
  </si>
  <si>
    <t>较密集</t>
    <phoneticPr fontId="25" type="noConversion"/>
  </si>
  <si>
    <t>1-3</t>
  </si>
  <si>
    <t>1-3</t>
    <phoneticPr fontId="25" type="noConversion"/>
  </si>
  <si>
    <t>六通</t>
  </si>
  <si>
    <t>六通</t>
    <phoneticPr fontId="25" type="noConversion"/>
  </si>
  <si>
    <r>
      <rPr>
        <sz val="11"/>
        <rFont val="宋体"/>
        <family val="3"/>
        <charset val="134"/>
      </rPr>
      <t>周边</t>
    </r>
    <r>
      <rPr>
        <sz val="11"/>
        <rFont val="Arial"/>
        <family val="2"/>
      </rPr>
      <t>2</t>
    </r>
    <r>
      <rPr>
        <sz val="11"/>
        <rFont val="宋体"/>
        <family val="3"/>
        <charset val="134"/>
      </rPr>
      <t>公里内最高级别道路城市快速路——北三环，周边遍布十余条公交站点及地铁</t>
    </r>
    <r>
      <rPr>
        <sz val="11"/>
        <rFont val="Arial"/>
        <family val="2"/>
      </rPr>
      <t>10</t>
    </r>
    <r>
      <rPr>
        <sz val="11"/>
        <rFont val="宋体"/>
        <family val="3"/>
        <charset val="134"/>
      </rPr>
      <t>号线（西土城站）及</t>
    </r>
    <r>
      <rPr>
        <sz val="11"/>
        <rFont val="Arial"/>
        <family val="2"/>
      </rPr>
      <t>13</t>
    </r>
    <r>
      <rPr>
        <sz val="11"/>
        <rFont val="宋体"/>
        <family val="3"/>
        <charset val="134"/>
      </rPr>
      <t>号线（大钟寺站）等，综合评价交通便捷度较好</t>
    </r>
    <phoneticPr fontId="25" type="noConversion"/>
  </si>
  <si>
    <t>办公配套</t>
  </si>
  <si>
    <t>办公配套</t>
    <phoneticPr fontId="25" type="noConversion"/>
  </si>
  <si>
    <t>住宅配套</t>
  </si>
  <si>
    <t>住宅配套</t>
    <phoneticPr fontId="25" type="noConversion"/>
  </si>
  <si>
    <t>钢混</t>
    <phoneticPr fontId="25" type="noConversion"/>
  </si>
  <si>
    <t>混合</t>
    <phoneticPr fontId="25" type="noConversion"/>
  </si>
  <si>
    <t>普装</t>
    <phoneticPr fontId="25" type="noConversion"/>
  </si>
  <si>
    <t>简装</t>
  </si>
  <si>
    <t>简装</t>
    <phoneticPr fontId="25" type="noConversion"/>
  </si>
  <si>
    <t>七通</t>
  </si>
  <si>
    <t>七通</t>
    <phoneticPr fontId="25" type="noConversion"/>
  </si>
  <si>
    <t>六通</t>
    <phoneticPr fontId="25" type="noConversion"/>
  </si>
  <si>
    <t>五通</t>
    <phoneticPr fontId="25" type="noConversion"/>
  </si>
  <si>
    <t>挑高层高</t>
    <phoneticPr fontId="25" type="noConversion"/>
  </si>
  <si>
    <t>标准层高</t>
  </si>
  <si>
    <t>标准层高</t>
    <phoneticPr fontId="25" type="noConversion"/>
  </si>
  <si>
    <t>空置</t>
  </si>
  <si>
    <t>空置</t>
    <phoneticPr fontId="25" type="noConversion"/>
  </si>
  <si>
    <t>1:1</t>
  </si>
  <si>
    <t>1:1</t>
    <phoneticPr fontId="25" type="noConversion"/>
  </si>
  <si>
    <t>1:2</t>
  </si>
  <si>
    <t>1:2</t>
    <phoneticPr fontId="25" type="noConversion"/>
  </si>
  <si>
    <t>1:3</t>
    <phoneticPr fontId="25" type="noConversion"/>
  </si>
  <si>
    <t>精装</t>
    <phoneticPr fontId="25" type="noConversion"/>
  </si>
  <si>
    <t>简装</t>
    <phoneticPr fontId="25" type="noConversion"/>
  </si>
  <si>
    <t>是</t>
    <phoneticPr fontId="25" type="noConversion"/>
  </si>
  <si>
    <t>否</t>
    <phoneticPr fontId="25" type="noConversion"/>
  </si>
  <si>
    <t>可做餐饮</t>
    <phoneticPr fontId="25" type="noConversion"/>
  </si>
  <si>
    <t>毛坯</t>
  </si>
  <si>
    <t>毛坯</t>
    <phoneticPr fontId="25" type="noConversion"/>
  </si>
  <si>
    <t>否</t>
    <phoneticPr fontId="25" type="noConversion"/>
  </si>
  <si>
    <t>建筑结构</t>
  </si>
  <si>
    <t>估价对象</t>
  </si>
  <si>
    <t>经营中</t>
  </si>
  <si>
    <t>经营中</t>
    <phoneticPr fontId="25" type="noConversion"/>
  </si>
  <si>
    <t>北京万盛商务会馆</t>
    <phoneticPr fontId="4" type="noConversion"/>
  </si>
  <si>
    <t>区域自然环境：元大都遗址公园；人文环境：首都体育学院、北京电影学院；综合评价环境状况较好</t>
    <phoneticPr fontId="25" type="noConversion"/>
  </si>
  <si>
    <t>好</t>
    <phoneticPr fontId="25" type="noConversion"/>
  </si>
  <si>
    <t>较好</t>
    <phoneticPr fontId="25" type="noConversion"/>
  </si>
  <si>
    <t>小关街</t>
    <phoneticPr fontId="4" type="noConversion"/>
  </si>
  <si>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</si>
  <si>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批发零售用地</t>
  </si>
  <si>
    <t>楼层修正</t>
  </si>
  <si>
    <t>无租约</t>
  </si>
  <si>
    <t>元</t>
  </si>
  <si>
    <t>楼面单价</t>
  </si>
  <si>
    <t>五通一平</t>
  </si>
  <si>
    <t>缺少</t>
  </si>
  <si>
    <t>通热</t>
  </si>
  <si>
    <t>燃气</t>
  </si>
  <si>
    <t>不临58条商业街</t>
  </si>
  <si>
    <t>已包含在土地购买价格中</t>
  </si>
  <si>
    <t>未包含在土地取得成本中</t>
  </si>
  <si>
    <r>
      <t>（规划）建筑面积（m</t>
    </r>
    <r>
      <rPr>
        <b/>
        <vertAlign val="superscript"/>
        <sz val="8"/>
        <color indexed="23"/>
        <rFont val="微软雅黑"/>
        <family val="2"/>
        <charset val="134"/>
      </rPr>
      <t>2</t>
    </r>
    <r>
      <rPr>
        <b/>
        <sz val="11"/>
        <color indexed="23"/>
        <rFont val="微软雅黑"/>
        <family val="2"/>
        <charset val="134"/>
      </rPr>
      <t>）</t>
    </r>
    <phoneticPr fontId="4" type="noConversion"/>
  </si>
  <si>
    <r>
      <t>（分摊）土地面积（m</t>
    </r>
    <r>
      <rPr>
        <b/>
        <vertAlign val="superscript"/>
        <sz val="8"/>
        <color indexed="23"/>
        <rFont val="微软雅黑"/>
        <family val="2"/>
        <charset val="134"/>
      </rPr>
      <t>2</t>
    </r>
    <r>
      <rPr>
        <b/>
        <sz val="11"/>
        <color indexed="23"/>
        <rFont val="微软雅黑"/>
        <family val="2"/>
        <charset val="134"/>
      </rPr>
      <t>）</t>
    </r>
    <phoneticPr fontId="4" type="noConversion"/>
  </si>
  <si>
    <t>价值时点/估价期日</t>
    <phoneticPr fontId="4" type="noConversion"/>
  </si>
  <si>
    <t>地面单价（元/平方米）</t>
    <phoneticPr fontId="4" type="noConversion"/>
  </si>
  <si>
    <t>抵押价值-已注销</t>
    <phoneticPr fontId="4" type="noConversion"/>
  </si>
  <si>
    <t>总投</t>
    <phoneticPr fontId="4" type="noConversion"/>
  </si>
  <si>
    <t>租金</t>
    <phoneticPr fontId="4" type="noConversion"/>
  </si>
  <si>
    <t>重置成新价</t>
    <phoneticPr fontId="4" type="noConversion"/>
  </si>
  <si>
    <t>项目名称</t>
    <phoneticPr fontId="4" type="noConversion"/>
  </si>
  <si>
    <r>
      <t>（规划）建筑面积（m</t>
    </r>
    <r>
      <rPr>
        <b/>
        <vertAlign val="superscript"/>
        <sz val="8"/>
        <color indexed="23"/>
        <rFont val="微软雅黑"/>
        <family val="2"/>
        <charset val="134"/>
      </rPr>
      <t>2</t>
    </r>
    <r>
      <rPr>
        <b/>
        <sz val="11"/>
        <color indexed="23"/>
        <rFont val="微软雅黑"/>
        <family val="2"/>
        <charset val="134"/>
      </rPr>
      <t>）</t>
    </r>
    <phoneticPr fontId="4" type="noConversion"/>
  </si>
  <si>
    <r>
      <t>（分摊）土地面积（m</t>
    </r>
    <r>
      <rPr>
        <b/>
        <vertAlign val="superscript"/>
        <sz val="8"/>
        <color indexed="23"/>
        <rFont val="微软雅黑"/>
        <family val="2"/>
        <charset val="134"/>
      </rPr>
      <t>2</t>
    </r>
    <r>
      <rPr>
        <b/>
        <sz val="11"/>
        <color indexed="23"/>
        <rFont val="微软雅黑"/>
        <family val="2"/>
        <charset val="134"/>
      </rPr>
      <t>）</t>
    </r>
    <phoneticPr fontId="4" type="noConversion"/>
  </si>
  <si>
    <t>市场价值（万元）</t>
    <phoneticPr fontId="4" type="noConversion"/>
  </si>
  <si>
    <t>地面单价（元/平方米）</t>
    <phoneticPr fontId="4" type="noConversion"/>
  </si>
  <si>
    <t>抵押价值（万元）</t>
    <phoneticPr fontId="4" type="noConversion"/>
  </si>
  <si>
    <t>抵押价值-已注销（万元）</t>
    <phoneticPr fontId="4" type="noConversion"/>
  </si>
  <si>
    <t>抵押净值（万元）</t>
    <phoneticPr fontId="4" type="noConversion"/>
  </si>
  <si>
    <t>估价对象1（本表）</t>
    <phoneticPr fontId="4" type="noConversion"/>
  </si>
  <si>
    <t>估价对象2</t>
    <phoneticPr fontId="4" type="noConversion"/>
  </si>
  <si>
    <t>估算结果一览表</t>
    <phoneticPr fontId="4" type="noConversion"/>
  </si>
  <si>
    <t>部位及房号</t>
    <phoneticPr fontId="4" type="noConversion"/>
  </si>
  <si>
    <t>楼层修正系数</t>
    <phoneticPr fontId="4" type="noConversion"/>
  </si>
  <si>
    <t>建筑面积修正系数</t>
    <phoneticPr fontId="4" type="noConversion"/>
  </si>
  <si>
    <t>标准价格</t>
    <phoneticPr fontId="4" type="noConversion"/>
  </si>
  <si>
    <t>修正价格</t>
    <phoneticPr fontId="4" type="noConversion"/>
  </si>
  <si>
    <t>——</t>
    <phoneticPr fontId="4" type="noConversion"/>
  </si>
  <si>
    <t>1层</t>
    <phoneticPr fontId="4" type="noConversion"/>
  </si>
  <si>
    <t>1层临建</t>
    <phoneticPr fontId="4" type="noConversion"/>
  </si>
  <si>
    <t>建筑面积</t>
    <phoneticPr fontId="4" type="noConversion"/>
  </si>
  <si>
    <t>110</t>
    <phoneticPr fontId="146" type="noConversion"/>
  </si>
  <si>
    <t>可视性</t>
    <phoneticPr fontId="4" type="noConversion"/>
  </si>
  <si>
    <t>临街</t>
    <phoneticPr fontId="146" type="noConversion"/>
  </si>
  <si>
    <t>不临街</t>
    <phoneticPr fontId="146" type="noConversion"/>
  </si>
  <si>
    <t>平均价格</t>
    <phoneticPr fontId="4" type="noConversion"/>
  </si>
  <si>
    <r>
      <rPr>
        <sz val="10"/>
        <color indexed="8"/>
        <rFont val="宋体"/>
        <family val="3"/>
        <charset val="134"/>
      </rPr>
      <t>北京市海淀区花园东路</t>
    </r>
    <r>
      <rPr>
        <sz val="10"/>
        <color indexed="8"/>
        <rFont val="Arial"/>
        <family val="2"/>
      </rPr>
      <t>8-37</t>
    </r>
    <r>
      <rPr>
        <sz val="10"/>
        <color indexed="8"/>
        <rFont val="宋体"/>
        <family val="3"/>
        <charset val="134"/>
      </rPr>
      <t>号</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</si>
</sst>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vertAlign val="superscript"/>
      <sz val="8"/>
      <color indexed="23"/>
      <name val="微软雅黑"/>
      <family val="2"/>
      <charset val="134"/>
    </font>
    <font>
      <b/>
      <sz val="11"/>
      <color indexed="23"/>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
      <patternFill patternType="solid">
        <fgColor indexed="5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2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93" fillId="0" borderId="0" xfId="8" applyFont="1" applyBorder="1" applyAlignment="1">
      <alignment vertical="center"/>
    </xf>
    <xf numFmtId="0" fontId="244" fillId="0" borderId="1" xfId="8" applyNumberFormat="1" applyFont="1" applyBorder="1" applyAlignment="1">
      <alignment horizontal="left" vertical="center" wrapText="1" shrinkToFit="1"/>
    </xf>
    <xf numFmtId="9" fontId="245"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4"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248" fillId="0" borderId="1" xfId="8" applyNumberFormat="1" applyFont="1" applyFill="1" applyBorder="1" applyAlignment="1">
      <alignment horizontal="center" vertical="center" wrapText="1" shrinkToFit="1"/>
    </xf>
    <xf numFmtId="9" fontId="249" fillId="0" borderId="1" xfId="8" applyNumberFormat="1" applyFont="1" applyFill="1" applyBorder="1" applyAlignment="1">
      <alignment horizontal="center" vertical="center" wrapText="1"/>
    </xf>
    <xf numFmtId="179" fontId="248"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0" fillId="17"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4"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1"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7"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1"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2"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1" fillId="0" borderId="0" xfId="8" applyFont="1" applyAlignment="1">
      <alignment horizontal="center" vertical="center" wrapText="1"/>
    </xf>
    <xf numFmtId="0" fontId="251"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7" fillId="0" borderId="0" xfId="8" applyFont="1" applyFill="1" applyAlignment="1">
      <alignment horizontal="center" vertical="center" wrapText="1"/>
    </xf>
    <xf numFmtId="0" fontId="251" fillId="0" borderId="1" xfId="8" applyFont="1" applyBorder="1" applyAlignment="1">
      <alignment horizontal="center" vertical="center" wrapText="1"/>
    </xf>
    <xf numFmtId="0" fontId="251" fillId="0" borderId="0" xfId="8" applyFont="1" applyAlignment="1">
      <alignment horizontal="left" vertical="center" wrapText="1"/>
    </xf>
    <xf numFmtId="179" fontId="251" fillId="0" borderId="0" xfId="8" applyNumberFormat="1" applyFont="1" applyFill="1" applyAlignment="1">
      <alignment vertical="center" wrapText="1"/>
    </xf>
    <xf numFmtId="0" fontId="251"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NumberFormat="1" applyFont="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92" fillId="0" borderId="27" xfId="0" applyNumberFormat="1" applyFont="1" applyFill="1" applyBorder="1" applyAlignment="1" applyProtection="1">
      <alignment horizontal="center" vertical="center" wrapText="1"/>
      <protection locked="0"/>
    </xf>
    <xf numFmtId="0" fontId="92" fillId="0" borderId="25"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46"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72" fillId="5" borderId="1" xfId="47" applyFont="1" applyFill="1" applyBorder="1" applyAlignment="1">
      <alignment horizontal="center" vertical="center" wrapText="1"/>
    </xf>
    <xf numFmtId="0" fontId="172" fillId="0" borderId="0" xfId="47" applyFont="1" applyBorder="1" applyAlignment="1">
      <alignment horizontal="left" vertical="center" wrapText="1"/>
    </xf>
    <xf numFmtId="0" fontId="93" fillId="0" borderId="0" xfId="47" applyBorder="1"/>
    <xf numFmtId="0" fontId="93" fillId="0" borderId="0" xfId="47"/>
    <xf numFmtId="14" fontId="172" fillId="5" borderId="1" xfId="47" applyNumberFormat="1" applyFont="1" applyFill="1" applyBorder="1" applyAlignment="1">
      <alignment horizontal="center" vertical="center" wrapText="1"/>
    </xf>
    <xf numFmtId="0" fontId="172" fillId="13" borderId="1" xfId="47" applyFont="1" applyFill="1" applyBorder="1" applyAlignment="1" applyProtection="1">
      <alignment horizontal="center" vertical="center" wrapText="1"/>
      <protection locked="0"/>
    </xf>
    <xf numFmtId="0" fontId="93" fillId="5" borderId="1" xfId="47" applyFill="1" applyBorder="1" applyAlignment="1">
      <alignment vertical="center"/>
    </xf>
    <xf numFmtId="0" fontId="172" fillId="5" borderId="18" xfId="47" applyFont="1" applyFill="1" applyBorder="1" applyAlignment="1">
      <alignment horizontal="center" vertical="center" wrapText="1"/>
    </xf>
    <xf numFmtId="0" fontId="93" fillId="5" borderId="1" xfId="47" applyFont="1" applyFill="1" applyBorder="1"/>
    <xf numFmtId="0" fontId="93" fillId="0" borderId="1" xfId="47" applyBorder="1" applyProtection="1">
      <protection locked="0"/>
    </xf>
    <xf numFmtId="0" fontId="172" fillId="0" borderId="1" xfId="47" applyFont="1" applyBorder="1" applyAlignment="1" applyProtection="1">
      <alignment horizontal="left" vertical="center" wrapText="1"/>
      <protection locked="0"/>
    </xf>
    <xf numFmtId="0" fontId="251" fillId="0" borderId="1" xfId="0" applyFont="1" applyBorder="1" applyAlignment="1">
      <alignment horizontal="center" vertical="center" wrapText="1"/>
    </xf>
    <xf numFmtId="0" fontId="251" fillId="0" borderId="0" xfId="8" applyFont="1" applyBorder="1" applyAlignment="1">
      <alignment vertical="center" wrapText="1"/>
    </xf>
    <xf numFmtId="49" fontId="251" fillId="0" borderId="1" xfId="0" applyNumberFormat="1" applyFont="1" applyBorder="1" applyAlignment="1">
      <alignment horizontal="center" vertical="center" wrapText="1"/>
    </xf>
    <xf numFmtId="178" fontId="251" fillId="0" borderId="1" xfId="0" applyNumberFormat="1" applyFont="1" applyBorder="1" applyAlignment="1">
      <alignment horizontal="center" vertical="center" wrapText="1"/>
    </xf>
    <xf numFmtId="49" fontId="172" fillId="5" borderId="1" xfId="47" applyNumberFormat="1" applyFont="1" applyFill="1" applyBorder="1" applyAlignment="1">
      <alignment horizontal="center"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223"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0" fontId="111" fillId="0" borderId="1" xfId="8" applyNumberFormat="1"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4" fillId="18"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11" fillId="0" borderId="1" xfId="8" applyFont="1" applyFill="1" applyBorder="1" applyAlignment="1">
      <alignment horizontal="left"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0" fillId="0" borderId="65" xfId="0" applyFont="1" applyBorder="1" applyAlignment="1">
      <alignment horizontal="center" vertical="center"/>
    </xf>
    <xf numFmtId="0" fontId="0" fillId="0" borderId="65" xfId="0" applyBorder="1" applyAlignment="1">
      <alignment horizontal="center" vertical="center"/>
    </xf>
    <xf numFmtId="0" fontId="251" fillId="0" borderId="18" xfId="0" applyFont="1" applyBorder="1" applyAlignment="1">
      <alignment horizontal="center" vertical="center" wrapText="1"/>
    </xf>
    <xf numFmtId="0" fontId="251" fillId="0" borderId="17" xfId="0" applyFont="1" applyBorder="1" applyAlignment="1">
      <alignment horizontal="center" vertical="center" wrapTex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628650</xdr:colOff>
      <xdr:row>38</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973050" cy="655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18</xdr:col>
      <xdr:colOff>266700</xdr:colOff>
      <xdr:row>78</xdr:row>
      <xdr:rowOff>9525</xdr:rowOff>
    </xdr:to>
    <xdr:pic>
      <xdr:nvPicPr>
        <xdr:cNvPr id="3"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86550"/>
          <a:ext cx="12611100" cy="669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xdr:row>
      <xdr:rowOff>0</xdr:rowOff>
    </xdr:from>
    <xdr:to>
      <xdr:col>9</xdr:col>
      <xdr:colOff>256372</xdr:colOff>
      <xdr:row>81</xdr:row>
      <xdr:rowOff>95174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373100"/>
          <a:ext cx="6428572" cy="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t="e">
            <v>#DIV/0!</v>
          </cell>
          <cell r="E3">
            <v>0</v>
          </cell>
        </row>
      </sheetData>
      <sheetData sheetId="14"/>
      <sheetData sheetId="15"/>
      <sheetData sheetId="16"/>
      <sheetData sheetId="17">
        <row r="118">
          <cell r="H118" t="e">
            <v>#REF!</v>
          </cell>
        </row>
        <row r="122">
          <cell r="D122" t="e">
            <v>#REF!</v>
          </cell>
        </row>
        <row r="124">
          <cell r="D124" t="str">
            <v>——</v>
          </cell>
        </row>
        <row r="126">
          <cell r="D126"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北京市房地产市场价值预评估</v>
      </c>
    </row>
    <row r="3" spans="1:2" s="1702" customFormat="1">
      <c r="A3" s="1703" t="s">
        <v>1111</v>
      </c>
      <c r="B3" s="1688">
        <f>'预评函-封皮'!B12</f>
        <v>0</v>
      </c>
    </row>
    <row r="4" spans="1:2" s="1702" customFormat="1">
      <c r="A4" s="1703" t="s">
        <v>1112</v>
      </c>
      <c r="B4" s="1688" t="str">
        <f ca="1">'预评函-封皮'!B18</f>
        <v>陈颖（注册号:1120060040）、叶凌（注册号:1119970111)</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估价对象为北京市房地产，为所有。根据《不动产权证书》[]，估价对象建筑面积为110平方米，（分摊）出让国有建设用地使用权面积为平方米。估价对象用途为商业。</v>
      </c>
    </row>
    <row r="8" spans="1:2">
      <c r="A8" s="1703" t="s">
        <v>1116</v>
      </c>
      <c r="B8" s="1690" t="str">
        <f>'预评函-1'!A8</f>
        <v>为估价委托人了解估价对象房地产市场价值提供参考依据。</v>
      </c>
    </row>
    <row r="9" spans="1:2">
      <c r="A9" s="1703" t="s">
        <v>1117</v>
      </c>
      <c r="B9" s="1690" t="str">
        <f>'预评函-1'!A10</f>
        <v>2017年12月8日（评估专业人员实地查勘之日）</v>
      </c>
    </row>
    <row r="10" spans="1:2">
      <c r="A10" s="1703" t="s">
        <v>1118</v>
      </c>
      <c r="B10" s="1690" t="str">
        <f>'预评函-1'!A13</f>
        <v>本次估价的“房地产价值”是指在正常市场情况下，在价值时点2017年12月8日，估价对象规划用途为商业，假定未设立法定优先受偿款下的房地产市场价值。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本次评估采用的主估价方法为基准地价系数修正法和基准地价系数修正法。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110</v>
      </c>
    </row>
    <row r="19" spans="1:2">
      <c r="A19" s="1703" t="s">
        <v>1127</v>
      </c>
      <c r="B19" s="1690" t="e">
        <f ca="1">'预评函-2（1）'!D7</f>
        <v>#REF!</v>
      </c>
    </row>
    <row r="20" spans="1:2">
      <c r="A20" s="1703" t="s">
        <v>1165</v>
      </c>
      <c r="B20" s="1690" t="str">
        <f>'预评函-2（1）'!C7</f>
        <v>总价（元）</v>
      </c>
    </row>
    <row r="21" spans="1:2">
      <c r="A21" s="1703" t="s">
        <v>1128</v>
      </c>
      <c r="B21" s="1690" t="e">
        <f ca="1">'预评函-2（1）'!D9</f>
        <v>#REF!</v>
      </c>
    </row>
    <row r="22" spans="1:2">
      <c r="A22" s="1703" t="s">
        <v>1129</v>
      </c>
      <c r="B22" s="1690" t="e">
        <f ca="1">'预评函-2（1）'!D8</f>
        <v>#REF!</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t="e">
        <f ca="1">'预评函-2（1）'!D15</f>
        <v>#REF!</v>
      </c>
    </row>
    <row r="30" spans="1:2">
      <c r="A30" s="1703" t="s">
        <v>1135</v>
      </c>
      <c r="B30" s="1690" t="e">
        <f ca="1">'预评函-2（1）'!D16</f>
        <v>#REF!</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e">
        <f ca="1">'预评函-2（1）'!D23</f>
        <v>#REF!</v>
      </c>
    </row>
    <row r="35" spans="1:2">
      <c r="A35" s="1703" t="s">
        <v>1140</v>
      </c>
      <c r="B35" s="1690" t="e">
        <f>'预评函-2（1）'!D22</f>
        <v>#VALUE!</v>
      </c>
    </row>
    <row r="36" spans="1:2">
      <c r="A36" s="1703" t="s">
        <v>1141</v>
      </c>
      <c r="B36" s="1690">
        <f>'预评函-2（2）'!C4</f>
        <v>0</v>
      </c>
    </row>
    <row r="37" spans="1:2">
      <c r="A37" s="1703" t="s">
        <v>1142</v>
      </c>
      <c r="B37" s="1690" t="e">
        <f ca="1">'预评函-2（2）'!D4</f>
        <v>#REF!</v>
      </c>
    </row>
    <row r="38" spans="1:2">
      <c r="A38" s="1703" t="s">
        <v>1143</v>
      </c>
      <c r="B38" s="1690" t="e">
        <f ca="1">'预评函-2（2）'!E4</f>
        <v>#REF!</v>
      </c>
    </row>
    <row r="39" spans="1:2">
      <c r="A39" s="1703" t="s">
        <v>1144</v>
      </c>
      <c r="B39" s="1690" t="e">
        <f ca="1">'预评函-2（2）'!D5</f>
        <v>#REF!</v>
      </c>
    </row>
    <row r="40" spans="1:2">
      <c r="A40" s="1703" t="s">
        <v>1145</v>
      </c>
      <c r="B40" s="1690" t="e">
        <f ca="1">'预评函-2（2）'!F4</f>
        <v>#REF!</v>
      </c>
    </row>
    <row r="41" spans="1:2">
      <c r="A41" s="1703" t="s">
        <v>1146</v>
      </c>
      <c r="B41" s="1690" t="e">
        <f ca="1">'预评函-2（2）'!G4</f>
        <v>#REF!</v>
      </c>
    </row>
    <row r="42" spans="1:2" s="1700" customFormat="1" ht="15.75" thickBot="1">
      <c r="A42" s="1704" t="s">
        <v>1147</v>
      </c>
      <c r="B42" s="1692" t="e">
        <f ca="1">'预评函-2（2）'!F5</f>
        <v>#REF!</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陈颖</v>
      </c>
    </row>
    <row r="53" spans="1:2">
      <c r="A53" s="1703" t="s">
        <v>1157</v>
      </c>
      <c r="B53" s="1690">
        <f ca="1">'预评函-3'!B4</f>
        <v>1120060040</v>
      </c>
    </row>
    <row r="54" spans="1:2">
      <c r="A54" s="1703" t="s">
        <v>1158</v>
      </c>
      <c r="B54" s="1694" t="str">
        <f>'预评函-3'!A5</f>
        <v>叶凌</v>
      </c>
    </row>
    <row r="55" spans="1:2" s="1700" customFormat="1" ht="15.75" thickBot="1">
      <c r="A55" s="1704" t="s">
        <v>1159</v>
      </c>
      <c r="B55" s="1692">
        <f ca="1">'预评函-3'!B5</f>
        <v>1119970111</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1244</v>
      </c>
      <c r="B62" s="1690" t="e">
        <f ca="1">'预评函-2（1）'!D38</f>
        <v>#REF!</v>
      </c>
    </row>
    <row r="63" spans="1:2" s="1702" customFormat="1" ht="28.5">
      <c r="A63" s="1706" t="s">
        <v>1245</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1243</v>
      </c>
    </row>
    <row r="70" spans="1:2">
      <c r="A70" s="1703" t="s">
        <v>1242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18" sqref="I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84" t="s">
        <v>1531</v>
      </c>
      <c r="B1" s="1985" t="str">
        <f>IF(B6="北京市","北京市",C6)&amp;IF(E12="房屋所有权证",B28,E28)&amp;D5&amp;"预评估"</f>
        <v>北京市房地产市场价值预评估</v>
      </c>
      <c r="C1" s="1063"/>
      <c r="D1" s="1986"/>
      <c r="E1" s="1063"/>
      <c r="F1" s="1987" t="s">
        <v>1532</v>
      </c>
      <c r="G1" s="1683"/>
      <c r="I1" s="1020" t="str">
        <f>IF(B6="北京市","北京市",C6)&amp;IF(E12="房屋所有权证",B28,E28)&amp;"房地产"</f>
        <v>北京市房地产</v>
      </c>
    </row>
    <row r="2" spans="1:10" ht="13.5" thickTop="1">
      <c r="A2" s="1988" t="s">
        <v>1533</v>
      </c>
      <c r="B2" s="1088">
        <v>43077</v>
      </c>
      <c r="C2" s="1989" t="s">
        <v>1534</v>
      </c>
      <c r="D2" s="1088">
        <v>43077</v>
      </c>
      <c r="E2" s="1064"/>
      <c r="F2" s="1064"/>
      <c r="G2" s="1684"/>
      <c r="H2" s="1020"/>
    </row>
    <row r="3" spans="1:10" ht="13.5" thickBot="1">
      <c r="A3" s="1990" t="s">
        <v>1535</v>
      </c>
      <c r="B3" s="1991" t="s">
        <v>2942</v>
      </c>
      <c r="C3" s="1065">
        <f ca="1">SUMIF(注册房地产估价师,B3,估价师及机构信息!B3:B24)</f>
        <v>1120060040</v>
      </c>
      <c r="D3" s="1991" t="s">
        <v>2943</v>
      </c>
      <c r="E3" s="1066">
        <f ca="1">SUMIF(注册房地产估价师,D3,估价师及机构信息!B3:B24)</f>
        <v>1119970111</v>
      </c>
      <c r="F3" s="1067"/>
      <c r="G3" s="1685"/>
      <c r="H3" s="1020"/>
    </row>
    <row r="4" spans="1:10" ht="13.5" customHeight="1" thickTop="1">
      <c r="A4" s="1992" t="s">
        <v>1536</v>
      </c>
      <c r="B4" s="1993"/>
      <c r="C4" s="1994" t="s">
        <v>1537</v>
      </c>
      <c r="D4" s="1995" t="s">
        <v>2944</v>
      </c>
      <c r="E4" s="1064"/>
      <c r="F4" s="1064"/>
      <c r="G4" s="1684"/>
    </row>
    <row r="5" spans="1:10">
      <c r="A5" s="1996" t="s">
        <v>1538</v>
      </c>
      <c r="B5" s="1997"/>
      <c r="C5" s="1998" t="s">
        <v>1539</v>
      </c>
      <c r="D5" s="1999" t="s">
        <v>2945</v>
      </c>
      <c r="E5" s="2000" t="s">
        <v>1540</v>
      </c>
      <c r="F5" s="2001"/>
      <c r="G5" s="2002"/>
      <c r="I5" s="1020" t="str">
        <f>IF(C16="否","截至估价时点，估价对象抵押权未见登记。","截至价值时点，估价对象已设定抵押。")</f>
        <v>截至估价时点，估价对象抵押权未见登记。</v>
      </c>
    </row>
    <row r="6" spans="1:10">
      <c r="A6" s="2003" t="s">
        <v>1541</v>
      </c>
      <c r="B6" s="2004" t="s">
        <v>2941</v>
      </c>
      <c r="C6" s="2005"/>
      <c r="D6" s="2006" t="s">
        <v>1542</v>
      </c>
      <c r="E6" s="1022"/>
      <c r="F6" s="1021"/>
      <c r="G6" s="1074"/>
      <c r="I6" s="1070" t="str">
        <f>IF(COUNTIF(B5,"*上海银行*"),"上海银行","")</f>
        <v/>
      </c>
    </row>
    <row r="7" spans="1:10" ht="13.5" thickBot="1">
      <c r="A7" s="1990" t="s">
        <v>1543</v>
      </c>
      <c r="B7" s="2007" t="s">
        <v>2940</v>
      </c>
      <c r="C7" s="2008" t="str">
        <f>IF(B7="自然人","姓名","名称")</f>
        <v>名称</v>
      </c>
      <c r="D7" s="2009"/>
      <c r="E7" s="1068"/>
      <c r="F7" s="1067"/>
      <c r="G7" s="1685"/>
    </row>
    <row r="8" spans="1:10" ht="13.5" thickTop="1">
      <c r="A8" s="2876" t="s">
        <v>1544</v>
      </c>
      <c r="B8" s="2010" t="s">
        <v>1545</v>
      </c>
      <c r="C8" s="2888" t="s">
        <v>3069</v>
      </c>
      <c r="D8" s="2889"/>
      <c r="E8" s="2011" t="s">
        <v>1546</v>
      </c>
      <c r="F8" s="2012" t="s">
        <v>1547</v>
      </c>
      <c r="G8" s="690">
        <f>C6</f>
        <v>0</v>
      </c>
    </row>
    <row r="9" spans="1:10">
      <c r="A9" s="2876"/>
      <c r="B9" s="344" t="s">
        <v>1548</v>
      </c>
      <c r="C9" s="1997"/>
      <c r="D9" s="2013"/>
      <c r="E9" s="1010" t="s">
        <v>1549</v>
      </c>
      <c r="F9" s="996" t="s">
        <v>87</v>
      </c>
      <c r="G9" s="1012"/>
    </row>
    <row r="10" spans="1:10" ht="13.5" thickBot="1">
      <c r="A10" s="2876"/>
      <c r="B10" s="344" t="s">
        <v>1550</v>
      </c>
      <c r="C10" s="2890"/>
      <c r="D10" s="2891"/>
      <c r="E10" s="2014" t="s">
        <v>1551</v>
      </c>
      <c r="F10" s="1013" t="s">
        <v>139</v>
      </c>
      <c r="G10" s="1014"/>
    </row>
    <row r="11" spans="1:10" ht="13.5" thickBot="1">
      <c r="A11" s="2876"/>
      <c r="B11" s="2015" t="s">
        <v>1552</v>
      </c>
      <c r="C11" s="2892"/>
      <c r="D11" s="2893"/>
      <c r="E11" s="1022"/>
      <c r="F11" s="1021"/>
      <c r="G11" s="1074"/>
    </row>
    <row r="12" spans="1:10" ht="24.75" thickBot="1">
      <c r="A12" s="2879" t="s">
        <v>1553</v>
      </c>
      <c r="B12" s="2016" t="s">
        <v>1554</v>
      </c>
      <c r="C12" s="1016">
        <v>110</v>
      </c>
      <c r="D12" s="2016" t="s">
        <v>1555</v>
      </c>
      <c r="E12" s="2017" t="s">
        <v>1556</v>
      </c>
      <c r="F12" s="2018" t="s">
        <v>1557</v>
      </c>
      <c r="G12" s="1074"/>
    </row>
    <row r="13" spans="1:10" ht="21" customHeight="1" thickBot="1">
      <c r="A13" s="2880"/>
      <c r="B13" s="2019" t="s">
        <v>1558</v>
      </c>
      <c r="C13" s="1017"/>
      <c r="D13" s="2019" t="s">
        <v>1559</v>
      </c>
      <c r="E13" s="2020" t="s">
        <v>1556</v>
      </c>
      <c r="F13" s="1021"/>
      <c r="G13" s="1074"/>
      <c r="I13" s="2866" t="s">
        <v>1560</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1561</v>
      </c>
      <c r="C14" s="2788" t="s">
        <v>2964</v>
      </c>
      <c r="D14" s="1021"/>
      <c r="E14" s="1021"/>
      <c r="F14" s="1021"/>
      <c r="G14" s="1074"/>
      <c r="I14" s="2866"/>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4"/>
      <c r="B15" s="2025" t="s">
        <v>1562</v>
      </c>
      <c r="C15" s="1069">
        <v>2.5</v>
      </c>
      <c r="D15" s="1067"/>
      <c r="E15" s="1067"/>
      <c r="F15" s="1067"/>
      <c r="G15" s="1685"/>
      <c r="I15" s="2866"/>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1563</v>
      </c>
      <c r="B16" s="2026" t="s">
        <v>1564</v>
      </c>
      <c r="C16" s="2027" t="s">
        <v>2953</v>
      </c>
      <c r="D16" s="2028" t="s">
        <v>1565</v>
      </c>
      <c r="E16" s="2029"/>
      <c r="F16" s="2030" t="str">
        <f>IF(AND(C16="是",E16="否"),"是否提供他项权证或相关说明","")</f>
        <v/>
      </c>
      <c r="G16" s="2029"/>
      <c r="I16" s="1071"/>
      <c r="J16" s="1020"/>
    </row>
    <row r="17" spans="1:15" ht="13.5" customHeight="1">
      <c r="A17" s="2031" t="s">
        <v>1566</v>
      </c>
      <c r="B17" s="2894" t="s">
        <v>1567</v>
      </c>
      <c r="C17" s="2895"/>
      <c r="D17" s="2896" t="s">
        <v>1568</v>
      </c>
      <c r="E17" s="2897"/>
      <c r="F17" s="2032" t="s">
        <v>1569</v>
      </c>
      <c r="G17" s="2033"/>
      <c r="J17" s="1020"/>
    </row>
    <row r="18" spans="1:15" ht="24">
      <c r="A18" s="2031"/>
      <c r="B18" s="2034" t="s">
        <v>1570</v>
      </c>
      <c r="C18" s="2002" t="s">
        <v>1571</v>
      </c>
      <c r="D18" s="2035" t="s">
        <v>1572</v>
      </c>
      <c r="E18" s="2036" t="s">
        <v>1573</v>
      </c>
      <c r="F18" s="2037"/>
      <c r="G18" s="1858"/>
      <c r="H18" s="1020"/>
      <c r="J18" s="1020"/>
    </row>
    <row r="19" spans="1:15" ht="21.75" customHeight="1" thickBot="1">
      <c r="A19" s="2031"/>
      <c r="B19" s="2038"/>
      <c r="C19" s="2020"/>
      <c r="D19" s="2039"/>
      <c r="E19" s="1021"/>
      <c r="F19" s="1021"/>
      <c r="G19" s="1858"/>
    </row>
    <row r="20" spans="1:15">
      <c r="A20" s="2040" t="s">
        <v>1574</v>
      </c>
      <c r="B20" s="2041" t="s">
        <v>1575</v>
      </c>
      <c r="C20" s="2042"/>
      <c r="D20" s="2043" t="s">
        <v>1575</v>
      </c>
      <c r="E20" s="2042"/>
      <c r="F20" s="1021"/>
      <c r="G20" s="1858"/>
    </row>
    <row r="21" spans="1:15">
      <c r="A21" s="2044"/>
      <c r="B21" s="2045" t="s">
        <v>1576</v>
      </c>
      <c r="C21" s="2046"/>
      <c r="D21" s="2031" t="s">
        <v>1576</v>
      </c>
      <c r="E21" s="2047"/>
      <c r="F21" s="1021"/>
      <c r="G21" s="1858"/>
    </row>
    <row r="22" spans="1:15">
      <c r="A22" s="2044"/>
      <c r="B22" s="2048" t="s">
        <v>1577</v>
      </c>
      <c r="C22" s="2049"/>
      <c r="D22" s="2048" t="s">
        <v>1577</v>
      </c>
      <c r="E22" s="2047"/>
      <c r="F22" s="1021"/>
      <c r="G22" s="1858"/>
    </row>
    <row r="23" spans="1:15" s="1856" customFormat="1" ht="21" thickBot="1">
      <c r="A23" s="2050"/>
      <c r="B23" s="2051" t="s">
        <v>1578</v>
      </c>
      <c r="C23" s="2052"/>
      <c r="D23" s="2051" t="s">
        <v>1579</v>
      </c>
      <c r="E23" s="2053"/>
      <c r="F23" s="1021"/>
      <c r="G23" s="1858"/>
      <c r="H23" s="2054"/>
      <c r="I23" s="1857"/>
      <c r="K23" s="1855"/>
      <c r="L23" s="1855"/>
      <c r="M23" s="1855"/>
      <c r="O23" s="1857"/>
    </row>
    <row r="24" spans="1:15" ht="13.5" thickBot="1">
      <c r="A24" s="1072" t="s">
        <v>1580</v>
      </c>
      <c r="B24" s="1021"/>
      <c r="C24" s="1021"/>
      <c r="D24" s="1021"/>
      <c r="E24" s="1021"/>
      <c r="F24" s="1021"/>
      <c r="G24" s="1859"/>
      <c r="I24" s="1071"/>
      <c r="K24" s="1071"/>
    </row>
    <row r="25" spans="1:15" s="1081" customFormat="1" ht="13.5" thickBot="1">
      <c r="A25" s="995"/>
      <c r="B25" s="2055" t="s">
        <v>1581</v>
      </c>
      <c r="C25" s="995"/>
      <c r="D25" s="1015"/>
      <c r="E25" s="1018" t="s">
        <v>1582</v>
      </c>
      <c r="F25" s="995"/>
      <c r="G25" s="2056" t="s">
        <v>1583</v>
      </c>
      <c r="L25" s="1082"/>
      <c r="M25" s="1082"/>
      <c r="O25" s="1083"/>
    </row>
    <row r="26" spans="1:15" s="1081" customFormat="1" ht="13.5" thickBot="1">
      <c r="A26" s="995"/>
      <c r="B26" s="1089"/>
      <c r="C26" s="995"/>
      <c r="D26" s="1015"/>
      <c r="E26" s="1089"/>
      <c r="F26" s="995"/>
      <c r="G26" s="1686"/>
      <c r="L26" s="1082"/>
      <c r="M26" s="1082"/>
      <c r="O26" s="1083"/>
    </row>
    <row r="27" spans="1:15">
      <c r="A27" s="1007" t="s">
        <v>1584</v>
      </c>
      <c r="B27" s="1004"/>
      <c r="C27" s="2882" t="s">
        <v>1584</v>
      </c>
      <c r="D27" s="2883"/>
      <c r="E27" s="1004"/>
      <c r="F27" s="1011" t="s">
        <v>1584</v>
      </c>
      <c r="G27" s="1004"/>
      <c r="I27" s="1071"/>
      <c r="K27" s="1071"/>
    </row>
    <row r="28" spans="1:15">
      <c r="A28" s="1008" t="s">
        <v>1585</v>
      </c>
      <c r="B28" s="978"/>
      <c r="C28" s="2884" t="s">
        <v>1586</v>
      </c>
      <c r="D28" s="2885"/>
      <c r="E28" s="978"/>
      <c r="F28" s="1884" t="s">
        <v>1586</v>
      </c>
      <c r="G28" s="978"/>
      <c r="I28" s="1071"/>
      <c r="K28" s="1071"/>
    </row>
    <row r="29" spans="1:15">
      <c r="A29" s="1008" t="s">
        <v>1587</v>
      </c>
      <c r="B29" s="978"/>
      <c r="C29" s="2884" t="s">
        <v>1587</v>
      </c>
      <c r="D29" s="2885"/>
      <c r="E29" s="978"/>
      <c r="F29" s="1884" t="s">
        <v>1588</v>
      </c>
      <c r="G29" s="978"/>
      <c r="I29" s="1071"/>
      <c r="K29" s="1071"/>
    </row>
    <row r="30" spans="1:15">
      <c r="A30" s="1008" t="s">
        <v>1589</v>
      </c>
      <c r="B30" s="978"/>
      <c r="C30" s="2873" t="s">
        <v>1590</v>
      </c>
      <c r="D30" s="2057"/>
      <c r="E30" s="1023" t="str">
        <f>E31&amp;" "&amp;E32&amp;" "&amp;E33&amp;" "&amp;E34</f>
        <v xml:space="preserve">   </v>
      </c>
      <c r="F30" s="1884" t="s">
        <v>1591</v>
      </c>
      <c r="G30" s="978"/>
    </row>
    <row r="31" spans="1:15">
      <c r="A31" s="1008" t="s">
        <v>1592</v>
      </c>
      <c r="B31" s="978"/>
      <c r="C31" s="2874"/>
      <c r="D31" s="1883" t="s">
        <v>1593</v>
      </c>
      <c r="E31" s="978"/>
      <c r="F31" s="1884" t="s">
        <v>1594</v>
      </c>
      <c r="G31" s="978"/>
    </row>
    <row r="32" spans="1:15" ht="24.75" thickBot="1">
      <c r="A32" s="1009" t="s">
        <v>1595</v>
      </c>
      <c r="B32" s="1005"/>
      <c r="C32" s="2874"/>
      <c r="D32" s="1883" t="s">
        <v>1596</v>
      </c>
      <c r="E32" s="978"/>
      <c r="F32" s="1884" t="s">
        <v>1597</v>
      </c>
      <c r="G32" s="978"/>
    </row>
    <row r="33" spans="1:7">
      <c r="A33" s="1007" t="s">
        <v>1598</v>
      </c>
      <c r="B33" s="1004"/>
      <c r="C33" s="2874"/>
      <c r="D33" s="1883" t="s">
        <v>1599</v>
      </c>
      <c r="E33" s="978"/>
      <c r="F33" s="1884" t="s">
        <v>1600</v>
      </c>
      <c r="G33" s="978"/>
    </row>
    <row r="34" spans="1:7" ht="13.5" thickBot="1">
      <c r="A34" s="1008" t="s">
        <v>1601</v>
      </c>
      <c r="B34" s="978"/>
      <c r="C34" s="2875"/>
      <c r="D34" s="1883" t="s">
        <v>1602</v>
      </c>
      <c r="E34" s="978"/>
      <c r="F34" s="1885" t="s">
        <v>1603</v>
      </c>
      <c r="G34" s="1006"/>
    </row>
    <row r="35" spans="1:7">
      <c r="A35" s="1008" t="s">
        <v>1554</v>
      </c>
      <c r="B35" s="978"/>
      <c r="C35" s="2884" t="s">
        <v>1604</v>
      </c>
      <c r="D35" s="2885"/>
      <c r="E35" s="978"/>
      <c r="F35" s="1019" t="s">
        <v>1605</v>
      </c>
      <c r="G35" s="1004"/>
    </row>
    <row r="36" spans="1:7" ht="13.5" thickBot="1">
      <c r="A36" s="1008" t="s">
        <v>1606</v>
      </c>
      <c r="B36" s="978"/>
      <c r="C36" s="2886" t="s">
        <v>1607</v>
      </c>
      <c r="D36" s="2887"/>
      <c r="E36" s="1005"/>
      <c r="F36" s="1881" t="s">
        <v>1608</v>
      </c>
      <c r="G36" s="978"/>
    </row>
    <row r="37" spans="1:7" ht="13.5" thickBot="1">
      <c r="A37" s="1008" t="s">
        <v>1609</v>
      </c>
      <c r="B37" s="978"/>
      <c r="C37" s="2871" t="s">
        <v>1610</v>
      </c>
      <c r="D37" s="2058" t="s">
        <v>1594</v>
      </c>
      <c r="E37" s="1004"/>
      <c r="F37" s="1885" t="s">
        <v>1611</v>
      </c>
      <c r="G37" s="1005"/>
    </row>
    <row r="38" spans="1:7">
      <c r="A38" s="1008" t="s">
        <v>1612</v>
      </c>
      <c r="B38" s="978"/>
      <c r="C38" s="2877"/>
      <c r="D38" s="1883" t="s">
        <v>1601</v>
      </c>
      <c r="E38" s="978"/>
      <c r="F38" s="1011" t="s">
        <v>1613</v>
      </c>
      <c r="G38" s="1004"/>
    </row>
    <row r="39" spans="1:7">
      <c r="A39" s="1008" t="s">
        <v>1614</v>
      </c>
      <c r="B39" s="978"/>
      <c r="C39" s="2877" t="s">
        <v>1615</v>
      </c>
      <c r="D39" s="1883" t="s">
        <v>1554</v>
      </c>
      <c r="E39" s="978"/>
      <c r="F39" s="1884" t="s">
        <v>1616</v>
      </c>
      <c r="G39" s="978"/>
    </row>
    <row r="40" spans="1:7" ht="24.75" customHeight="1" thickBot="1">
      <c r="A40" s="1009" t="s">
        <v>1617</v>
      </c>
      <c r="B40" s="1005"/>
      <c r="C40" s="2878"/>
      <c r="D40" s="1886" t="s">
        <v>1558</v>
      </c>
      <c r="E40" s="1005"/>
      <c r="F40" s="1885" t="s">
        <v>1618</v>
      </c>
      <c r="G40" s="1005"/>
    </row>
    <row r="41" spans="1:7">
      <c r="A41" s="1010" t="s">
        <v>1619</v>
      </c>
      <c r="B41" s="1060"/>
      <c r="C41" s="2867" t="s">
        <v>1619</v>
      </c>
      <c r="D41" s="2868"/>
      <c r="E41" s="1060"/>
      <c r="F41" s="1011" t="s">
        <v>1620</v>
      </c>
      <c r="G41" s="1060"/>
    </row>
    <row r="42" spans="1:7">
      <c r="A42" s="1057" t="s">
        <v>1621</v>
      </c>
      <c r="B42" s="1061"/>
      <c r="C42" s="2059"/>
      <c r="D42" s="2060"/>
      <c r="E42" s="1061"/>
      <c r="F42" s="1059"/>
      <c r="G42" s="1061"/>
    </row>
    <row r="43" spans="1:7">
      <c r="A43" s="94" t="s">
        <v>1575</v>
      </c>
      <c r="B43" s="1058"/>
      <c r="C43" s="2059"/>
      <c r="D43" s="2061" t="s">
        <v>1575</v>
      </c>
      <c r="E43" s="1058"/>
      <c r="F43" s="94" t="s">
        <v>1575</v>
      </c>
      <c r="G43" s="1058"/>
    </row>
    <row r="44" spans="1:7">
      <c r="A44" s="94" t="s">
        <v>1576</v>
      </c>
      <c r="B44" s="1058"/>
      <c r="C44" s="2059"/>
      <c r="D44" s="2045" t="s">
        <v>1576</v>
      </c>
      <c r="E44" s="1058"/>
      <c r="F44" s="94" t="s">
        <v>1576</v>
      </c>
      <c r="G44" s="1058"/>
    </row>
    <row r="45" spans="1:7">
      <c r="A45" s="94" t="s">
        <v>1577</v>
      </c>
      <c r="B45" s="1058"/>
      <c r="C45" s="2059"/>
      <c r="D45" s="2045" t="s">
        <v>1577</v>
      </c>
      <c r="E45" s="1058"/>
      <c r="F45" s="94" t="s">
        <v>1577</v>
      </c>
      <c r="G45" s="1058"/>
    </row>
    <row r="46" spans="1:7">
      <c r="A46" s="94" t="s">
        <v>1578</v>
      </c>
      <c r="B46" s="1058"/>
      <c r="C46" s="2059"/>
      <c r="D46" s="2045" t="s">
        <v>1578</v>
      </c>
      <c r="E46" s="1058"/>
      <c r="F46" s="94" t="s">
        <v>1578</v>
      </c>
      <c r="G46" s="1058"/>
    </row>
    <row r="47" spans="1:7">
      <c r="A47" s="1057"/>
      <c r="B47" s="1058"/>
      <c r="C47" s="2059"/>
      <c r="D47" s="2060"/>
      <c r="E47" s="1058"/>
      <c r="F47" s="1059"/>
      <c r="G47" s="1058"/>
    </row>
    <row r="48" spans="1:7" ht="13.5" thickBot="1">
      <c r="A48" s="1009" t="s">
        <v>1622</v>
      </c>
      <c r="B48" s="1005"/>
      <c r="C48" s="2869" t="s">
        <v>1622</v>
      </c>
      <c r="D48" s="2870"/>
      <c r="E48" s="1055"/>
      <c r="F48" s="1885" t="s">
        <v>1623</v>
      </c>
      <c r="G48" s="1005"/>
    </row>
    <row r="49" spans="1:15">
      <c r="A49" s="1008" t="s">
        <v>1624</v>
      </c>
      <c r="B49" s="1054"/>
      <c r="C49" s="2871" t="s">
        <v>1625</v>
      </c>
      <c r="D49" s="2872"/>
      <c r="E49" s="1056"/>
      <c r="F49" s="1084"/>
      <c r="G49" s="1085"/>
    </row>
    <row r="50" spans="1:15" ht="13.5" thickBot="1">
      <c r="A50" s="1008" t="s">
        <v>1626</v>
      </c>
      <c r="B50" s="1054"/>
      <c r="C50" s="2878" t="s">
        <v>1627</v>
      </c>
      <c r="D50" s="2881"/>
      <c r="E50" s="1005"/>
      <c r="F50" s="1021"/>
      <c r="G50" s="1074"/>
    </row>
    <row r="51" spans="1:15">
      <c r="A51" s="1008" t="s">
        <v>1605</v>
      </c>
      <c r="B51" s="978"/>
      <c r="C51" s="1021"/>
      <c r="D51" s="1021"/>
      <c r="E51" s="1021"/>
      <c r="F51" s="1021"/>
      <c r="G51" s="1074"/>
    </row>
    <row r="52" spans="1:15" ht="24.75" thickBot="1">
      <c r="A52" s="1009" t="s">
        <v>1628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98" t="s">
        <v>0</v>
      </c>
      <c r="B1" s="2898" t="s">
        <v>2</v>
      </c>
      <c r="C1" s="2898" t="s">
        <v>3</v>
      </c>
      <c r="D1" s="2899" t="s">
        <v>67</v>
      </c>
      <c r="E1" s="2899" t="s">
        <v>68</v>
      </c>
      <c r="F1" s="2899"/>
      <c r="G1" s="2899"/>
      <c r="H1" s="2899"/>
      <c r="I1" s="2899"/>
      <c r="J1" s="2899"/>
      <c r="K1" s="2899"/>
      <c r="L1" s="2899"/>
      <c r="M1" s="2899"/>
    </row>
    <row r="2" spans="1:13" ht="27" customHeight="1">
      <c r="A2" s="2898"/>
      <c r="B2" s="2898"/>
      <c r="C2" s="2898"/>
      <c r="D2" s="2899"/>
      <c r="E2" s="2899" t="s">
        <v>51</v>
      </c>
      <c r="F2" s="2899" t="s">
        <v>52</v>
      </c>
      <c r="G2" s="2899"/>
      <c r="H2" s="2899"/>
      <c r="I2" s="2899"/>
      <c r="J2" s="2899" t="s">
        <v>53</v>
      </c>
      <c r="K2" s="2899"/>
      <c r="L2" s="2899"/>
      <c r="M2" s="2899"/>
    </row>
    <row r="3" spans="1:13" ht="28.5">
      <c r="A3" s="2898"/>
      <c r="B3" s="2898"/>
      <c r="C3" s="2898"/>
      <c r="D3" s="2899"/>
      <c r="E3" s="289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99" t="s">
        <v>69</v>
      </c>
      <c r="B9" s="2899"/>
      <c r="C9" s="28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1629</v>
      </c>
      <c r="B1" s="1237"/>
      <c r="C1" s="1237"/>
      <c r="D1" s="1843"/>
      <c r="E1" s="1843"/>
      <c r="AE1" s="1237"/>
      <c r="AF1" s="1237"/>
      <c r="AG1" s="1237"/>
      <c r="AH1" s="1237"/>
      <c r="AI1" s="1237"/>
      <c r="AJ1" s="1237"/>
      <c r="AK1" s="1237"/>
      <c r="AL1" s="1237"/>
      <c r="AM1" s="1237"/>
      <c r="AN1" s="1237"/>
      <c r="AO1" s="1237"/>
    </row>
    <row r="2" spans="1:41" s="2067" customFormat="1" ht="15.75" thickBot="1">
      <c r="A2" s="2064" t="s">
        <v>1630</v>
      </c>
      <c r="B2" s="1209">
        <f>项目基本情况!D2</f>
        <v>43077</v>
      </c>
      <c r="C2" s="1845"/>
      <c r="D2" s="2900" t="s">
        <v>1631</v>
      </c>
      <c r="E2" s="2065"/>
      <c r="F2" s="2066"/>
      <c r="G2" s="2066"/>
      <c r="H2" s="2066"/>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7" customFormat="1" ht="15" customHeight="1" thickBot="1">
      <c r="A3" s="387" t="s">
        <v>1632</v>
      </c>
      <c r="B3" s="2068" t="s">
        <v>3027</v>
      </c>
      <c r="C3" s="1845"/>
      <c r="D3" s="2901"/>
      <c r="E3" s="1188" t="s">
        <v>1633</v>
      </c>
      <c r="F3" s="2066"/>
      <c r="G3" s="2066"/>
      <c r="H3" s="2066"/>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7" customFormat="1" ht="15" thickBot="1">
      <c r="A4" s="1485" t="s">
        <v>1634</v>
      </c>
      <c r="B4" s="2068" t="s">
        <v>3028</v>
      </c>
      <c r="C4" s="1845"/>
      <c r="D4" s="2901"/>
      <c r="E4" s="1188"/>
      <c r="F4" s="2066"/>
      <c r="G4" s="2066"/>
      <c r="H4" s="2066"/>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7" customFormat="1" ht="15.75" thickBot="1">
      <c r="A5" s="2069" t="s">
        <v>1635</v>
      </c>
      <c r="B5" s="1318">
        <f>项目基本情况!C12</f>
        <v>110</v>
      </c>
      <c r="C5" s="1845"/>
      <c r="D5" s="2070" t="s">
        <v>1636</v>
      </c>
      <c r="E5" s="393"/>
      <c r="F5" s="2066"/>
      <c r="G5" s="2066"/>
      <c r="H5" s="2066"/>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7" customFormat="1" ht="15.75" thickBot="1">
      <c r="A6" s="2071" t="s">
        <v>1637</v>
      </c>
      <c r="B6" s="1319">
        <f>项目基本情况!C13</f>
        <v>0</v>
      </c>
      <c r="C6" s="1845"/>
      <c r="D6" s="2070" t="s">
        <v>1638</v>
      </c>
      <c r="E6" s="393"/>
      <c r="F6" s="2066"/>
      <c r="G6" s="2066"/>
      <c r="H6" s="2066"/>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7" customFormat="1" ht="15">
      <c r="A7" s="2072"/>
      <c r="B7" s="1845"/>
      <c r="C7" s="1845"/>
      <c r="D7" s="2073"/>
      <c r="E7" s="2073"/>
      <c r="F7" s="2066"/>
      <c r="G7" s="2066"/>
      <c r="H7" s="2066"/>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7" customFormat="1" ht="15">
      <c r="A8" s="2072"/>
      <c r="B8" s="1845"/>
      <c r="C8" s="1845"/>
      <c r="D8" s="2073"/>
      <c r="E8" s="2073"/>
      <c r="F8" s="2066"/>
      <c r="G8" s="2066"/>
      <c r="H8" s="2066"/>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7" customFormat="1" ht="15" thickBot="1">
      <c r="A9" s="1845"/>
      <c r="B9" s="1845"/>
      <c r="C9" s="1845"/>
      <c r="D9" s="2066"/>
      <c r="E9" s="2066"/>
      <c r="F9" s="2066"/>
      <c r="G9" s="2066"/>
      <c r="H9" s="2066"/>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7" customFormat="1" ht="15" thickBot="1">
      <c r="A10" s="2074" t="s">
        <v>1639</v>
      </c>
      <c r="B10" s="2075" t="s">
        <v>2949</v>
      </c>
      <c r="C10" s="1845"/>
      <c r="D10" s="2064" t="s">
        <v>1640</v>
      </c>
      <c r="E10" s="2076" t="s">
        <v>1641</v>
      </c>
      <c r="F10" s="1145" t="s">
        <v>1642</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0" customFormat="1" ht="14.25">
      <c r="A11" s="2077" t="s">
        <v>1643</v>
      </c>
      <c r="B11" s="990">
        <v>40</v>
      </c>
      <c r="C11" s="1845"/>
      <c r="D11" s="2078" t="s">
        <v>1644</v>
      </c>
      <c r="E11" s="34">
        <v>160</v>
      </c>
      <c r="F11" s="1844" t="s">
        <v>1645</v>
      </c>
      <c r="G11" s="1845"/>
      <c r="H11" s="1845"/>
      <c r="I11" s="1845"/>
      <c r="J11" s="1845"/>
      <c r="K11" s="1845"/>
      <c r="L11" s="2079"/>
      <c r="M11" s="2079"/>
      <c r="N11" s="2079"/>
      <c r="O11" s="2079"/>
      <c r="P11" s="2079"/>
      <c r="Q11" s="2079"/>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7" customFormat="1" ht="15">
      <c r="A12" s="2081" t="s">
        <v>1646</v>
      </c>
      <c r="B12" s="2082">
        <v>57686</v>
      </c>
      <c r="C12" s="1845"/>
      <c r="D12" s="2083" t="s">
        <v>1647</v>
      </c>
      <c r="E12" s="37">
        <v>200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7" customFormat="1" ht="15" thickBot="1">
      <c r="A13" s="2084" t="s">
        <v>1648</v>
      </c>
      <c r="B13" s="991">
        <f>IF(B12="",B11-(YEAR($B$2)-B26+B23),ROUNDDOWN(MIN((B12-$B$2)/365,B11),2))</f>
        <v>40</v>
      </c>
      <c r="C13" s="2085"/>
      <c r="D13" s="2086" t="s">
        <v>1649</v>
      </c>
      <c r="E13" s="39">
        <f>成本法!C10</f>
        <v>22000</v>
      </c>
      <c r="F13" s="1839" t="s">
        <v>1650</v>
      </c>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7" customFormat="1" ht="14.25">
      <c r="A14" s="2081" t="s">
        <v>1651</v>
      </c>
      <c r="B14" s="992">
        <f>IF(ISERROR(ROUND(POWER(1+B15,B11-B13)*(POWER(1+B15,B13)-1)/(POWER(1+B15,B11)-1),3)),0,ROUND(POWER(1+B15,B11-B13)*(POWER(1+B15,B13)-1)/(POWER(1+B15,B11)-1),3))</f>
        <v>1</v>
      </c>
      <c r="C14" s="1845"/>
      <c r="D14" s="2087" t="s">
        <v>1652</v>
      </c>
      <c r="E14" s="709">
        <v>200</v>
      </c>
      <c r="F14" s="1838"/>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7" customFormat="1" ht="14.25">
      <c r="A15" s="2081" t="s">
        <v>1653</v>
      </c>
      <c r="B15" s="30">
        <v>3.5000000000000003E-2</v>
      </c>
      <c r="C15" s="1845"/>
      <c r="D15" s="2083" t="s">
        <v>1654</v>
      </c>
      <c r="E15" s="38">
        <f>E14-E16</f>
        <v>200</v>
      </c>
      <c r="F15" s="1840"/>
      <c r="G15" s="1845"/>
      <c r="H15" s="1845"/>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7" customFormat="1" ht="15" thickBot="1">
      <c r="A16" s="2081" t="s">
        <v>1655</v>
      </c>
      <c r="B16" s="30">
        <v>0.04</v>
      </c>
      <c r="C16" s="1845"/>
      <c r="D16" s="2088" t="s">
        <v>1656</v>
      </c>
      <c r="E16" s="710"/>
      <c r="F16" s="1841"/>
      <c r="G16" s="1845"/>
      <c r="H16" s="1845"/>
      <c r="I16" s="1845"/>
      <c r="J16" s="1845"/>
      <c r="K16" s="1845"/>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7" customFormat="1" ht="15" thickBot="1">
      <c r="A17" s="2089" t="s">
        <v>1657</v>
      </c>
      <c r="B17" s="997">
        <v>7.0000000000000007E-2</v>
      </c>
      <c r="C17" s="1845"/>
      <c r="D17" s="2074" t="s">
        <v>1658</v>
      </c>
      <c r="E17" s="985">
        <v>1000</v>
      </c>
      <c r="F17" s="1237"/>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7" customFormat="1" ht="15" thickBot="1">
      <c r="A18" s="1845"/>
      <c r="B18" s="1845"/>
      <c r="C18" s="1845"/>
      <c r="D18" s="2090" t="str">
        <f>IF(B25=0,"建安总额","在建建安")</f>
        <v>建安总额</v>
      </c>
      <c r="E18" s="986">
        <f>ROUND(B5*E17*IF(B25=0,1,E20),0)</f>
        <v>110000</v>
      </c>
      <c r="F18" s="1320">
        <f>ROUND(E5*E17*IF(B25=0,1,E20),0)</f>
        <v>0</v>
      </c>
      <c r="G18" s="1845"/>
      <c r="H18" s="1845"/>
      <c r="I18" s="1845"/>
      <c r="J18" s="1845"/>
      <c r="K18" s="1845"/>
      <c r="L18" s="184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7" customFormat="1" ht="15" thickBot="1">
      <c r="A19" s="25" t="s">
        <v>1659</v>
      </c>
      <c r="B19" s="1845"/>
      <c r="C19" s="1845"/>
      <c r="D19" s="2090" t="str">
        <f>IF(B25=0,"——","续建建安")</f>
        <v>——</v>
      </c>
      <c r="E19" s="986" t="str">
        <f>IF(B25=0,"——",ROUND(B5*E17*(1-E20),0))</f>
        <v>——</v>
      </c>
      <c r="F19" s="1320" t="str">
        <f>IF(B25=0,"——",ROUND(E5*E17*(1-E20),0))</f>
        <v>——</v>
      </c>
      <c r="G19" s="1845"/>
      <c r="H19" s="1845"/>
      <c r="I19" s="1845"/>
      <c r="J19" s="1845"/>
      <c r="K19" s="1845"/>
      <c r="L19" s="1845"/>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7" customFormat="1" ht="15" thickBot="1">
      <c r="A20" s="2091" t="s">
        <v>1660</v>
      </c>
      <c r="B20" s="31">
        <v>0</v>
      </c>
      <c r="C20" s="1845"/>
      <c r="D20" s="2092" t="str">
        <f>IF(B25=0,"成新率","工程进度")</f>
        <v>成新率</v>
      </c>
      <c r="E20" s="987">
        <v>0.6</v>
      </c>
      <c r="F20" s="1237"/>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7" customFormat="1" ht="14.25">
      <c r="A21" s="2093" t="s">
        <v>1661</v>
      </c>
      <c r="B21" s="32">
        <v>0.5</v>
      </c>
      <c r="C21" s="1845"/>
      <c r="D21" s="2083" t="s">
        <v>1662</v>
      </c>
      <c r="E21" s="711">
        <v>0.03</v>
      </c>
      <c r="F21" s="1842" t="s">
        <v>1663</v>
      </c>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7" customFormat="1" ht="14.25">
      <c r="A22" s="2094" t="s">
        <v>1664</v>
      </c>
      <c r="B22" s="1454">
        <v>0.5</v>
      </c>
      <c r="C22" s="1845"/>
      <c r="D22" s="2083" t="s">
        <v>1665</v>
      </c>
      <c r="E22" s="40">
        <v>0.08</v>
      </c>
      <c r="F22" s="1842" t="s">
        <v>1666</v>
      </c>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7" customFormat="1" ht="15" thickBot="1">
      <c r="A23" s="2095" t="s">
        <v>1667</v>
      </c>
      <c r="B23" s="33">
        <f>B20+B21</f>
        <v>0.5</v>
      </c>
      <c r="C23" s="1845"/>
      <c r="D23" s="2083" t="s">
        <v>1668</v>
      </c>
      <c r="E23" s="37">
        <v>200</v>
      </c>
      <c r="F23" s="1842" t="s">
        <v>1669</v>
      </c>
      <c r="G23" s="1845"/>
      <c r="H23" s="1845"/>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7" customFormat="1" ht="15" thickBot="1">
      <c r="A24" s="2096" t="s">
        <v>1670</v>
      </c>
      <c r="B24" s="1743">
        <f>B20+B22</f>
        <v>0.5</v>
      </c>
      <c r="C24" s="1845"/>
      <c r="D24" s="2088" t="s">
        <v>1671</v>
      </c>
      <c r="E24" s="1819">
        <v>1.4999999999999999E-2</v>
      </c>
      <c r="F24" s="1842" t="s">
        <v>1672</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5" t="s">
        <v>1673</v>
      </c>
      <c r="B25" s="1453">
        <f>B21-B22</f>
        <v>0</v>
      </c>
      <c r="C25" s="1237"/>
      <c r="D25" s="2078" t="s">
        <v>1674</v>
      </c>
      <c r="E25" s="711">
        <v>0.02</v>
      </c>
      <c r="F25" s="1842" t="s">
        <v>1675</v>
      </c>
      <c r="I25" s="1843"/>
      <c r="AE25" s="1237"/>
      <c r="AF25" s="1237"/>
      <c r="AG25" s="1237"/>
      <c r="AH25" s="1237"/>
      <c r="AI25" s="1237"/>
      <c r="AJ25" s="1237"/>
      <c r="AK25" s="1237"/>
      <c r="AL25" s="1237"/>
      <c r="AM25" s="1237"/>
      <c r="AN25" s="1237"/>
      <c r="AO25" s="1237"/>
    </row>
    <row r="26" spans="1:41" ht="15.75" thickBot="1">
      <c r="A26" s="2097" t="s">
        <v>1676</v>
      </c>
      <c r="B26" s="1094"/>
      <c r="C26" s="1845"/>
      <c r="D26" s="2083" t="s">
        <v>1677</v>
      </c>
      <c r="E26" s="40">
        <v>0.02</v>
      </c>
      <c r="F26" s="1842" t="s">
        <v>1675</v>
      </c>
      <c r="G26" s="2066"/>
      <c r="H26" s="2066"/>
      <c r="I26" s="1845"/>
      <c r="J26" s="1845"/>
      <c r="K26" s="1845"/>
      <c r="L26" s="1845"/>
      <c r="M26" s="1845"/>
      <c r="N26" s="1845"/>
      <c r="AE26" s="1237"/>
      <c r="AF26" s="1237"/>
      <c r="AG26" s="1237"/>
      <c r="AH26" s="1237"/>
      <c r="AI26" s="1237"/>
      <c r="AJ26" s="1237"/>
      <c r="AK26" s="1237"/>
      <c r="AL26" s="1237"/>
      <c r="AM26" s="1237"/>
      <c r="AN26" s="1237"/>
      <c r="AO26" s="1237"/>
    </row>
    <row r="27" spans="1:41" ht="15" thickBot="1">
      <c r="A27" s="1237"/>
      <c r="B27" s="1237"/>
      <c r="C27" s="1237"/>
      <c r="D27" s="2083" t="s">
        <v>1678</v>
      </c>
      <c r="E27" s="352">
        <f ca="1">存贷款利率!G1</f>
        <v>4.3499999999999997E-2</v>
      </c>
      <c r="F27" s="1842" t="s">
        <v>1679</v>
      </c>
      <c r="G27" s="2066"/>
      <c r="H27" s="2066"/>
      <c r="K27" s="1845"/>
      <c r="N27" s="1845"/>
      <c r="AE27" s="1237"/>
      <c r="AF27" s="1237"/>
      <c r="AG27" s="1237"/>
      <c r="AH27" s="1237"/>
      <c r="AI27" s="1237"/>
      <c r="AJ27" s="1237"/>
      <c r="AK27" s="1237"/>
      <c r="AL27" s="1237"/>
      <c r="AM27" s="1237"/>
      <c r="AN27" s="1237"/>
      <c r="AO27" s="1237"/>
    </row>
    <row r="28" spans="1:41" ht="15" thickBot="1">
      <c r="A28" s="2098" t="s">
        <v>1680</v>
      </c>
      <c r="B28" s="2099" t="s">
        <v>3026</v>
      </c>
      <c r="C28" s="1237"/>
      <c r="D28" s="2100" t="s">
        <v>1681</v>
      </c>
      <c r="E28" s="989">
        <v>0.1</v>
      </c>
      <c r="G28" s="2066"/>
      <c r="H28" s="2066"/>
      <c r="K28" s="1845"/>
      <c r="N28" s="1845"/>
      <c r="AE28" s="1237"/>
      <c r="AF28" s="1237"/>
      <c r="AG28" s="1237"/>
      <c r="AH28" s="1237"/>
      <c r="AI28" s="1237"/>
      <c r="AJ28" s="1237"/>
      <c r="AK28" s="1237"/>
      <c r="AL28" s="1237"/>
      <c r="AM28" s="1237"/>
      <c r="AN28" s="1237"/>
      <c r="AO28" s="1237"/>
    </row>
    <row r="29" spans="1:41" ht="14.25">
      <c r="A29" s="2081" t="str">
        <f>IF(B28="租赁期内按合同租金","合同租金","市场租金")</f>
        <v>市场租金</v>
      </c>
      <c r="B29" s="29"/>
      <c r="C29" s="1237"/>
      <c r="D29" s="2087" t="s">
        <v>1682</v>
      </c>
      <c r="E29" s="988">
        <f>E30+E31</f>
        <v>5.6000000000000001E-2</v>
      </c>
      <c r="F29" s="1839"/>
      <c r="G29" s="2066"/>
      <c r="H29" s="2066"/>
      <c r="K29" s="1845"/>
      <c r="N29" s="1845"/>
      <c r="AE29" s="1237"/>
      <c r="AF29" s="1237"/>
      <c r="AG29" s="1237"/>
      <c r="AH29" s="1237"/>
      <c r="AI29" s="1237"/>
      <c r="AJ29" s="1237"/>
      <c r="AK29" s="1237"/>
      <c r="AL29" s="1237"/>
      <c r="AM29" s="1237"/>
      <c r="AN29" s="1237"/>
      <c r="AO29" s="1237"/>
    </row>
    <row r="30" spans="1:41" ht="14.25">
      <c r="A30" s="2081" t="s">
        <v>1683</v>
      </c>
      <c r="B30" s="1419">
        <f ca="1">存贷款利率!I1</f>
        <v>1.4999999999999999E-2</v>
      </c>
      <c r="C30" s="1237"/>
      <c r="D30" s="2101" t="s">
        <v>1684</v>
      </c>
      <c r="E30" s="41">
        <v>0.05</v>
      </c>
      <c r="F30" s="1850">
        <f>IF(B2&lt;DATE(2016,5,1),0,E30)</f>
        <v>0.05</v>
      </c>
      <c r="G30" s="2066"/>
      <c r="H30" s="2066"/>
      <c r="K30" s="1845"/>
      <c r="N30" s="1845"/>
      <c r="AE30" s="1237"/>
      <c r="AF30" s="1237"/>
      <c r="AG30" s="1237"/>
      <c r="AH30" s="1237"/>
      <c r="AI30" s="1237"/>
      <c r="AJ30" s="1237"/>
      <c r="AK30" s="1237"/>
      <c r="AL30" s="1237"/>
      <c r="AM30" s="1237"/>
      <c r="AN30" s="1237"/>
      <c r="AO30" s="1237"/>
    </row>
    <row r="31" spans="1:41" ht="14.25">
      <c r="A31" s="2081" t="s">
        <v>1685</v>
      </c>
      <c r="B31" s="30">
        <v>3.5000000000000003E-2</v>
      </c>
      <c r="C31" s="1237"/>
      <c r="D31" s="2101" t="s">
        <v>1686</v>
      </c>
      <c r="E31" s="42">
        <f>E30*(E32+E33+E34)+E35</f>
        <v>6.000000000000001E-3</v>
      </c>
      <c r="F31" s="1839"/>
      <c r="G31" s="2066"/>
      <c r="H31" s="2066"/>
      <c r="K31" s="1845"/>
      <c r="N31" s="1845"/>
      <c r="AE31" s="1237"/>
      <c r="AF31" s="1237"/>
      <c r="AG31" s="1237"/>
      <c r="AH31" s="1237"/>
      <c r="AI31" s="1237"/>
      <c r="AJ31" s="1237"/>
      <c r="AK31" s="1237"/>
      <c r="AL31" s="1237"/>
      <c r="AM31" s="1237"/>
      <c r="AN31" s="1237"/>
      <c r="AO31" s="1237"/>
    </row>
    <row r="32" spans="1:41" ht="14.25">
      <c r="A32" s="2081" t="s">
        <v>1687</v>
      </c>
      <c r="B32" s="30">
        <v>0.05</v>
      </c>
      <c r="C32" s="1237"/>
      <c r="D32" s="2102" t="s">
        <v>1688</v>
      </c>
      <c r="E32" s="43">
        <v>7.0000000000000007E-2</v>
      </c>
      <c r="F32" s="1837" t="s">
        <v>1689</v>
      </c>
      <c r="G32" s="2066"/>
      <c r="H32" s="2066"/>
      <c r="K32" s="1845"/>
      <c r="L32" s="1845"/>
      <c r="M32" s="1845"/>
      <c r="N32" s="1845"/>
      <c r="AE32" s="1237"/>
      <c r="AF32" s="1237"/>
      <c r="AG32" s="1237"/>
      <c r="AH32" s="1237"/>
      <c r="AI32" s="1237"/>
      <c r="AJ32" s="1237"/>
      <c r="AK32" s="1237"/>
      <c r="AL32" s="1237"/>
      <c r="AM32" s="1237"/>
      <c r="AN32" s="1237"/>
      <c r="AO32" s="1237"/>
    </row>
    <row r="33" spans="1:41" ht="14.25">
      <c r="A33" s="2081" t="s">
        <v>1690</v>
      </c>
      <c r="B33" s="1380" t="b">
        <f>收益法!J54</f>
        <v>0</v>
      </c>
      <c r="C33" s="1237"/>
      <c r="D33" s="2102" t="s">
        <v>1691</v>
      </c>
      <c r="E33" s="41">
        <v>0.03</v>
      </c>
      <c r="F33" s="1836" t="s">
        <v>1692</v>
      </c>
      <c r="G33" s="2066"/>
      <c r="H33" s="2066"/>
      <c r="K33" s="1845"/>
      <c r="L33" s="1845"/>
      <c r="M33" s="1845"/>
      <c r="N33" s="1845"/>
      <c r="AE33" s="1237"/>
      <c r="AF33" s="1237"/>
      <c r="AG33" s="1237"/>
      <c r="AH33" s="1237"/>
      <c r="AI33" s="1237"/>
      <c r="AJ33" s="1237"/>
      <c r="AK33" s="1237"/>
      <c r="AL33" s="1237"/>
      <c r="AM33" s="1237"/>
      <c r="AN33" s="1237"/>
      <c r="AO33" s="1237"/>
    </row>
    <row r="34" spans="1:41" s="2104" customFormat="1" ht="15" thickBot="1">
      <c r="A34" s="2101" t="str">
        <f>IF(B28="租赁期内按合同租金","剩余租赁期","——")</f>
        <v>——</v>
      </c>
      <c r="B34" s="998"/>
      <c r="C34" s="1237"/>
      <c r="D34" s="2102" t="s">
        <v>1693</v>
      </c>
      <c r="E34" s="41">
        <v>0.02</v>
      </c>
      <c r="F34" s="1836" t="s">
        <v>1694</v>
      </c>
      <c r="G34" s="2103"/>
      <c r="H34" s="2103"/>
      <c r="I34" s="1838"/>
      <c r="J34" s="1838"/>
      <c r="K34" s="1845"/>
      <c r="L34" s="1845"/>
      <c r="M34" s="1845"/>
      <c r="N34" s="184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04" customFormat="1" ht="15.75" thickBot="1">
      <c r="A35" s="2105" t="s">
        <v>1695</v>
      </c>
      <c r="B35" s="994"/>
      <c r="C35" s="1237"/>
      <c r="D35" s="2106" t="s">
        <v>1696</v>
      </c>
      <c r="E35" s="44"/>
      <c r="F35" s="1844" t="s">
        <v>1697</v>
      </c>
      <c r="G35" s="2103"/>
      <c r="H35" s="2103"/>
      <c r="I35" s="1838"/>
      <c r="J35" s="1838"/>
      <c r="K35" s="1845"/>
      <c r="L35" s="1845"/>
      <c r="M35" s="1845"/>
      <c r="N35" s="184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04" customFormat="1" ht="14.25">
      <c r="A36" s="2107" t="str">
        <f>IF(B28="租赁期内按合同租金","租金","——")</f>
        <v>——</v>
      </c>
      <c r="B36" s="999"/>
      <c r="C36" s="1237"/>
      <c r="D36" s="2108" t="s">
        <v>1698</v>
      </c>
      <c r="E36" s="45">
        <v>0.03</v>
      </c>
      <c r="F36" s="1840" t="s">
        <v>1699</v>
      </c>
      <c r="G36" s="2103"/>
      <c r="H36" s="2103"/>
      <c r="I36" s="1838"/>
      <c r="J36" s="1838"/>
      <c r="K36" s="1845"/>
      <c r="L36" s="1845"/>
      <c r="M36" s="1845"/>
      <c r="N36" s="184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04" customFormat="1" ht="15" thickBot="1">
      <c r="A37" s="2081" t="str">
        <f>IF(B28="租赁期内按合同租金","年租金增长率","——")</f>
        <v>——</v>
      </c>
      <c r="B37" s="30"/>
      <c r="C37" s="1237"/>
      <c r="D37" s="2088" t="s">
        <v>1700</v>
      </c>
      <c r="E37" s="41">
        <v>5.0000000000000001E-4</v>
      </c>
      <c r="F37" s="1840" t="s">
        <v>1701</v>
      </c>
      <c r="G37" s="2066"/>
      <c r="H37" s="2066"/>
      <c r="I37" s="1845"/>
      <c r="J37" s="1845"/>
      <c r="K37" s="1845"/>
      <c r="L37" s="1845"/>
      <c r="M37" s="1845"/>
      <c r="N37" s="184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04" customFormat="1" ht="14.25">
      <c r="A38" s="2081" t="str">
        <f>IF(B28="租赁期内按合同租金","空置率","——")</f>
        <v>——</v>
      </c>
      <c r="B38" s="30"/>
      <c r="C38" s="1237"/>
      <c r="D38" s="2109" t="s">
        <v>1702</v>
      </c>
      <c r="E38" s="46">
        <v>1.2E-2</v>
      </c>
      <c r="F38" s="1838"/>
      <c r="G38" s="1843"/>
      <c r="H38" s="1843"/>
      <c r="I38" s="2066"/>
      <c r="J38" s="1845"/>
      <c r="K38" s="1845"/>
      <c r="L38" s="1845"/>
      <c r="M38" s="1845"/>
      <c r="N38" s="184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04" customFormat="1" ht="15" thickBot="1">
      <c r="A39" s="2081" t="str">
        <f>IF(B28="租赁期内按合同租金","成新率","——")</f>
        <v>——</v>
      </c>
      <c r="B39" s="30"/>
      <c r="C39" s="1237"/>
      <c r="D39" s="2086" t="s">
        <v>1703</v>
      </c>
      <c r="E39" s="47">
        <v>0.12</v>
      </c>
      <c r="F39" s="1838"/>
      <c r="G39" s="2103"/>
      <c r="H39" s="2103"/>
      <c r="I39" s="1838"/>
      <c r="J39" s="1838"/>
      <c r="K39" s="1845"/>
      <c r="L39" s="1845"/>
      <c r="M39" s="1845"/>
      <c r="N39" s="184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1" t="str">
        <f>IF(B28="租赁期内按合同租金","租赁期外收益期","——")</f>
        <v>——</v>
      </c>
      <c r="B40" s="1193" t="str">
        <f>IF(B28="租赁期内按合同租金",B33-B34,"——")</f>
        <v>——</v>
      </c>
      <c r="C40" s="1237"/>
      <c r="D40" s="2109" t="s">
        <v>1704</v>
      </c>
      <c r="E40" s="48">
        <f>SUMIF(D42:D51,E41,E42:E51)</f>
        <v>0</v>
      </c>
      <c r="F40" s="1838"/>
      <c r="G40" s="2066"/>
      <c r="H40" s="2066"/>
      <c r="I40" s="1845"/>
      <c r="J40" s="1845"/>
      <c r="K40" s="1845"/>
      <c r="L40" s="1845"/>
      <c r="M40" s="1845"/>
      <c r="N40" s="1845"/>
      <c r="AE40" s="1237"/>
      <c r="AF40" s="1237"/>
      <c r="AG40" s="1237"/>
      <c r="AH40" s="1237"/>
      <c r="AI40" s="1237"/>
      <c r="AJ40" s="1237"/>
      <c r="AK40" s="1237"/>
      <c r="AL40" s="1237"/>
      <c r="AM40" s="1237"/>
      <c r="AN40" s="1237"/>
      <c r="AO40" s="1237"/>
    </row>
    <row r="41" spans="1:41" ht="14.25">
      <c r="A41" s="2110" t="s">
        <v>1705</v>
      </c>
      <c r="B41" s="1000"/>
      <c r="C41" s="1237"/>
      <c r="D41" s="2083" t="s">
        <v>1706</v>
      </c>
      <c r="E41" s="2111"/>
      <c r="F41" s="1838" t="s">
        <v>1707</v>
      </c>
      <c r="G41" s="2112" t="s">
        <v>1708</v>
      </c>
      <c r="H41" s="2066"/>
      <c r="I41" s="1845"/>
      <c r="J41" s="1845"/>
      <c r="K41" s="1845"/>
      <c r="L41" s="1845"/>
      <c r="M41" s="1845"/>
      <c r="N41" s="1845"/>
      <c r="AE41" s="1237"/>
      <c r="AF41" s="1237"/>
      <c r="AG41" s="1237"/>
      <c r="AH41" s="1237"/>
      <c r="AI41" s="1237"/>
      <c r="AJ41" s="1237"/>
      <c r="AK41" s="1237"/>
      <c r="AL41" s="1237"/>
      <c r="AM41" s="1237"/>
      <c r="AN41" s="1237"/>
      <c r="AO41" s="1237"/>
    </row>
    <row r="42" spans="1:41" ht="14.25">
      <c r="A42" s="2081" t="s">
        <v>1709</v>
      </c>
      <c r="B42" s="993"/>
      <c r="C42" s="1237"/>
      <c r="D42" s="2113" t="s">
        <v>1710</v>
      </c>
      <c r="E42" s="29"/>
      <c r="F42" s="1838">
        <v>30</v>
      </c>
      <c r="G42" s="2066"/>
      <c r="H42" s="2066"/>
      <c r="I42" s="1845"/>
      <c r="J42" s="1845"/>
      <c r="K42" s="1845"/>
      <c r="L42" s="1845"/>
      <c r="M42" s="1845"/>
      <c r="N42" s="1845"/>
      <c r="AE42" s="1237"/>
      <c r="AF42" s="1237"/>
      <c r="AG42" s="1237"/>
      <c r="AH42" s="1237"/>
      <c r="AI42" s="1237"/>
      <c r="AJ42" s="1237"/>
      <c r="AK42" s="1237"/>
      <c r="AL42" s="1237"/>
      <c r="AM42" s="1237"/>
      <c r="AN42" s="1237"/>
      <c r="AO42" s="1237"/>
    </row>
    <row r="43" spans="1:41" ht="14.25">
      <c r="A43" s="2081" t="s">
        <v>1711</v>
      </c>
      <c r="B43" s="29"/>
      <c r="C43" s="1237"/>
      <c r="D43" s="2113" t="s">
        <v>1712</v>
      </c>
      <c r="E43" s="29"/>
      <c r="F43" s="1838">
        <v>24</v>
      </c>
      <c r="G43" s="2066"/>
      <c r="H43" s="2066"/>
      <c r="I43" s="1845"/>
      <c r="J43" s="1845"/>
      <c r="K43" s="1845"/>
      <c r="L43" s="1845"/>
      <c r="M43" s="1845"/>
      <c r="N43" s="1845"/>
      <c r="AE43" s="1237"/>
      <c r="AF43" s="1237"/>
      <c r="AG43" s="1237"/>
      <c r="AH43" s="1237"/>
      <c r="AI43" s="1237"/>
      <c r="AJ43" s="1237"/>
      <c r="AK43" s="1237"/>
      <c r="AL43" s="1237"/>
      <c r="AM43" s="1237"/>
      <c r="AN43" s="1237"/>
      <c r="AO43" s="1237"/>
    </row>
    <row r="44" spans="1:41" ht="14.25">
      <c r="A44" s="2081" t="s">
        <v>1713</v>
      </c>
      <c r="B44" s="1001">
        <v>1.4999999999999999E-2</v>
      </c>
      <c r="C44" s="1237" t="s">
        <v>970</v>
      </c>
      <c r="D44" s="2113" t="s">
        <v>1714</v>
      </c>
      <c r="E44" s="29"/>
      <c r="F44" s="1838">
        <v>18</v>
      </c>
      <c r="G44" s="1237"/>
      <c r="H44" s="1237"/>
      <c r="I44" s="2066"/>
      <c r="J44" s="1845"/>
      <c r="K44" s="1845"/>
      <c r="L44" s="1845"/>
      <c r="M44" s="1845"/>
      <c r="N44" s="1845"/>
      <c r="AE44" s="1237"/>
      <c r="AF44" s="1237"/>
      <c r="AG44" s="1237"/>
      <c r="AH44" s="1237"/>
      <c r="AI44" s="1237"/>
      <c r="AJ44" s="1237"/>
      <c r="AK44" s="1237"/>
      <c r="AL44" s="1237"/>
      <c r="AM44" s="1237"/>
      <c r="AN44" s="1237"/>
      <c r="AO44" s="1237"/>
    </row>
    <row r="45" spans="1:41" ht="14.25">
      <c r="A45" s="2081" t="s">
        <v>1715</v>
      </c>
      <c r="B45" s="1002">
        <v>1.5E-3</v>
      </c>
      <c r="C45" s="1237" t="s">
        <v>971</v>
      </c>
      <c r="D45" s="2113" t="s">
        <v>1716</v>
      </c>
      <c r="E45" s="29"/>
      <c r="F45" s="1838">
        <v>12</v>
      </c>
      <c r="G45" s="1237"/>
      <c r="H45" s="1237"/>
      <c r="M45" s="1845"/>
      <c r="N45" s="1845"/>
      <c r="AE45" s="1237"/>
      <c r="AF45" s="1237"/>
      <c r="AG45" s="1237"/>
      <c r="AH45" s="1237"/>
      <c r="AI45" s="1237"/>
      <c r="AJ45" s="1237"/>
      <c r="AK45" s="1237"/>
      <c r="AL45" s="1237"/>
      <c r="AM45" s="1237"/>
      <c r="AN45" s="1237"/>
      <c r="AO45" s="1237"/>
    </row>
    <row r="46" spans="1:41" ht="15" thickBot="1">
      <c r="A46" s="2100" t="s">
        <v>1717</v>
      </c>
      <c r="B46" s="1003">
        <v>0.02</v>
      </c>
      <c r="C46" s="1237" t="s">
        <v>972</v>
      </c>
      <c r="D46" s="2113" t="s">
        <v>1461</v>
      </c>
      <c r="E46" s="29"/>
      <c r="F46" s="1838">
        <v>3</v>
      </c>
      <c r="G46" s="1237"/>
      <c r="H46" s="1237"/>
      <c r="M46" s="1845"/>
      <c r="N46" s="1845"/>
      <c r="AE46" s="1237"/>
      <c r="AF46" s="1237"/>
      <c r="AG46" s="1237"/>
      <c r="AH46" s="1237"/>
      <c r="AI46" s="1237"/>
      <c r="AJ46" s="1237"/>
      <c r="AK46" s="1237"/>
      <c r="AL46" s="1237"/>
      <c r="AM46" s="1237"/>
      <c r="AN46" s="1237"/>
      <c r="AO46" s="1237"/>
    </row>
    <row r="47" spans="1:41" ht="14.25">
      <c r="A47" s="1237"/>
      <c r="B47" s="1237"/>
      <c r="C47" s="1237"/>
      <c r="D47" s="2113" t="s">
        <v>1718</v>
      </c>
      <c r="E47" s="29"/>
      <c r="F47" s="1838">
        <v>1.5</v>
      </c>
      <c r="G47" s="1237"/>
      <c r="H47" s="1237"/>
      <c r="M47" s="1845"/>
      <c r="N47" s="1845"/>
      <c r="AE47" s="1237"/>
      <c r="AF47" s="1237"/>
      <c r="AG47" s="1237"/>
      <c r="AH47" s="1237"/>
      <c r="AI47" s="1237"/>
      <c r="AJ47" s="1237"/>
      <c r="AK47" s="1237"/>
      <c r="AL47" s="1237"/>
      <c r="AM47" s="1237"/>
      <c r="AN47" s="1237"/>
      <c r="AO47" s="1237"/>
    </row>
    <row r="48" spans="1:41" ht="14.25">
      <c r="A48" s="1237"/>
      <c r="B48" s="1237"/>
      <c r="C48" s="1237"/>
      <c r="D48" s="2113" t="s">
        <v>1719</v>
      </c>
      <c r="E48" s="29"/>
      <c r="F48" s="1845"/>
      <c r="G48" s="1237"/>
      <c r="H48" s="1237"/>
      <c r="M48" s="1845"/>
      <c r="N48" s="1845"/>
      <c r="AE48" s="1237"/>
      <c r="AF48" s="1237"/>
      <c r="AG48" s="1237"/>
      <c r="AH48" s="1237"/>
      <c r="AI48" s="1237"/>
      <c r="AJ48" s="1237"/>
      <c r="AK48" s="1237"/>
      <c r="AL48" s="1237"/>
      <c r="AM48" s="1237"/>
      <c r="AN48" s="1237"/>
      <c r="AO48" s="1237"/>
    </row>
    <row r="49" spans="1:41" ht="14.25">
      <c r="A49" s="1237"/>
      <c r="B49" s="1237"/>
      <c r="C49" s="1237"/>
      <c r="D49" s="2113" t="s">
        <v>1720</v>
      </c>
      <c r="E49" s="29"/>
      <c r="F49" s="1845"/>
      <c r="G49" s="1237"/>
      <c r="H49" s="1237"/>
      <c r="M49" s="1845"/>
      <c r="N49" s="1845"/>
      <c r="AE49" s="1237"/>
      <c r="AF49" s="1237"/>
      <c r="AG49" s="1237"/>
      <c r="AH49" s="1237"/>
      <c r="AI49" s="1237"/>
      <c r="AJ49" s="1237"/>
      <c r="AK49" s="1237"/>
      <c r="AL49" s="1237"/>
      <c r="AM49" s="1237"/>
      <c r="AN49" s="1237"/>
      <c r="AO49" s="1237"/>
    </row>
    <row r="50" spans="1:41" ht="14.25">
      <c r="A50" s="1237"/>
      <c r="B50" s="1237"/>
      <c r="C50" s="1237"/>
      <c r="D50" s="2113" t="s">
        <v>1721</v>
      </c>
      <c r="E50" s="29"/>
      <c r="F50" s="1845"/>
      <c r="G50" s="1237"/>
      <c r="H50" s="1237"/>
      <c r="M50" s="1845"/>
      <c r="N50" s="1845"/>
      <c r="AE50" s="1237"/>
      <c r="AF50" s="1237"/>
      <c r="AG50" s="1237"/>
      <c r="AH50" s="1237"/>
      <c r="AI50" s="1237"/>
      <c r="AJ50" s="1237"/>
      <c r="AK50" s="1237"/>
      <c r="AL50" s="1237"/>
      <c r="AM50" s="1237"/>
      <c r="AN50" s="1237"/>
      <c r="AO50" s="1237"/>
    </row>
    <row r="51" spans="1:41" s="1237" customFormat="1" ht="15" thickBot="1">
      <c r="D51" s="2114" t="s">
        <v>1722</v>
      </c>
      <c r="E51" s="49"/>
      <c r="F51" s="1845"/>
      <c r="M51" s="1845"/>
      <c r="N51" s="1845"/>
      <c r="O51" s="84"/>
      <c r="P51" s="84"/>
    </row>
    <row r="52" spans="1:41" s="1237" customFormat="1" ht="14.25">
      <c r="D52" s="2066"/>
      <c r="E52" s="2066"/>
      <c r="F52" s="2066"/>
      <c r="G52" s="2066"/>
      <c r="H52" s="2066"/>
      <c r="I52" s="1845"/>
      <c r="J52" s="1845"/>
      <c r="K52" s="1845"/>
      <c r="L52" s="1845"/>
      <c r="M52" s="1845"/>
      <c r="N52" s="1845"/>
      <c r="O52" s="84"/>
      <c r="P52" s="84"/>
    </row>
    <row r="53" spans="1:41" s="1237" customFormat="1" ht="14.25">
      <c r="D53" s="2066"/>
      <c r="E53" s="2066"/>
      <c r="F53" s="2066"/>
      <c r="G53" s="2066"/>
      <c r="H53" s="2066"/>
      <c r="I53" s="1845"/>
      <c r="J53" s="1845"/>
      <c r="K53" s="1845"/>
      <c r="L53" s="1845"/>
      <c r="M53" s="1845"/>
      <c r="N53" s="1845"/>
      <c r="O53" s="84"/>
      <c r="P53" s="84"/>
    </row>
    <row r="54" spans="1:41" s="1237" customFormat="1" ht="14.25">
      <c r="D54" s="2066"/>
      <c r="E54" s="2066"/>
      <c r="F54" s="2066"/>
      <c r="G54" s="2066"/>
      <c r="H54" s="2066"/>
      <c r="I54" s="1845"/>
      <c r="J54" s="1845"/>
      <c r="K54" s="1845"/>
      <c r="L54" s="1845"/>
      <c r="M54" s="1845"/>
      <c r="N54" s="1845"/>
      <c r="O54" s="84"/>
      <c r="P54" s="84"/>
    </row>
    <row r="55" spans="1:41" s="1237" customFormat="1" ht="14.25">
      <c r="D55" s="2066"/>
      <c r="E55" s="2066"/>
      <c r="F55" s="2066"/>
      <c r="G55" s="2066"/>
      <c r="H55" s="2066"/>
      <c r="I55" s="1845"/>
      <c r="J55" s="1845"/>
      <c r="K55" s="1845"/>
      <c r="L55" s="1845"/>
      <c r="M55" s="1845"/>
      <c r="N55" s="1845"/>
      <c r="O55" s="84"/>
      <c r="P55" s="84"/>
    </row>
    <row r="56" spans="1:41" s="1237" customFormat="1" ht="14.25">
      <c r="D56" s="2066"/>
      <c r="E56" s="2066"/>
      <c r="F56" s="2066"/>
      <c r="G56" s="2066"/>
      <c r="H56" s="2066"/>
      <c r="I56" s="1845"/>
      <c r="J56" s="1845"/>
      <c r="K56" s="1845"/>
      <c r="L56" s="1845"/>
      <c r="M56" s="1845"/>
      <c r="N56" s="1845"/>
      <c r="O56" s="84"/>
      <c r="P56" s="84"/>
    </row>
    <row r="57" spans="1:41" s="1237" customFormat="1" ht="14.25">
      <c r="D57" s="2066"/>
      <c r="E57" s="2066"/>
      <c r="F57" s="2066"/>
      <c r="G57" s="2066"/>
      <c r="H57" s="2066"/>
      <c r="I57" s="1845"/>
      <c r="J57" s="1845"/>
      <c r="K57" s="1845"/>
      <c r="L57" s="1845"/>
      <c r="M57" s="1845"/>
      <c r="N57" s="1845"/>
      <c r="O57" s="84"/>
      <c r="P57" s="84"/>
    </row>
    <row r="58" spans="1:41" s="1237" customFormat="1" ht="14.25">
      <c r="D58" s="2066"/>
      <c r="E58" s="2066"/>
      <c r="F58" s="2066"/>
      <c r="G58" s="2066"/>
      <c r="H58" s="2066"/>
      <c r="I58" s="1845"/>
      <c r="J58" s="1845"/>
      <c r="K58" s="1845"/>
      <c r="L58" s="1845"/>
      <c r="M58" s="1845"/>
      <c r="N58" s="1845"/>
      <c r="O58" s="84"/>
      <c r="P58" s="84"/>
    </row>
    <row r="59" spans="1:41" s="1237" customFormat="1" ht="14.25">
      <c r="D59" s="2066"/>
      <c r="E59" s="2066"/>
      <c r="F59" s="2066"/>
      <c r="G59" s="2066"/>
      <c r="H59" s="2066"/>
      <c r="I59" s="1845"/>
      <c r="J59" s="1845"/>
      <c r="K59" s="1845"/>
      <c r="L59" s="1845"/>
      <c r="M59" s="2115"/>
      <c r="N59" s="1845"/>
      <c r="O59" s="84"/>
      <c r="P59" s="84"/>
    </row>
    <row r="60" spans="1:41" s="1237" customFormat="1" ht="14.25">
      <c r="D60" s="2066"/>
      <c r="E60" s="2066"/>
      <c r="F60" s="2066"/>
      <c r="G60" s="2066"/>
      <c r="H60" s="2066"/>
      <c r="I60" s="1845"/>
      <c r="J60" s="1845"/>
      <c r="K60" s="1845"/>
      <c r="L60" s="1845"/>
      <c r="M60" s="1845"/>
      <c r="N60" s="1845"/>
      <c r="O60" s="84"/>
      <c r="P60" s="84"/>
    </row>
    <row r="61" spans="1:41" s="1237" customFormat="1" ht="14.25">
      <c r="D61" s="2066"/>
      <c r="E61" s="2066"/>
      <c r="F61" s="2066"/>
      <c r="G61" s="2066"/>
      <c r="H61" s="2066"/>
      <c r="I61" s="1845"/>
      <c r="J61" s="1845"/>
      <c r="K61" s="1845"/>
      <c r="L61" s="1845"/>
      <c r="M61" s="1845"/>
      <c r="N61" s="1845"/>
      <c r="O61" s="84"/>
      <c r="P61" s="84"/>
    </row>
    <row r="62" spans="1:41" s="1237" customFormat="1" ht="14.25">
      <c r="D62" s="2066"/>
      <c r="E62" s="2066"/>
      <c r="F62" s="2066"/>
      <c r="G62" s="2066"/>
      <c r="H62" s="2066"/>
      <c r="I62" s="1845"/>
      <c r="J62" s="1845"/>
      <c r="K62" s="1845"/>
      <c r="L62" s="1845"/>
      <c r="M62" s="1845"/>
      <c r="N62" s="1845"/>
      <c r="O62" s="84"/>
      <c r="P62" s="84"/>
    </row>
    <row r="63" spans="1:41" s="1237" customFormat="1" ht="14.25">
      <c r="D63" s="2066"/>
      <c r="E63" s="2066"/>
      <c r="F63" s="2066"/>
      <c r="G63" s="2066"/>
      <c r="H63" s="2066"/>
      <c r="I63" s="1845"/>
      <c r="J63" s="1845"/>
      <c r="K63" s="1845"/>
      <c r="L63" s="1845"/>
      <c r="M63" s="1845"/>
      <c r="N63" s="1845"/>
      <c r="O63" s="84"/>
      <c r="P63" s="84"/>
    </row>
    <row r="64" spans="1:41" s="1237" customFormat="1" ht="14.25">
      <c r="D64" s="2066"/>
      <c r="E64" s="2066"/>
      <c r="F64" s="2066"/>
      <c r="G64" s="2066"/>
      <c r="H64" s="2066"/>
      <c r="I64" s="1845"/>
      <c r="J64" s="1845"/>
      <c r="K64" s="1845"/>
      <c r="L64" s="1845"/>
      <c r="M64" s="1845"/>
      <c r="N64" s="1845"/>
      <c r="O64" s="84"/>
      <c r="P64" s="84"/>
    </row>
    <row r="65" spans="1:16" s="1237" customFormat="1" ht="14.25">
      <c r="D65" s="2066"/>
      <c r="E65" s="2066"/>
      <c r="F65" s="2066"/>
      <c r="G65" s="2066"/>
      <c r="H65" s="2066"/>
      <c r="I65" s="1845"/>
      <c r="J65" s="1845"/>
      <c r="K65" s="1845"/>
      <c r="L65" s="1845"/>
      <c r="M65" s="1845"/>
      <c r="N65" s="1845"/>
      <c r="O65" s="84"/>
      <c r="P65" s="84"/>
    </row>
    <row r="66" spans="1:16" s="1237" customFormat="1" ht="14.25">
      <c r="A66" s="2116"/>
      <c r="D66" s="2066"/>
      <c r="E66" s="2066"/>
      <c r="F66" s="2066"/>
      <c r="G66" s="2066"/>
      <c r="H66" s="2066"/>
      <c r="I66" s="1845"/>
      <c r="J66" s="1845"/>
      <c r="K66" s="1845"/>
      <c r="L66" s="1845"/>
      <c r="M66" s="1845"/>
      <c r="N66" s="1845"/>
      <c r="O66" s="84"/>
      <c r="P66" s="84"/>
    </row>
    <row r="67" spans="1:16" s="1237" customFormat="1" ht="14.25">
      <c r="A67" s="2116"/>
      <c r="D67" s="2066"/>
      <c r="E67" s="2066"/>
      <c r="F67" s="2066"/>
      <c r="G67" s="2066"/>
      <c r="H67" s="2066"/>
      <c r="I67" s="1845"/>
      <c r="J67" s="1845"/>
      <c r="K67" s="1845"/>
      <c r="L67" s="1845"/>
      <c r="M67" s="1845"/>
      <c r="N67" s="1845"/>
      <c r="O67" s="84"/>
      <c r="P67" s="84"/>
    </row>
    <row r="68" spans="1:16" s="1237" customFormat="1" ht="14.25">
      <c r="A68" s="2116"/>
      <c r="D68" s="2066"/>
      <c r="E68" s="2066"/>
      <c r="F68" s="2066"/>
      <c r="G68" s="1843"/>
      <c r="H68" s="1843"/>
      <c r="O68" s="84"/>
      <c r="P68" s="84"/>
    </row>
    <row r="69" spans="1:16" s="1237" customFormat="1">
      <c r="A69" s="2116"/>
      <c r="D69" s="1843"/>
      <c r="E69" s="1843"/>
      <c r="F69" s="1843"/>
      <c r="G69" s="1843"/>
      <c r="H69" s="1843"/>
      <c r="O69" s="84"/>
      <c r="P69" s="84"/>
    </row>
    <row r="70" spans="1:16" s="1237" customFormat="1">
      <c r="A70" s="2116"/>
      <c r="D70" s="1843"/>
      <c r="E70" s="1843"/>
      <c r="F70" s="1843"/>
      <c r="G70" s="1843"/>
      <c r="H70" s="1843"/>
      <c r="O70" s="84"/>
      <c r="P70" s="84"/>
    </row>
    <row r="71" spans="1:16" s="1237" customFormat="1">
      <c r="A71" s="2116"/>
      <c r="D71" s="1843"/>
      <c r="E71" s="1843"/>
      <c r="F71" s="1843"/>
      <c r="G71" s="1843"/>
      <c r="H71" s="1843"/>
      <c r="O71" s="84"/>
      <c r="P71" s="84"/>
    </row>
    <row r="72" spans="1:16" s="1237" customFormat="1">
      <c r="A72" s="2116"/>
      <c r="D72" s="1843"/>
      <c r="E72" s="1843"/>
      <c r="F72" s="1843"/>
      <c r="G72" s="1843"/>
      <c r="H72" s="1843"/>
      <c r="O72" s="84"/>
      <c r="P72" s="84"/>
    </row>
    <row r="73" spans="1:16" s="1237" customFormat="1">
      <c r="A73" s="2116"/>
      <c r="D73" s="1843"/>
      <c r="E73" s="1843"/>
      <c r="F73" s="1843"/>
      <c r="G73" s="1843"/>
      <c r="H73" s="1843"/>
      <c r="O73" s="84"/>
      <c r="P73" s="84"/>
    </row>
    <row r="74" spans="1:16" s="1237" customFormat="1">
      <c r="A74" s="2116"/>
      <c r="D74" s="1843"/>
      <c r="E74" s="1843"/>
      <c r="F74" s="1843"/>
      <c r="G74" s="1843"/>
      <c r="H74" s="1843"/>
      <c r="O74" s="84"/>
      <c r="P74" s="84"/>
    </row>
    <row r="75" spans="1:16" s="1237" customFormat="1">
      <c r="A75" s="2116"/>
      <c r="D75" s="1843"/>
      <c r="E75" s="1843"/>
      <c r="F75" s="1843"/>
      <c r="G75" s="1843"/>
      <c r="H75" s="1843"/>
      <c r="O75" s="84"/>
      <c r="P75" s="84"/>
    </row>
    <row r="76" spans="1:16" s="1237" customFormat="1">
      <c r="A76" s="2116"/>
      <c r="D76" s="1843"/>
      <c r="E76" s="1843"/>
      <c r="F76" s="1843"/>
      <c r="G76" s="1843"/>
      <c r="H76" s="1843"/>
      <c r="O76" s="84"/>
      <c r="P76" s="84"/>
    </row>
    <row r="77" spans="1:16" s="1237" customFormat="1">
      <c r="A77" s="2116"/>
      <c r="D77" s="1843"/>
      <c r="E77" s="1843"/>
      <c r="F77" s="1843"/>
      <c r="G77" s="1843"/>
      <c r="H77" s="1843"/>
      <c r="O77" s="84"/>
      <c r="P77" s="84"/>
    </row>
    <row r="78" spans="1:16" s="1237" customFormat="1">
      <c r="A78" s="2116"/>
      <c r="D78" s="1843"/>
      <c r="E78" s="1843"/>
      <c r="F78" s="1843"/>
      <c r="G78" s="1843"/>
      <c r="H78" s="1843"/>
      <c r="O78" s="84"/>
      <c r="P78" s="84"/>
    </row>
    <row r="79" spans="1:16" s="1237" customFormat="1">
      <c r="A79" s="2116"/>
      <c r="D79" s="1843"/>
      <c r="E79" s="1843"/>
      <c r="F79" s="1843"/>
      <c r="G79" s="1843"/>
      <c r="H79" s="1843"/>
      <c r="O79" s="84"/>
      <c r="P79" s="84"/>
    </row>
    <row r="80" spans="1:16" s="1237" customFormat="1">
      <c r="A80" s="2116"/>
      <c r="D80" s="1843"/>
      <c r="E80" s="1843"/>
      <c r="F80" s="1843"/>
      <c r="G80" s="1843"/>
      <c r="H80" s="1843"/>
      <c r="O80" s="84"/>
      <c r="P80" s="84"/>
    </row>
    <row r="81" spans="1:16" s="1237" customFormat="1">
      <c r="A81" s="2116"/>
      <c r="D81" s="1843"/>
      <c r="E81" s="1843"/>
      <c r="F81" s="1843"/>
      <c r="G81" s="1843"/>
      <c r="H81" s="1843"/>
      <c r="O81" s="84"/>
      <c r="P81" s="84"/>
    </row>
    <row r="82" spans="1:16" s="1237" customFormat="1">
      <c r="A82" s="2116"/>
      <c r="D82" s="1843"/>
      <c r="E82" s="1843"/>
      <c r="F82" s="1843"/>
      <c r="G82" s="1843"/>
      <c r="H82" s="1843"/>
      <c r="O82" s="84"/>
      <c r="P82" s="84"/>
    </row>
    <row r="83" spans="1:16" s="1237" customFormat="1">
      <c r="A83" s="2116"/>
      <c r="D83" s="1843"/>
      <c r="E83" s="1843"/>
      <c r="F83" s="1843"/>
      <c r="G83" s="1843"/>
      <c r="H83" s="1843"/>
      <c r="O83" s="84"/>
      <c r="P83" s="84"/>
    </row>
    <row r="84" spans="1:16" s="1237" customFormat="1">
      <c r="A84" s="2116"/>
      <c r="D84" s="1843"/>
      <c r="E84" s="1843"/>
      <c r="F84" s="1843"/>
      <c r="G84" s="1843"/>
      <c r="H84" s="1843"/>
      <c r="O84" s="84"/>
      <c r="P84" s="84"/>
    </row>
    <row r="85" spans="1:16" s="1237" customFormat="1">
      <c r="A85" s="2116"/>
      <c r="D85" s="1843"/>
      <c r="E85" s="1843"/>
      <c r="F85" s="1843"/>
      <c r="G85" s="1843"/>
      <c r="H85" s="1843"/>
      <c r="O85" s="84"/>
      <c r="P85" s="84"/>
    </row>
    <row r="86" spans="1:16" s="1237" customFormat="1">
      <c r="A86" s="2116"/>
      <c r="D86" s="1843"/>
      <c r="E86" s="1843"/>
      <c r="F86" s="1843"/>
      <c r="G86" s="1843"/>
      <c r="H86" s="1843"/>
      <c r="O86" s="84"/>
      <c r="P86" s="84"/>
    </row>
    <row r="87" spans="1:16" s="1237" customFormat="1">
      <c r="A87" s="2116"/>
      <c r="D87" s="1843"/>
      <c r="E87" s="1843"/>
      <c r="F87" s="1843"/>
      <c r="G87" s="1843"/>
      <c r="H87" s="1843"/>
      <c r="O87" s="84"/>
      <c r="P87" s="84"/>
    </row>
    <row r="88" spans="1:16" s="1237" customFormat="1">
      <c r="A88" s="2116"/>
      <c r="D88" s="1843"/>
      <c r="E88" s="1843"/>
      <c r="F88" s="1843"/>
      <c r="G88" s="1843"/>
      <c r="H88" s="1843"/>
      <c r="O88" s="84"/>
      <c r="P88" s="84"/>
    </row>
    <row r="89" spans="1:16" s="1237" customFormat="1">
      <c r="A89" s="2116"/>
      <c r="D89" s="1843"/>
      <c r="E89" s="1843"/>
      <c r="F89" s="1843"/>
      <c r="G89" s="1843"/>
      <c r="H89" s="1843"/>
      <c r="O89" s="84"/>
      <c r="P89" s="84"/>
    </row>
    <row r="90" spans="1:16" s="1237" customFormat="1">
      <c r="A90" s="2116"/>
      <c r="D90" s="1843"/>
      <c r="E90" s="1843"/>
      <c r="F90" s="1843"/>
      <c r="G90" s="1843"/>
      <c r="H90" s="1843"/>
      <c r="O90" s="84"/>
      <c r="P90" s="84"/>
    </row>
    <row r="91" spans="1:16" s="1237" customFormat="1">
      <c r="A91" s="2116"/>
      <c r="D91" s="1843"/>
      <c r="E91" s="1843"/>
      <c r="F91" s="1843"/>
      <c r="G91" s="1843"/>
      <c r="H91" s="1843"/>
      <c r="O91" s="84"/>
      <c r="P91" s="84"/>
    </row>
    <row r="92" spans="1:16" s="1237" customFormat="1">
      <c r="A92" s="2116"/>
      <c r="D92" s="1843"/>
      <c r="E92" s="1843"/>
      <c r="F92" s="1843"/>
      <c r="G92" s="1843"/>
      <c r="H92" s="1843"/>
      <c r="O92" s="84"/>
      <c r="P92" s="84"/>
    </row>
    <row r="93" spans="1:16" s="1237" customFormat="1">
      <c r="A93" s="2116"/>
      <c r="D93" s="1843"/>
      <c r="E93" s="1843"/>
      <c r="F93" s="1843"/>
      <c r="G93" s="1843"/>
      <c r="H93" s="1843"/>
      <c r="O93" s="84"/>
      <c r="P93" s="84"/>
    </row>
    <row r="94" spans="1:16" s="1237" customFormat="1">
      <c r="A94" s="2116"/>
      <c r="D94" s="1843"/>
      <c r="E94" s="1843"/>
      <c r="F94" s="1843"/>
      <c r="G94" s="1843"/>
      <c r="H94" s="1843"/>
      <c r="O94" s="84"/>
      <c r="P94" s="84"/>
    </row>
    <row r="95" spans="1:16" s="1237" customFormat="1">
      <c r="A95" s="2116"/>
      <c r="D95" s="1843"/>
      <c r="E95" s="1843"/>
      <c r="F95" s="1843"/>
      <c r="G95" s="1843"/>
      <c r="H95" s="1843"/>
      <c r="O95" s="84"/>
      <c r="P95" s="84"/>
    </row>
    <row r="96" spans="1:16" s="1237" customFormat="1">
      <c r="A96" s="2116"/>
      <c r="D96" s="1843"/>
      <c r="E96" s="1843"/>
      <c r="F96" s="1843"/>
      <c r="G96" s="1843"/>
      <c r="H96" s="1843"/>
      <c r="O96" s="84"/>
      <c r="P96" s="84"/>
    </row>
    <row r="97" spans="1:16" s="1237" customFormat="1">
      <c r="A97" s="2116"/>
      <c r="D97" s="1843"/>
      <c r="E97" s="1843"/>
      <c r="F97" s="1843"/>
      <c r="G97" s="1843"/>
      <c r="H97" s="1843"/>
      <c r="O97" s="84"/>
      <c r="P97" s="84"/>
    </row>
    <row r="98" spans="1:16" s="1237" customFormat="1">
      <c r="A98" s="2116"/>
      <c r="D98" s="1843"/>
      <c r="E98" s="1843"/>
      <c r="F98" s="1843"/>
      <c r="G98" s="1843"/>
      <c r="H98" s="1843"/>
      <c r="O98" s="84"/>
      <c r="P98" s="84"/>
    </row>
    <row r="99" spans="1:16" s="1237" customFormat="1">
      <c r="A99" s="2116"/>
      <c r="D99" s="1843"/>
      <c r="E99" s="1843"/>
      <c r="F99" s="1843"/>
      <c r="G99" s="1843"/>
      <c r="H99" s="1843"/>
      <c r="O99" s="84"/>
      <c r="P99" s="84"/>
    </row>
    <row r="100" spans="1:16" s="1237" customFormat="1">
      <c r="A100" s="2116"/>
      <c r="D100" s="1843"/>
      <c r="E100" s="1843"/>
      <c r="F100" s="1843"/>
      <c r="G100" s="1843"/>
      <c r="H100" s="1843"/>
      <c r="O100" s="84"/>
      <c r="P100" s="84"/>
    </row>
    <row r="101" spans="1:16" s="1237" customFormat="1">
      <c r="A101" s="2116"/>
      <c r="D101" s="1843"/>
      <c r="E101" s="1843"/>
      <c r="F101" s="1843"/>
      <c r="G101" s="1843"/>
      <c r="H101" s="1843"/>
      <c r="O101" s="84"/>
      <c r="P101" s="84"/>
    </row>
    <row r="102" spans="1:16" s="1237" customFormat="1">
      <c r="A102" s="2116"/>
      <c r="D102" s="1843"/>
      <c r="E102" s="1843"/>
      <c r="F102" s="1843"/>
      <c r="G102" s="1843"/>
      <c r="H102" s="1843"/>
      <c r="O102" s="84"/>
      <c r="P102" s="84"/>
    </row>
    <row r="103" spans="1:16" s="1237" customFormat="1">
      <c r="A103" s="2116"/>
      <c r="D103" s="1843"/>
      <c r="E103" s="1843"/>
      <c r="F103" s="1843"/>
      <c r="G103" s="1843"/>
      <c r="H103" s="1843"/>
      <c r="O103" s="84"/>
      <c r="P103" s="84"/>
    </row>
    <row r="104" spans="1:16" s="1237" customFormat="1">
      <c r="A104" s="2116"/>
      <c r="D104" s="1843"/>
      <c r="E104" s="1843"/>
      <c r="F104" s="1843"/>
      <c r="G104" s="1843"/>
      <c r="H104" s="1843"/>
      <c r="O104" s="84"/>
      <c r="P104" s="84"/>
    </row>
    <row r="105" spans="1:16" s="1237" customFormat="1">
      <c r="A105" s="2116"/>
      <c r="D105" s="1843"/>
      <c r="E105" s="1843"/>
      <c r="F105" s="1843"/>
      <c r="G105" s="1843"/>
      <c r="H105" s="1843"/>
      <c r="O105" s="84"/>
      <c r="P105" s="84"/>
    </row>
    <row r="106" spans="1:16" s="1237" customFormat="1">
      <c r="A106" s="2116"/>
      <c r="D106" s="1843"/>
      <c r="E106" s="1843"/>
      <c r="F106" s="1843"/>
      <c r="G106" s="1843"/>
      <c r="H106" s="1843"/>
      <c r="O106" s="84"/>
      <c r="P106" s="84"/>
    </row>
    <row r="107" spans="1:16" s="1237" customFormat="1">
      <c r="A107" s="2116"/>
      <c r="D107" s="1843"/>
      <c r="E107" s="1843"/>
      <c r="F107" s="1843"/>
      <c r="G107" s="1843"/>
      <c r="H107" s="1843"/>
      <c r="O107" s="84"/>
      <c r="P107" s="84"/>
    </row>
    <row r="108" spans="1:16" s="1237" customFormat="1">
      <c r="A108" s="2116"/>
      <c r="D108" s="1843"/>
      <c r="E108" s="1843"/>
      <c r="F108" s="1843"/>
      <c r="G108" s="1843"/>
      <c r="H108" s="1843"/>
      <c r="O108" s="84"/>
      <c r="P108" s="84"/>
    </row>
    <row r="109" spans="1:16" s="1237" customFormat="1">
      <c r="A109" s="2116"/>
      <c r="D109" s="1843"/>
      <c r="E109" s="1843"/>
      <c r="F109" s="1843"/>
      <c r="G109" s="1843"/>
      <c r="H109" s="1843"/>
      <c r="O109" s="84"/>
      <c r="P109" s="84"/>
    </row>
    <row r="110" spans="1:16" s="1237" customFormat="1">
      <c r="A110" s="2116"/>
      <c r="D110" s="1843"/>
      <c r="E110" s="1843"/>
      <c r="F110" s="1843"/>
      <c r="G110" s="1843"/>
      <c r="H110" s="1843"/>
      <c r="O110" s="84"/>
      <c r="P110" s="84"/>
    </row>
    <row r="111" spans="1:16" s="1237" customFormat="1">
      <c r="A111" s="2116"/>
      <c r="D111" s="1843"/>
      <c r="E111" s="1843"/>
      <c r="F111" s="1843"/>
      <c r="G111" s="1843"/>
      <c r="H111" s="1843"/>
      <c r="O111" s="84"/>
      <c r="P111" s="84"/>
    </row>
    <row r="112" spans="1:16" s="1237" customFormat="1">
      <c r="A112" s="2116"/>
      <c r="D112" s="1843"/>
      <c r="E112" s="1843"/>
      <c r="F112" s="1843"/>
      <c r="G112" s="1843"/>
      <c r="H112" s="1843"/>
      <c r="O112" s="84"/>
      <c r="P112" s="84"/>
    </row>
    <row r="113" spans="1:16" s="1237" customFormat="1">
      <c r="A113" s="2116"/>
      <c r="D113" s="1843"/>
      <c r="E113" s="1843"/>
      <c r="F113" s="1843"/>
      <c r="G113" s="1843"/>
      <c r="H113" s="1843"/>
      <c r="O113" s="84"/>
      <c r="P113" s="84"/>
    </row>
    <row r="114" spans="1:16" s="1237" customFormat="1">
      <c r="A114" s="2116"/>
      <c r="D114" s="1843"/>
      <c r="E114" s="1843"/>
      <c r="F114" s="1843"/>
      <c r="G114" s="1843"/>
      <c r="H114" s="1843"/>
      <c r="O114" s="84"/>
      <c r="P114" s="84"/>
    </row>
    <row r="115" spans="1:16" s="1237" customFormat="1">
      <c r="A115" s="2116"/>
      <c r="D115" s="1843"/>
      <c r="E115" s="1843"/>
      <c r="F115" s="1843"/>
      <c r="G115" s="1843"/>
      <c r="H115" s="1843"/>
      <c r="O115" s="84"/>
      <c r="P115" s="84"/>
    </row>
    <row r="116" spans="1:16" s="1237" customFormat="1">
      <c r="A116" s="2116"/>
      <c r="D116" s="1843"/>
      <c r="E116" s="1843"/>
      <c r="F116" s="1843"/>
      <c r="G116" s="1843"/>
      <c r="H116" s="1843"/>
      <c r="O116" s="84"/>
      <c r="P116" s="84"/>
    </row>
    <row r="117" spans="1:16" s="1237" customFormat="1">
      <c r="A117" s="2116"/>
      <c r="D117" s="1843"/>
      <c r="E117" s="1843"/>
      <c r="F117" s="1843"/>
      <c r="G117" s="1843"/>
      <c r="H117" s="1843"/>
      <c r="O117" s="84"/>
      <c r="P117" s="84"/>
    </row>
    <row r="118" spans="1:16" s="1237" customFormat="1">
      <c r="A118" s="2116"/>
      <c r="D118" s="1843"/>
      <c r="E118" s="1843"/>
      <c r="F118" s="1843"/>
      <c r="G118" s="1843"/>
      <c r="H118" s="1843"/>
      <c r="O118" s="84"/>
      <c r="P118" s="84"/>
    </row>
    <row r="119" spans="1:16" s="1237" customFormat="1">
      <c r="A119" s="2116"/>
      <c r="D119" s="1843"/>
      <c r="E119" s="1843"/>
      <c r="F119" s="1843"/>
      <c r="G119" s="1843"/>
      <c r="H119" s="1843"/>
      <c r="O119" s="84"/>
      <c r="P119" s="84"/>
    </row>
    <row r="120" spans="1:16" s="1237" customFormat="1">
      <c r="A120" s="2116"/>
      <c r="D120" s="1843"/>
      <c r="E120" s="1843"/>
      <c r="F120" s="1843"/>
      <c r="G120" s="1843"/>
      <c r="H120" s="1843"/>
      <c r="O120" s="84"/>
      <c r="P120" s="84"/>
    </row>
    <row r="121" spans="1:16" s="1237" customFormat="1">
      <c r="A121" s="2116"/>
      <c r="D121" s="1843"/>
      <c r="E121" s="1843"/>
      <c r="F121" s="1843"/>
      <c r="G121" s="1843"/>
      <c r="H121" s="1843"/>
      <c r="O121" s="84"/>
      <c r="P121" s="84"/>
    </row>
    <row r="122" spans="1:16" s="1237" customFormat="1">
      <c r="A122" s="2116"/>
      <c r="D122" s="1843"/>
      <c r="E122" s="1843"/>
      <c r="F122" s="1843"/>
      <c r="G122" s="1843"/>
      <c r="H122" s="1843"/>
      <c r="O122" s="84"/>
      <c r="P122" s="84"/>
    </row>
    <row r="123" spans="1:16" s="1237" customFormat="1">
      <c r="A123" s="2116"/>
      <c r="D123" s="1843"/>
      <c r="E123" s="1843"/>
      <c r="F123" s="1843"/>
      <c r="G123" s="1843"/>
      <c r="H123" s="1843"/>
      <c r="O123" s="84"/>
      <c r="P123" s="84"/>
    </row>
    <row r="124" spans="1:16" s="1237" customFormat="1">
      <c r="A124" s="2116"/>
      <c r="D124" s="1843"/>
      <c r="E124" s="1843"/>
      <c r="F124" s="1843"/>
      <c r="G124" s="1843"/>
      <c r="H124" s="1843"/>
      <c r="O124" s="84"/>
      <c r="P124" s="84"/>
    </row>
    <row r="125" spans="1:16" s="1237" customFormat="1">
      <c r="A125" s="2116"/>
      <c r="D125" s="1843"/>
      <c r="E125" s="1843"/>
      <c r="F125" s="1843"/>
      <c r="G125" s="1843"/>
      <c r="H125" s="1843"/>
      <c r="O125" s="84"/>
      <c r="P125" s="84"/>
    </row>
    <row r="126" spans="1:16" s="1237" customFormat="1">
      <c r="A126" s="2116"/>
      <c r="D126" s="1843"/>
      <c r="E126" s="1843"/>
      <c r="F126" s="1843"/>
      <c r="G126" s="1843"/>
      <c r="H126" s="1843"/>
      <c r="O126" s="84"/>
      <c r="P126" s="84"/>
    </row>
    <row r="127" spans="1:16" s="1237" customFormat="1">
      <c r="A127" s="2116"/>
      <c r="D127" s="1843"/>
      <c r="E127" s="1843"/>
      <c r="F127" s="1843"/>
      <c r="G127" s="1843"/>
      <c r="H127" s="1843"/>
      <c r="O127" s="84"/>
      <c r="P127" s="84"/>
    </row>
    <row r="128" spans="1:16" s="1237" customFormat="1">
      <c r="A128" s="2116"/>
      <c r="D128" s="1843"/>
      <c r="E128" s="1843"/>
      <c r="F128" s="1843"/>
      <c r="G128" s="1843"/>
      <c r="H128" s="1843"/>
      <c r="O128" s="84"/>
      <c r="P128" s="84"/>
    </row>
    <row r="129" spans="1:16" s="1237" customFormat="1">
      <c r="A129" s="2116"/>
      <c r="D129" s="1843"/>
      <c r="E129" s="1843"/>
      <c r="F129" s="1843"/>
      <c r="G129" s="1843"/>
      <c r="H129" s="1843"/>
      <c r="O129" s="84"/>
      <c r="P129" s="84"/>
    </row>
    <row r="130" spans="1:16" s="1237" customFormat="1">
      <c r="A130" s="2116"/>
      <c r="D130" s="1843"/>
      <c r="E130" s="1843"/>
      <c r="F130" s="1843"/>
      <c r="G130" s="1843"/>
      <c r="H130" s="1843"/>
      <c r="O130" s="84"/>
      <c r="P130" s="84"/>
    </row>
    <row r="131" spans="1:16" s="1237" customFormat="1">
      <c r="A131" s="2116"/>
      <c r="D131" s="1843"/>
      <c r="E131" s="1843"/>
      <c r="F131" s="1843"/>
      <c r="G131" s="1843"/>
      <c r="H131" s="1843"/>
      <c r="O131" s="84"/>
      <c r="P131" s="84"/>
    </row>
    <row r="132" spans="1:16" s="1237" customFormat="1">
      <c r="A132" s="2116"/>
      <c r="D132" s="1843"/>
      <c r="E132" s="1843"/>
      <c r="F132" s="1843"/>
      <c r="G132" s="1843"/>
      <c r="H132" s="1843"/>
      <c r="O132" s="84"/>
      <c r="P132" s="84"/>
    </row>
    <row r="133" spans="1:16" s="1237" customFormat="1">
      <c r="A133" s="2116"/>
      <c r="D133" s="1843"/>
      <c r="E133" s="1843"/>
      <c r="F133" s="1843"/>
      <c r="G133" s="1843"/>
      <c r="H133" s="1843"/>
      <c r="O133" s="84"/>
      <c r="P133" s="84"/>
    </row>
    <row r="134" spans="1:16" s="1237" customFormat="1">
      <c r="A134" s="2116"/>
      <c r="D134" s="1843"/>
      <c r="E134" s="1843"/>
      <c r="F134" s="1843"/>
      <c r="G134" s="1843"/>
      <c r="H134" s="1843"/>
      <c r="O134" s="84"/>
      <c r="P134" s="84"/>
    </row>
    <row r="135" spans="1:16" s="1237" customFormat="1">
      <c r="A135" s="2116"/>
      <c r="D135" s="1843"/>
      <c r="E135" s="1843"/>
      <c r="F135" s="1843"/>
      <c r="G135" s="1843"/>
      <c r="H135" s="1843"/>
      <c r="O135" s="84"/>
      <c r="P135" s="84"/>
    </row>
    <row r="136" spans="1:16" s="1237" customFormat="1">
      <c r="A136" s="2116"/>
      <c r="D136" s="1843"/>
      <c r="E136" s="1843"/>
      <c r="F136" s="1843"/>
      <c r="G136" s="1843"/>
      <c r="H136" s="1843"/>
      <c r="O136" s="84"/>
      <c r="P136" s="84"/>
    </row>
    <row r="137" spans="1:16" s="1237" customFormat="1">
      <c r="A137" s="2116"/>
      <c r="D137" s="1843"/>
      <c r="E137" s="1843"/>
      <c r="F137" s="1843"/>
      <c r="G137" s="1843"/>
      <c r="H137" s="1843"/>
      <c r="O137" s="84"/>
      <c r="P137" s="84"/>
    </row>
    <row r="138" spans="1:16" s="1237" customFormat="1">
      <c r="A138" s="2116"/>
      <c r="D138" s="1843"/>
      <c r="E138" s="1843"/>
      <c r="F138" s="1843"/>
      <c r="G138" s="1843"/>
      <c r="H138" s="1843"/>
      <c r="O138" s="84"/>
      <c r="P138" s="84"/>
    </row>
    <row r="139" spans="1:16" s="1237" customFormat="1">
      <c r="A139" s="2116"/>
      <c r="D139" s="1843"/>
      <c r="E139" s="1843"/>
      <c r="F139" s="1843"/>
      <c r="G139" s="1843"/>
      <c r="H139" s="1843"/>
      <c r="O139" s="84"/>
      <c r="P139" s="84"/>
    </row>
    <row r="140" spans="1:16" s="1237" customFormat="1">
      <c r="A140" s="2116"/>
      <c r="D140" s="1843"/>
      <c r="E140" s="1843"/>
      <c r="F140" s="1843"/>
      <c r="G140" s="1843"/>
      <c r="H140" s="1843"/>
      <c r="O140" s="84"/>
      <c r="P140" s="84"/>
    </row>
    <row r="141" spans="1:16" s="1237" customFormat="1">
      <c r="A141" s="2116"/>
      <c r="D141" s="1843"/>
      <c r="E141" s="1843"/>
      <c r="F141" s="1843"/>
      <c r="G141" s="1843"/>
      <c r="H141" s="1843"/>
      <c r="O141" s="84"/>
      <c r="P141" s="84"/>
    </row>
    <row r="142" spans="1:16" s="1237" customFormat="1">
      <c r="A142" s="2116"/>
      <c r="D142" s="1843"/>
      <c r="E142" s="1843"/>
      <c r="F142" s="1843"/>
      <c r="G142" s="1843"/>
      <c r="H142" s="1843"/>
      <c r="O142" s="84"/>
      <c r="P142" s="84"/>
    </row>
    <row r="143" spans="1:16" s="1237" customFormat="1">
      <c r="A143" s="2116"/>
      <c r="D143" s="1843"/>
      <c r="E143" s="1843"/>
      <c r="F143" s="1843"/>
      <c r="G143" s="1843"/>
      <c r="H143" s="1843"/>
      <c r="O143" s="84"/>
      <c r="P143" s="84"/>
    </row>
    <row r="144" spans="1:16" s="1237" customFormat="1">
      <c r="A144" s="2116"/>
      <c r="D144" s="1843"/>
      <c r="E144" s="1843"/>
      <c r="F144" s="1843"/>
      <c r="G144" s="1843"/>
      <c r="H144" s="1843"/>
      <c r="O144" s="84"/>
      <c r="P144" s="84"/>
    </row>
    <row r="145" spans="1:16" s="1237" customFormat="1">
      <c r="A145" s="2116"/>
      <c r="D145" s="1843"/>
      <c r="E145" s="1843"/>
      <c r="F145" s="1843"/>
      <c r="G145" s="1843"/>
      <c r="H145" s="1843"/>
      <c r="O145" s="84"/>
      <c r="P145" s="84"/>
    </row>
    <row r="146" spans="1:16" s="1237" customFormat="1">
      <c r="A146" s="2116"/>
      <c r="D146" s="1843"/>
      <c r="E146" s="1843"/>
      <c r="F146" s="1843"/>
      <c r="G146" s="1843"/>
      <c r="H146" s="1843"/>
      <c r="O146" s="84"/>
      <c r="P146" s="84"/>
    </row>
    <row r="147" spans="1:16" s="1237" customFormat="1">
      <c r="A147" s="2116"/>
      <c r="D147" s="1843"/>
      <c r="E147" s="1843"/>
      <c r="F147" s="1843"/>
      <c r="G147" s="1843"/>
      <c r="H147" s="1843"/>
      <c r="O147" s="84"/>
      <c r="P147" s="84"/>
    </row>
    <row r="148" spans="1:16" s="1237" customFormat="1">
      <c r="A148" s="2116"/>
      <c r="D148" s="1843"/>
      <c r="E148" s="1843"/>
      <c r="F148" s="1843"/>
      <c r="G148" s="1843"/>
      <c r="H148" s="1843"/>
      <c r="O148" s="84"/>
      <c r="P148" s="84"/>
    </row>
    <row r="149" spans="1:16" s="1237" customFormat="1">
      <c r="A149" s="2116"/>
      <c r="D149" s="1843"/>
      <c r="E149" s="1843"/>
      <c r="F149" s="1843"/>
      <c r="G149" s="1843"/>
      <c r="H149" s="1843"/>
      <c r="O149" s="84"/>
      <c r="P149" s="84"/>
    </row>
    <row r="150" spans="1:16" s="1237" customFormat="1">
      <c r="A150" s="2116"/>
      <c r="D150" s="1843"/>
      <c r="E150" s="1843"/>
      <c r="F150" s="1843"/>
      <c r="G150" s="1843"/>
      <c r="H150" s="1843"/>
      <c r="O150" s="84"/>
      <c r="P150" s="84"/>
    </row>
    <row r="151" spans="1:16" s="1237" customFormat="1">
      <c r="A151" s="2116"/>
      <c r="D151" s="1843"/>
      <c r="E151" s="1843"/>
      <c r="F151" s="1843"/>
      <c r="G151" s="1843"/>
      <c r="H151" s="1843"/>
      <c r="O151" s="84"/>
      <c r="P151" s="84"/>
    </row>
    <row r="152" spans="1:16" s="1237" customFormat="1">
      <c r="A152" s="2116"/>
      <c r="D152" s="1843"/>
      <c r="E152" s="1843"/>
      <c r="F152" s="1843"/>
      <c r="G152" s="1843"/>
      <c r="H152" s="1843"/>
      <c r="O152" s="84"/>
      <c r="P152" s="84"/>
    </row>
    <row r="153" spans="1:16" s="1237" customFormat="1">
      <c r="A153" s="2117"/>
      <c r="B153" s="2063"/>
      <c r="D153" s="1843"/>
      <c r="E153" s="1843"/>
      <c r="F153" s="1843"/>
      <c r="G153" s="1843"/>
      <c r="H153" s="1843"/>
      <c r="O153" s="84"/>
      <c r="P153" s="84"/>
    </row>
    <row r="154" spans="1:16" s="1237" customFormat="1">
      <c r="A154" s="2117"/>
      <c r="B154" s="2063"/>
      <c r="D154" s="1843"/>
      <c r="E154" s="1843"/>
      <c r="F154" s="1843"/>
      <c r="G154" s="1843"/>
      <c r="H154" s="1843"/>
      <c r="O154" s="84"/>
      <c r="P154" s="84"/>
    </row>
    <row r="155" spans="1:16">
      <c r="D155" s="1843"/>
      <c r="E155" s="184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902" t="s">
        <v>1723</v>
      </c>
      <c r="B1" s="2903"/>
      <c r="C1" s="2903"/>
      <c r="D1" s="2903"/>
      <c r="E1" s="2903"/>
      <c r="F1" s="2903"/>
      <c r="G1" s="2903"/>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1724</v>
      </c>
      <c r="D2" s="2128"/>
      <c r="E2" s="2129"/>
      <c r="F2" s="2130"/>
      <c r="G2" s="2127" t="s">
        <v>1725</v>
      </c>
      <c r="H2" s="2131"/>
      <c r="I2" s="2131"/>
      <c r="J2" s="2131"/>
      <c r="K2" s="2131"/>
      <c r="L2" s="2131"/>
      <c r="M2" s="2131"/>
      <c r="N2" s="2131"/>
      <c r="O2" s="2131"/>
      <c r="P2" s="2131"/>
      <c r="Q2" s="2131"/>
      <c r="R2" s="2131"/>
    </row>
    <row r="3" spans="1:29" ht="54">
      <c r="A3" s="395" t="s">
        <v>1726</v>
      </c>
      <c r="B3" s="2133" t="s">
        <v>1727</v>
      </c>
      <c r="C3" s="2134" t="s">
        <v>1728</v>
      </c>
      <c r="D3" s="2135"/>
      <c r="E3" s="411" t="s">
        <v>1726</v>
      </c>
      <c r="F3" s="2136" t="s">
        <v>1729</v>
      </c>
      <c r="G3" s="2137" t="s">
        <v>1730</v>
      </c>
      <c r="H3" s="2131"/>
      <c r="I3" s="2131"/>
      <c r="J3" s="2131"/>
      <c r="K3" s="2131"/>
      <c r="L3" s="2131"/>
      <c r="M3" s="2131"/>
      <c r="N3" s="2131"/>
      <c r="O3" s="2131"/>
      <c r="P3" s="2131"/>
      <c r="Q3" s="2131"/>
      <c r="R3" s="2131"/>
    </row>
    <row r="4" spans="1:29" ht="54">
      <c r="A4" s="411"/>
      <c r="B4" s="1877" t="s">
        <v>1731</v>
      </c>
      <c r="C4" s="2785" t="s">
        <v>2956</v>
      </c>
      <c r="D4" s="2135"/>
      <c r="E4" s="2138"/>
      <c r="F4" s="2139" t="s">
        <v>1732</v>
      </c>
      <c r="G4" s="2140" t="s">
        <v>1733</v>
      </c>
      <c r="H4" s="2131"/>
      <c r="I4" s="2131"/>
      <c r="J4" s="2131"/>
      <c r="K4" s="2131"/>
      <c r="L4" s="2131"/>
      <c r="M4" s="2131"/>
      <c r="N4" s="2131"/>
      <c r="O4" s="2131"/>
      <c r="P4" s="2131"/>
      <c r="Q4" s="2131"/>
      <c r="R4" s="2131"/>
    </row>
    <row r="5" spans="1:29" ht="40.5">
      <c r="A5" s="411"/>
      <c r="B5" s="1877" t="s">
        <v>1734</v>
      </c>
      <c r="C5" s="2785" t="s">
        <v>2958</v>
      </c>
      <c r="D5" s="2135"/>
      <c r="E5" s="2138"/>
      <c r="F5" s="1877" t="s">
        <v>1735</v>
      </c>
      <c r="G5" s="2140" t="s">
        <v>1736</v>
      </c>
      <c r="H5" s="2131"/>
      <c r="I5" s="2131"/>
      <c r="J5" s="2131"/>
      <c r="K5" s="2131"/>
      <c r="L5" s="2131"/>
      <c r="M5" s="2131"/>
      <c r="N5" s="2131"/>
      <c r="O5" s="2131"/>
      <c r="P5" s="2131"/>
      <c r="Q5" s="2131"/>
      <c r="R5" s="2131"/>
    </row>
    <row r="6" spans="1:29" ht="67.5">
      <c r="A6" s="411"/>
      <c r="B6" s="1877" t="s">
        <v>1737</v>
      </c>
      <c r="C6" s="2786" t="s">
        <v>2957</v>
      </c>
      <c r="D6" s="2135"/>
      <c r="E6" s="2138"/>
      <c r="F6" s="1877" t="s">
        <v>1738</v>
      </c>
      <c r="G6" s="2140" t="s">
        <v>1739</v>
      </c>
      <c r="H6" s="2131"/>
      <c r="I6" s="2131"/>
      <c r="J6" s="2131"/>
      <c r="K6" s="2131"/>
      <c r="L6" s="2131"/>
      <c r="M6" s="2131"/>
      <c r="N6" s="2131"/>
      <c r="O6" s="2131"/>
      <c r="P6" s="2131"/>
      <c r="Q6" s="2131"/>
      <c r="R6" s="2131"/>
    </row>
    <row r="7" spans="1:29" ht="54.75" thickBot="1">
      <c r="A7" s="411"/>
      <c r="B7" s="1877" t="s">
        <v>1735</v>
      </c>
      <c r="C7" s="2786" t="s">
        <v>2961</v>
      </c>
      <c r="D7" s="2141"/>
      <c r="E7" s="2142"/>
      <c r="F7" s="2143" t="s">
        <v>1740</v>
      </c>
      <c r="G7" s="2144" t="s">
        <v>1741</v>
      </c>
      <c r="H7" s="2131"/>
      <c r="I7" s="2131"/>
      <c r="J7" s="2131"/>
      <c r="K7" s="2131"/>
      <c r="L7" s="2131"/>
      <c r="M7" s="2131"/>
      <c r="N7" s="2131"/>
      <c r="O7" s="2131"/>
      <c r="P7" s="2131"/>
      <c r="Q7" s="2131"/>
      <c r="R7" s="2131"/>
    </row>
    <row r="8" spans="1:29" ht="15">
      <c r="A8" s="411"/>
      <c r="B8" s="1877" t="s">
        <v>1738</v>
      </c>
      <c r="C8" s="2786" t="s">
        <v>2960</v>
      </c>
      <c r="D8" s="2141"/>
      <c r="E8" s="2141"/>
      <c r="F8" s="1246"/>
      <c r="G8" s="1246"/>
      <c r="H8" s="2131"/>
      <c r="I8" s="2131"/>
      <c r="J8" s="2131"/>
      <c r="K8" s="2131"/>
      <c r="L8" s="2131"/>
      <c r="M8" s="2131"/>
      <c r="N8" s="2131"/>
      <c r="O8" s="2131"/>
      <c r="P8" s="2131"/>
      <c r="Q8" s="2131"/>
      <c r="R8" s="2131"/>
    </row>
    <row r="9" spans="1:29" ht="40.5">
      <c r="A9" s="411"/>
      <c r="B9" s="1877" t="s">
        <v>1742</v>
      </c>
      <c r="C9" s="2785" t="s">
        <v>2963</v>
      </c>
      <c r="D9" s="2135"/>
      <c r="E9" s="2141"/>
      <c r="F9" s="1246"/>
      <c r="G9" s="1246"/>
      <c r="H9" s="2131"/>
      <c r="I9" s="2131"/>
      <c r="J9" s="2131"/>
      <c r="K9" s="2131"/>
      <c r="L9" s="2131"/>
      <c r="M9" s="2131"/>
      <c r="N9" s="2131"/>
      <c r="O9" s="2131"/>
      <c r="P9" s="2131"/>
      <c r="Q9" s="2131"/>
      <c r="R9" s="2131"/>
    </row>
    <row r="10" spans="1:29" s="35" customFormat="1" ht="27.75" thickBot="1">
      <c r="A10" s="2145"/>
      <c r="B10" s="2146" t="s">
        <v>1743</v>
      </c>
      <c r="C10" s="2787" t="s">
        <v>2962</v>
      </c>
      <c r="D10" s="2135"/>
      <c r="E10" s="2135"/>
      <c r="F10" s="1246"/>
      <c r="G10" s="1246"/>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5"/>
      <c r="D11" s="2135"/>
      <c r="E11" s="2135"/>
      <c r="F11" s="2141"/>
      <c r="G11" s="1266"/>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5"/>
      <c r="D12" s="2151"/>
      <c r="E12" s="2135"/>
      <c r="F12" s="2141"/>
      <c r="G12" s="1266"/>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1744</v>
      </c>
      <c r="B13" s="2151"/>
      <c r="C13" s="2151"/>
      <c r="D13" s="2128"/>
      <c r="E13" s="2151"/>
      <c r="F13" s="2151"/>
      <c r="G13" s="2151"/>
    </row>
    <row r="14" spans="1:29" ht="15.75" thickBot="1">
      <c r="A14" s="2161"/>
      <c r="B14" s="2162"/>
      <c r="C14" s="2163" t="s">
        <v>1745</v>
      </c>
      <c r="D14" s="2135"/>
      <c r="E14" s="2164"/>
      <c r="F14" s="2164"/>
      <c r="G14" s="2127" t="s">
        <v>1746</v>
      </c>
    </row>
    <row r="15" spans="1:29" ht="57">
      <c r="A15" s="25" t="s">
        <v>1747</v>
      </c>
      <c r="B15" s="2165" t="s">
        <v>1727</v>
      </c>
      <c r="C15" s="2166" t="str">
        <f>C3</f>
        <v>估价对象周边居住用地比例、居住小区规模和社区发展完善程度，综合评价居住社区成熟度一般</v>
      </c>
      <c r="D15" s="2135"/>
      <c r="E15" s="2167" t="s">
        <v>1748</v>
      </c>
      <c r="F15" s="2165" t="s">
        <v>1749</v>
      </c>
      <c r="G15" s="51" t="str">
        <f>G3</f>
        <v>估价对象位于XX开发区，园区建设成熟度XX，产业集聚程度XX</v>
      </c>
    </row>
    <row r="16" spans="1:29" ht="57">
      <c r="A16" s="629"/>
      <c r="B16" s="1493" t="s">
        <v>1731</v>
      </c>
      <c r="C16" s="2168" t="str">
        <f>C4</f>
        <v>隶属于蓟门桥商圈，周边2公里内有翠微百货（牡丹园店）、花园路百货商场、物美超市等，商业繁华度较好</v>
      </c>
      <c r="D16" s="2135"/>
      <c r="E16" s="2169"/>
      <c r="F16" s="2170" t="s">
        <v>1732</v>
      </c>
      <c r="G16" s="52" t="str">
        <f>G4</f>
        <v>估价对象周边道路状况、公共交通通达情况、停车便捷程度，综合评价交通便捷度较好</v>
      </c>
    </row>
    <row r="17" spans="1:18" ht="42.75">
      <c r="A17" s="629"/>
      <c r="B17" s="1493" t="s">
        <v>1734</v>
      </c>
      <c r="C17" s="2168" t="str">
        <f>C5</f>
        <v>隶属于蓟门桥商圈，周边2公里内写字楼大于10座，办公集聚程度较好</v>
      </c>
      <c r="D17" s="2141"/>
      <c r="E17" s="2169"/>
      <c r="F17" s="2170" t="s">
        <v>1750</v>
      </c>
      <c r="G17" s="2171"/>
    </row>
    <row r="18" spans="1:18" ht="71.25">
      <c r="A18" s="629"/>
      <c r="B18" s="2170" t="s">
        <v>1737</v>
      </c>
      <c r="C18" s="52" t="str">
        <f>C6</f>
        <v>周边2公里内最高级别道路高速公路—G6，周边遍布十余条公交站点及地铁10号线（牡丹园站）等，综合评价交通便捷度较好</v>
      </c>
      <c r="D18" s="2141"/>
      <c r="E18" s="2169"/>
      <c r="F18" s="2170" t="s">
        <v>1740</v>
      </c>
      <c r="G18" s="52" t="str">
        <f>G7</f>
        <v>该园区内是否有污染型企业，绿化情况，卫生条件，整体环境状况判断</v>
      </c>
    </row>
    <row r="19" spans="1:18" ht="28.5">
      <c r="A19" s="629"/>
      <c r="B19" s="2170" t="s">
        <v>1751</v>
      </c>
      <c r="C19" s="2171"/>
      <c r="D19" s="2135"/>
      <c r="E19" s="2169"/>
      <c r="F19" s="1877" t="s">
        <v>1735</v>
      </c>
      <c r="G19" s="52" t="str">
        <f>G5</f>
        <v>估价对象所在区域公共配套设施齐备情况</v>
      </c>
    </row>
    <row r="20" spans="1:18" ht="42.75">
      <c r="A20" s="629"/>
      <c r="B20" s="2170" t="s">
        <v>1752</v>
      </c>
      <c r="C20" s="2168" t="str">
        <f>C9</f>
        <v>区域自然环境：元大都遗址公园；人文环境；综合评价环境状况一般</v>
      </c>
      <c r="D20" s="2141"/>
      <c r="E20" s="2169"/>
      <c r="F20" s="1877" t="s">
        <v>1753</v>
      </c>
      <c r="G20" s="52" t="str">
        <f>G6</f>
        <v>估价对象所在区域基础设施水平</v>
      </c>
    </row>
    <row r="21" spans="1:18" ht="57">
      <c r="A21" s="629"/>
      <c r="B21" s="1877" t="s">
        <v>1735</v>
      </c>
      <c r="C21" s="52" t="str">
        <f>C7</f>
        <v>2公里内有餐饮、医院、超市、购物中心、学校等，估价对象所在区域公共配套设施较齐备</v>
      </c>
      <c r="D21" s="2135"/>
      <c r="E21" s="2169"/>
      <c r="F21" s="2170" t="s">
        <v>1754</v>
      </c>
      <c r="G21" s="2172"/>
    </row>
    <row r="22" spans="1:18" ht="15">
      <c r="A22" s="629"/>
      <c r="B22" s="1877" t="s">
        <v>1738</v>
      </c>
      <c r="C22" s="52" t="str">
        <f>C8</f>
        <v>五通</v>
      </c>
      <c r="D22" s="2135"/>
      <c r="E22" s="2169"/>
      <c r="F22" s="2170" t="s">
        <v>1743</v>
      </c>
      <c r="G22" s="2173"/>
    </row>
    <row r="23" spans="1:18" s="2131" customFormat="1" ht="15.75" thickBot="1">
      <c r="A23" s="629"/>
      <c r="B23" s="2170" t="s">
        <v>1754</v>
      </c>
      <c r="C23" s="2172"/>
      <c r="D23" s="2158"/>
      <c r="E23" s="2174"/>
      <c r="F23" s="2175" t="s">
        <v>1755</v>
      </c>
      <c r="G23" s="2176"/>
      <c r="H23" s="2158"/>
      <c r="I23" s="2159"/>
      <c r="J23" s="2158"/>
      <c r="K23" s="2158"/>
      <c r="L23" s="2159"/>
      <c r="M23" s="2158"/>
      <c r="N23" s="2158"/>
      <c r="O23" s="2159"/>
      <c r="P23" s="2158"/>
      <c r="Q23" s="2158"/>
      <c r="R23" s="2160"/>
    </row>
    <row r="24" spans="1:18" s="2131" customFormat="1" ht="29.25" thickBot="1">
      <c r="A24" s="2177"/>
      <c r="B24" s="2175" t="s">
        <v>1756</v>
      </c>
      <c r="C24" s="53" t="str">
        <f>C10</f>
        <v>城市次干道——花园东路、项目内道路</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7" sqref="D7"/>
    </sheetView>
  </sheetViews>
  <sheetFormatPr defaultRowHeight="13.5"/>
  <cols>
    <col min="1" max="1" width="23.375" style="2803" customWidth="1"/>
    <col min="2" max="9" width="15.75" style="2803" customWidth="1"/>
    <col min="10" max="256" width="9" style="2803"/>
    <col min="257" max="257" width="23.375" style="2803" customWidth="1"/>
    <col min="258" max="265" width="15.75" style="2803" customWidth="1"/>
    <col min="266" max="512" width="9" style="2803"/>
    <col min="513" max="513" width="23.375" style="2803" customWidth="1"/>
    <col min="514" max="521" width="15.75" style="2803" customWidth="1"/>
    <col min="522" max="768" width="9" style="2803"/>
    <col min="769" max="769" width="23.375" style="2803" customWidth="1"/>
    <col min="770" max="777" width="15.75" style="2803" customWidth="1"/>
    <col min="778" max="1024" width="9" style="2803"/>
    <col min="1025" max="1025" width="23.375" style="2803" customWidth="1"/>
    <col min="1026" max="1033" width="15.75" style="2803" customWidth="1"/>
    <col min="1034" max="1280" width="9" style="2803"/>
    <col min="1281" max="1281" width="23.375" style="2803" customWidth="1"/>
    <col min="1282" max="1289" width="15.75" style="2803" customWidth="1"/>
    <col min="1290" max="1536" width="9" style="2803"/>
    <col min="1537" max="1537" width="23.375" style="2803" customWidth="1"/>
    <col min="1538" max="1545" width="15.75" style="2803" customWidth="1"/>
    <col min="1546" max="1792" width="9" style="2803"/>
    <col min="1793" max="1793" width="23.375" style="2803" customWidth="1"/>
    <col min="1794" max="1801" width="15.75" style="2803" customWidth="1"/>
    <col min="1802" max="2048" width="9" style="2803"/>
    <col min="2049" max="2049" width="23.375" style="2803" customWidth="1"/>
    <col min="2050" max="2057" width="15.75" style="2803" customWidth="1"/>
    <col min="2058" max="2304" width="9" style="2803"/>
    <col min="2305" max="2305" width="23.375" style="2803" customWidth="1"/>
    <col min="2306" max="2313" width="15.75" style="2803" customWidth="1"/>
    <col min="2314" max="2560" width="9" style="2803"/>
    <col min="2561" max="2561" width="23.375" style="2803" customWidth="1"/>
    <col min="2562" max="2569" width="15.75" style="2803" customWidth="1"/>
    <col min="2570" max="2816" width="9" style="2803"/>
    <col min="2817" max="2817" width="23.375" style="2803" customWidth="1"/>
    <col min="2818" max="2825" width="15.75" style="2803" customWidth="1"/>
    <col min="2826" max="3072" width="9" style="2803"/>
    <col min="3073" max="3073" width="23.375" style="2803" customWidth="1"/>
    <col min="3074" max="3081" width="15.75" style="2803" customWidth="1"/>
    <col min="3082" max="3328" width="9" style="2803"/>
    <col min="3329" max="3329" width="23.375" style="2803" customWidth="1"/>
    <col min="3330" max="3337" width="15.75" style="2803" customWidth="1"/>
    <col min="3338" max="3584" width="9" style="2803"/>
    <col min="3585" max="3585" width="23.375" style="2803" customWidth="1"/>
    <col min="3586" max="3593" width="15.75" style="2803" customWidth="1"/>
    <col min="3594" max="3840" width="9" style="2803"/>
    <col min="3841" max="3841" width="23.375" style="2803" customWidth="1"/>
    <col min="3842" max="3849" width="15.75" style="2803" customWidth="1"/>
    <col min="3850" max="4096" width="9" style="2803"/>
    <col min="4097" max="4097" width="23.375" style="2803" customWidth="1"/>
    <col min="4098" max="4105" width="15.75" style="2803" customWidth="1"/>
    <col min="4106" max="4352" width="9" style="2803"/>
    <col min="4353" max="4353" width="23.375" style="2803" customWidth="1"/>
    <col min="4354" max="4361" width="15.75" style="2803" customWidth="1"/>
    <col min="4362" max="4608" width="9" style="2803"/>
    <col min="4609" max="4609" width="23.375" style="2803" customWidth="1"/>
    <col min="4610" max="4617" width="15.75" style="2803" customWidth="1"/>
    <col min="4618" max="4864" width="9" style="2803"/>
    <col min="4865" max="4865" width="23.375" style="2803" customWidth="1"/>
    <col min="4866" max="4873" width="15.75" style="2803" customWidth="1"/>
    <col min="4874" max="5120" width="9" style="2803"/>
    <col min="5121" max="5121" width="23.375" style="2803" customWidth="1"/>
    <col min="5122" max="5129" width="15.75" style="2803" customWidth="1"/>
    <col min="5130" max="5376" width="9" style="2803"/>
    <col min="5377" max="5377" width="23.375" style="2803" customWidth="1"/>
    <col min="5378" max="5385" width="15.75" style="2803" customWidth="1"/>
    <col min="5386" max="5632" width="9" style="2803"/>
    <col min="5633" max="5633" width="23.375" style="2803" customWidth="1"/>
    <col min="5634" max="5641" width="15.75" style="2803" customWidth="1"/>
    <col min="5642" max="5888" width="9" style="2803"/>
    <col min="5889" max="5889" width="23.375" style="2803" customWidth="1"/>
    <col min="5890" max="5897" width="15.75" style="2803" customWidth="1"/>
    <col min="5898" max="6144" width="9" style="2803"/>
    <col min="6145" max="6145" width="23.375" style="2803" customWidth="1"/>
    <col min="6146" max="6153" width="15.75" style="2803" customWidth="1"/>
    <col min="6154" max="6400" width="9" style="2803"/>
    <col min="6401" max="6401" width="23.375" style="2803" customWidth="1"/>
    <col min="6402" max="6409" width="15.75" style="2803" customWidth="1"/>
    <col min="6410" max="6656" width="9" style="2803"/>
    <col min="6657" max="6657" width="23.375" style="2803" customWidth="1"/>
    <col min="6658" max="6665" width="15.75" style="2803" customWidth="1"/>
    <col min="6666" max="6912" width="9" style="2803"/>
    <col min="6913" max="6913" width="23.375" style="2803" customWidth="1"/>
    <col min="6914" max="6921" width="15.75" style="2803" customWidth="1"/>
    <col min="6922" max="7168" width="9" style="2803"/>
    <col min="7169" max="7169" width="23.375" style="2803" customWidth="1"/>
    <col min="7170" max="7177" width="15.75" style="2803" customWidth="1"/>
    <col min="7178" max="7424" width="9" style="2803"/>
    <col min="7425" max="7425" width="23.375" style="2803" customWidth="1"/>
    <col min="7426" max="7433" width="15.75" style="2803" customWidth="1"/>
    <col min="7434" max="7680" width="9" style="2803"/>
    <col min="7681" max="7681" width="23.375" style="2803" customWidth="1"/>
    <col min="7682" max="7689" width="15.75" style="2803" customWidth="1"/>
    <col min="7690" max="7936" width="9" style="2803"/>
    <col min="7937" max="7937" width="23.375" style="2803" customWidth="1"/>
    <col min="7938" max="7945" width="15.75" style="2803" customWidth="1"/>
    <col min="7946" max="8192" width="9" style="2803"/>
    <col min="8193" max="8193" width="23.375" style="2803" customWidth="1"/>
    <col min="8194" max="8201" width="15.75" style="2803" customWidth="1"/>
    <col min="8202" max="8448" width="9" style="2803"/>
    <col min="8449" max="8449" width="23.375" style="2803" customWidth="1"/>
    <col min="8450" max="8457" width="15.75" style="2803" customWidth="1"/>
    <col min="8458" max="8704" width="9" style="2803"/>
    <col min="8705" max="8705" width="23.375" style="2803" customWidth="1"/>
    <col min="8706" max="8713" width="15.75" style="2803" customWidth="1"/>
    <col min="8714" max="8960" width="9" style="2803"/>
    <col min="8961" max="8961" width="23.375" style="2803" customWidth="1"/>
    <col min="8962" max="8969" width="15.75" style="2803" customWidth="1"/>
    <col min="8970" max="9216" width="9" style="2803"/>
    <col min="9217" max="9217" width="23.375" style="2803" customWidth="1"/>
    <col min="9218" max="9225" width="15.75" style="2803" customWidth="1"/>
    <col min="9226" max="9472" width="9" style="2803"/>
    <col min="9473" max="9473" width="23.375" style="2803" customWidth="1"/>
    <col min="9474" max="9481" width="15.75" style="2803" customWidth="1"/>
    <col min="9482" max="9728" width="9" style="2803"/>
    <col min="9729" max="9729" width="23.375" style="2803" customWidth="1"/>
    <col min="9730" max="9737" width="15.75" style="2803" customWidth="1"/>
    <col min="9738" max="9984" width="9" style="2803"/>
    <col min="9985" max="9985" width="23.375" style="2803" customWidth="1"/>
    <col min="9986" max="9993" width="15.75" style="2803" customWidth="1"/>
    <col min="9994" max="10240" width="9" style="2803"/>
    <col min="10241" max="10241" width="23.375" style="2803" customWidth="1"/>
    <col min="10242" max="10249" width="15.75" style="2803" customWidth="1"/>
    <col min="10250" max="10496" width="9" style="2803"/>
    <col min="10497" max="10497" width="23.375" style="2803" customWidth="1"/>
    <col min="10498" max="10505" width="15.75" style="2803" customWidth="1"/>
    <col min="10506" max="10752" width="9" style="2803"/>
    <col min="10753" max="10753" width="23.375" style="2803" customWidth="1"/>
    <col min="10754" max="10761" width="15.75" style="2803" customWidth="1"/>
    <col min="10762" max="11008" width="9" style="2803"/>
    <col min="11009" max="11009" width="23.375" style="2803" customWidth="1"/>
    <col min="11010" max="11017" width="15.75" style="2803" customWidth="1"/>
    <col min="11018" max="11264" width="9" style="2803"/>
    <col min="11265" max="11265" width="23.375" style="2803" customWidth="1"/>
    <col min="11266" max="11273" width="15.75" style="2803" customWidth="1"/>
    <col min="11274" max="11520" width="9" style="2803"/>
    <col min="11521" max="11521" width="23.375" style="2803" customWidth="1"/>
    <col min="11522" max="11529" width="15.75" style="2803" customWidth="1"/>
    <col min="11530" max="11776" width="9" style="2803"/>
    <col min="11777" max="11777" width="23.375" style="2803" customWidth="1"/>
    <col min="11778" max="11785" width="15.75" style="2803" customWidth="1"/>
    <col min="11786" max="12032" width="9" style="2803"/>
    <col min="12033" max="12033" width="23.375" style="2803" customWidth="1"/>
    <col min="12034" max="12041" width="15.75" style="2803" customWidth="1"/>
    <col min="12042" max="12288" width="9" style="2803"/>
    <col min="12289" max="12289" width="23.375" style="2803" customWidth="1"/>
    <col min="12290" max="12297" width="15.75" style="2803" customWidth="1"/>
    <col min="12298" max="12544" width="9" style="2803"/>
    <col min="12545" max="12545" width="23.375" style="2803" customWidth="1"/>
    <col min="12546" max="12553" width="15.75" style="2803" customWidth="1"/>
    <col min="12554" max="12800" width="9" style="2803"/>
    <col min="12801" max="12801" width="23.375" style="2803" customWidth="1"/>
    <col min="12802" max="12809" width="15.75" style="2803" customWidth="1"/>
    <col min="12810" max="13056" width="9" style="2803"/>
    <col min="13057" max="13057" width="23.375" style="2803" customWidth="1"/>
    <col min="13058" max="13065" width="15.75" style="2803" customWidth="1"/>
    <col min="13066" max="13312" width="9" style="2803"/>
    <col min="13313" max="13313" width="23.375" style="2803" customWidth="1"/>
    <col min="13314" max="13321" width="15.75" style="2803" customWidth="1"/>
    <col min="13322" max="13568" width="9" style="2803"/>
    <col min="13569" max="13569" width="23.375" style="2803" customWidth="1"/>
    <col min="13570" max="13577" width="15.75" style="2803" customWidth="1"/>
    <col min="13578" max="13824" width="9" style="2803"/>
    <col min="13825" max="13825" width="23.375" style="2803" customWidth="1"/>
    <col min="13826" max="13833" width="15.75" style="2803" customWidth="1"/>
    <col min="13834" max="14080" width="9" style="2803"/>
    <col min="14081" max="14081" width="23.375" style="2803" customWidth="1"/>
    <col min="14082" max="14089" width="15.75" style="2803" customWidth="1"/>
    <col min="14090" max="14336" width="9" style="2803"/>
    <col min="14337" max="14337" width="23.375" style="2803" customWidth="1"/>
    <col min="14338" max="14345" width="15.75" style="2803" customWidth="1"/>
    <col min="14346" max="14592" width="9" style="2803"/>
    <col min="14593" max="14593" width="23.375" style="2803" customWidth="1"/>
    <col min="14594" max="14601" width="15.75" style="2803" customWidth="1"/>
    <col min="14602" max="14848" width="9" style="2803"/>
    <col min="14849" max="14849" width="23.375" style="2803" customWidth="1"/>
    <col min="14850" max="14857" width="15.75" style="2803" customWidth="1"/>
    <col min="14858" max="15104" width="9" style="2803"/>
    <col min="15105" max="15105" width="23.375" style="2803" customWidth="1"/>
    <col min="15106" max="15113" width="15.75" style="2803" customWidth="1"/>
    <col min="15114" max="15360" width="9" style="2803"/>
    <col min="15361" max="15361" width="23.375" style="2803" customWidth="1"/>
    <col min="15362" max="15369" width="15.75" style="2803" customWidth="1"/>
    <col min="15370" max="15616" width="9" style="2803"/>
    <col min="15617" max="15617" width="23.375" style="2803" customWidth="1"/>
    <col min="15618" max="15625" width="15.75" style="2803" customWidth="1"/>
    <col min="15626" max="15872" width="9" style="2803"/>
    <col min="15873" max="15873" width="23.375" style="2803" customWidth="1"/>
    <col min="15874" max="15881" width="15.75" style="2803" customWidth="1"/>
    <col min="15882" max="16128" width="9" style="2803"/>
    <col min="16129" max="16129" width="23.375" style="2803" customWidth="1"/>
    <col min="16130" max="16137" width="15.75" style="2803" customWidth="1"/>
    <col min="16138" max="16384" width="9" style="2803"/>
  </cols>
  <sheetData>
    <row r="1" spans="1:10" ht="16.5">
      <c r="A1" s="2800" t="s">
        <v>3036</v>
      </c>
      <c r="B1" s="2815">
        <f>'收益法（反）'!E44+'收益法（反）'!E45</f>
        <v>214</v>
      </c>
      <c r="C1" s="2801"/>
      <c r="D1" s="2801"/>
      <c r="E1" s="2801"/>
      <c r="F1" s="2801"/>
      <c r="G1" s="2802"/>
    </row>
    <row r="2" spans="1:10" ht="16.5">
      <c r="A2" s="2800" t="s">
        <v>3037</v>
      </c>
      <c r="B2" s="2800">
        <v>0</v>
      </c>
      <c r="C2" s="2801"/>
      <c r="D2" s="2801"/>
      <c r="E2" s="2801"/>
      <c r="F2" s="2801"/>
      <c r="G2" s="2802"/>
    </row>
    <row r="3" spans="1:10" ht="16.5">
      <c r="A3" s="2800" t="s">
        <v>3038</v>
      </c>
      <c r="B3" s="2804">
        <f>'数据-取费表'!B2</f>
        <v>43077</v>
      </c>
      <c r="C3" s="2801"/>
      <c r="D3" s="2801"/>
      <c r="E3" s="2801"/>
      <c r="F3" s="2801"/>
      <c r="G3" s="2802"/>
    </row>
    <row r="4" spans="1:10" ht="33">
      <c r="A4" s="2800" t="s">
        <v>1227</v>
      </c>
      <c r="B4" s="2800" t="s">
        <v>1228</v>
      </c>
      <c r="C4" s="2800" t="s">
        <v>1229</v>
      </c>
      <c r="D4" s="2800" t="s">
        <v>3039</v>
      </c>
      <c r="E4" s="2801"/>
      <c r="F4" s="2802"/>
      <c r="G4" s="2802"/>
    </row>
    <row r="5" spans="1:10" ht="16.5">
      <c r="A5" s="2800" t="s">
        <v>1230</v>
      </c>
      <c r="B5" s="2800">
        <f ca="1">成本法!C52</f>
        <v>4926658</v>
      </c>
      <c r="C5" s="2800">
        <f ca="1">ROUND(B5/$B$1,0)</f>
        <v>23022</v>
      </c>
      <c r="D5" s="2800">
        <f ca="1">C5</f>
        <v>23022</v>
      </c>
      <c r="E5" s="2801"/>
      <c r="F5" s="2802"/>
      <c r="G5" s="2802"/>
    </row>
    <row r="6" spans="1:10" ht="16.5">
      <c r="A6" s="2800" t="s">
        <v>1231</v>
      </c>
      <c r="B6" s="2800">
        <f ca="1">B5</f>
        <v>4926658</v>
      </c>
      <c r="C6" s="2800">
        <f ca="1">ROUND(B6/$B$1,0)</f>
        <v>23022</v>
      </c>
      <c r="D6" s="2800">
        <f ca="1">C6</f>
        <v>23022</v>
      </c>
      <c r="E6" s="2801"/>
      <c r="F6" s="2802"/>
      <c r="G6" s="2802"/>
    </row>
    <row r="7" spans="1:10" ht="16.5">
      <c r="A7" s="2800" t="s">
        <v>3040</v>
      </c>
      <c r="B7" s="2800">
        <f>SUM(H14:H23)</f>
        <v>0</v>
      </c>
      <c r="C7" s="2800">
        <f>ROUND(B7*10000/$B$1,0)</f>
        <v>0</v>
      </c>
      <c r="D7" s="2800" t="e">
        <f>ROUND(B7*10000/$B$2,0)</f>
        <v>#DIV/0!</v>
      </c>
      <c r="E7" s="2801"/>
      <c r="F7" s="2802"/>
      <c r="G7" s="2802"/>
    </row>
    <row r="8" spans="1:10" ht="16.5">
      <c r="A8" s="2800" t="s">
        <v>1232</v>
      </c>
      <c r="B8" s="2800">
        <f>SUM(I14:I23)</f>
        <v>0</v>
      </c>
      <c r="C8" s="2800">
        <f>ROUND(B8*10000/$B$1,0)</f>
        <v>0</v>
      </c>
      <c r="D8" s="2800" t="e">
        <f>ROUND(B8*10000/$B$2,0)</f>
        <v>#DIV/0!</v>
      </c>
      <c r="E8" s="2801"/>
      <c r="F8" s="2802"/>
      <c r="G8" s="2802"/>
    </row>
    <row r="9" spans="1:10" ht="16.5">
      <c r="A9" s="2800" t="s">
        <v>3041</v>
      </c>
      <c r="B9" s="2805"/>
      <c r="C9" s="2801"/>
      <c r="D9" s="2801"/>
      <c r="E9" s="2801"/>
      <c r="F9" s="2802"/>
      <c r="G9" s="2802"/>
    </row>
    <row r="10" spans="1:10" ht="16.5">
      <c r="A10" s="2800" t="s">
        <v>3042</v>
      </c>
      <c r="B10" s="2805">
        <v>4.0999999999999996</v>
      </c>
      <c r="C10" s="2801"/>
      <c r="D10" s="2801"/>
      <c r="E10" s="2801"/>
      <c r="F10" s="2802"/>
      <c r="G10" s="2802"/>
    </row>
    <row r="11" spans="1:10" ht="16.5">
      <c r="A11" s="2800" t="s">
        <v>3043</v>
      </c>
      <c r="B11" s="2805"/>
      <c r="C11" s="2801"/>
      <c r="D11" s="2801"/>
      <c r="E11" s="2801"/>
      <c r="F11" s="2802"/>
      <c r="G11" s="2802"/>
    </row>
    <row r="12" spans="1:10" ht="16.5">
      <c r="A12" s="2801"/>
      <c r="B12" s="2801"/>
      <c r="C12" s="2801"/>
      <c r="D12" s="2801"/>
      <c r="E12" s="2801"/>
      <c r="F12" s="2802"/>
      <c r="G12" s="2802"/>
    </row>
    <row r="13" spans="1:10" ht="33">
      <c r="A13" s="2806" t="s">
        <v>3044</v>
      </c>
      <c r="B13" s="2807" t="s">
        <v>3045</v>
      </c>
      <c r="C13" s="2807" t="s">
        <v>3046</v>
      </c>
      <c r="D13" s="2807" t="s">
        <v>3047</v>
      </c>
      <c r="E13" s="2800" t="s">
        <v>1229</v>
      </c>
      <c r="F13" s="2800" t="s">
        <v>3048</v>
      </c>
      <c r="G13" s="2807" t="s">
        <v>3049</v>
      </c>
      <c r="H13" s="2807" t="s">
        <v>3050</v>
      </c>
      <c r="I13" s="2807" t="s">
        <v>3051</v>
      </c>
      <c r="J13" s="2802"/>
    </row>
    <row r="14" spans="1:10" ht="16.5">
      <c r="A14" s="2808" t="s">
        <v>3052</v>
      </c>
      <c r="B14" s="2807">
        <f>'[1]数据-汇总表'!E3</f>
        <v>0</v>
      </c>
      <c r="C14" s="2807" t="e">
        <f>'[1]数据-汇总表'!D3</f>
        <v>#DIV/0!</v>
      </c>
      <c r="D14" s="2807" t="e">
        <f>[1]结果表!H118</f>
        <v>#REF!</v>
      </c>
      <c r="E14" s="2807" t="e">
        <f>ROUND(D14*10000/B14,0)</f>
        <v>#REF!</v>
      </c>
      <c r="F14" s="2807" t="e">
        <f>ROUND(D14*10000/C14,0)</f>
        <v>#REF!</v>
      </c>
      <c r="G14" s="2807" t="e">
        <f>[1]结果表!D122</f>
        <v>#REF!</v>
      </c>
      <c r="H14" s="2807" t="str">
        <f>[1]结果表!D124</f>
        <v>——</v>
      </c>
      <c r="I14" s="2807" t="str">
        <f>[1]结果表!D126</f>
        <v>——</v>
      </c>
      <c r="J14" s="2802"/>
    </row>
    <row r="15" spans="1:10" ht="16.5">
      <c r="A15" s="2808" t="s">
        <v>3053</v>
      </c>
      <c r="B15" s="2809"/>
      <c r="C15" s="2809"/>
      <c r="D15" s="2809"/>
      <c r="E15" s="2807" t="e">
        <f t="shared" ref="E15:E23" si="0">ROUND(D15*10000/B15,0)</f>
        <v>#DIV/0!</v>
      </c>
      <c r="F15" s="2807" t="e">
        <f t="shared" ref="F15:F23" si="1">ROUND(D15*10000/C15,0)</f>
        <v>#DIV/0!</v>
      </c>
      <c r="G15" s="2810"/>
      <c r="H15" s="2810"/>
      <c r="I15" s="2809"/>
      <c r="J15" s="2802"/>
    </row>
    <row r="16" spans="1:10" ht="16.5">
      <c r="A16" s="2808" t="s">
        <v>1233</v>
      </c>
      <c r="B16" s="2809"/>
      <c r="C16" s="2809"/>
      <c r="D16" s="2809"/>
      <c r="E16" s="2807" t="e">
        <f t="shared" si="0"/>
        <v>#DIV/0!</v>
      </c>
      <c r="F16" s="2807" t="e">
        <f t="shared" si="1"/>
        <v>#DIV/0!</v>
      </c>
      <c r="G16" s="2810"/>
      <c r="H16" s="2810"/>
      <c r="I16" s="2809"/>
    </row>
    <row r="17" spans="1:9" ht="16.5">
      <c r="A17" s="2808" t="s">
        <v>1234</v>
      </c>
      <c r="B17" s="2809"/>
      <c r="C17" s="2809"/>
      <c r="D17" s="2809"/>
      <c r="E17" s="2807" t="e">
        <f t="shared" si="0"/>
        <v>#DIV/0!</v>
      </c>
      <c r="F17" s="2807" t="e">
        <f t="shared" si="1"/>
        <v>#DIV/0!</v>
      </c>
      <c r="G17" s="2810"/>
      <c r="H17" s="2810"/>
      <c r="I17" s="2809"/>
    </row>
    <row r="18" spans="1:9" ht="16.5">
      <c r="A18" s="2808" t="s">
        <v>1235</v>
      </c>
      <c r="B18" s="2809"/>
      <c r="C18" s="2809"/>
      <c r="D18" s="2809"/>
      <c r="E18" s="2807" t="e">
        <f t="shared" si="0"/>
        <v>#DIV/0!</v>
      </c>
      <c r="F18" s="2807" t="e">
        <f t="shared" si="1"/>
        <v>#DIV/0!</v>
      </c>
      <c r="G18" s="2809"/>
      <c r="H18" s="2809"/>
      <c r="I18" s="2809"/>
    </row>
    <row r="19" spans="1:9" ht="16.5">
      <c r="A19" s="2808" t="s">
        <v>1236</v>
      </c>
      <c r="B19" s="2809"/>
      <c r="C19" s="2809"/>
      <c r="D19" s="2809"/>
      <c r="E19" s="2807" t="e">
        <f t="shared" si="0"/>
        <v>#DIV/0!</v>
      </c>
      <c r="F19" s="2807" t="e">
        <f t="shared" si="1"/>
        <v>#DIV/0!</v>
      </c>
      <c r="G19" s="2809"/>
      <c r="H19" s="2809"/>
      <c r="I19" s="2809"/>
    </row>
    <row r="20" spans="1:9" ht="16.5">
      <c r="A20" s="2808" t="s">
        <v>1237</v>
      </c>
      <c r="B20" s="2809"/>
      <c r="C20" s="2809"/>
      <c r="D20" s="2809"/>
      <c r="E20" s="2807" t="e">
        <f t="shared" si="0"/>
        <v>#DIV/0!</v>
      </c>
      <c r="F20" s="2807" t="e">
        <f t="shared" si="1"/>
        <v>#DIV/0!</v>
      </c>
      <c r="G20" s="2809"/>
      <c r="H20" s="2809"/>
      <c r="I20" s="2809"/>
    </row>
    <row r="21" spans="1:9" ht="16.5">
      <c r="A21" s="2808" t="s">
        <v>1238</v>
      </c>
      <c r="B21" s="2809"/>
      <c r="C21" s="2809"/>
      <c r="D21" s="2809"/>
      <c r="E21" s="2807" t="e">
        <f t="shared" si="0"/>
        <v>#DIV/0!</v>
      </c>
      <c r="F21" s="2807" t="e">
        <f t="shared" si="1"/>
        <v>#DIV/0!</v>
      </c>
      <c r="G21" s="2809"/>
      <c r="H21" s="2809"/>
      <c r="I21" s="2809"/>
    </row>
    <row r="22" spans="1:9" ht="16.5">
      <c r="A22" s="2808" t="s">
        <v>1239</v>
      </c>
      <c r="B22" s="2809"/>
      <c r="C22" s="2809"/>
      <c r="D22" s="2809"/>
      <c r="E22" s="2807" t="e">
        <f t="shared" si="0"/>
        <v>#DIV/0!</v>
      </c>
      <c r="F22" s="2807" t="e">
        <f t="shared" si="1"/>
        <v>#DIV/0!</v>
      </c>
      <c r="G22" s="2809"/>
      <c r="H22" s="2809"/>
      <c r="I22" s="2809"/>
    </row>
    <row r="23" spans="1:9" ht="16.5">
      <c r="A23" s="2808" t="s">
        <v>1240</v>
      </c>
      <c r="B23" s="2809"/>
      <c r="C23" s="2809"/>
      <c r="D23" s="2809"/>
      <c r="E23" s="2800" t="e">
        <f t="shared" si="0"/>
        <v>#DIV/0!</v>
      </c>
      <c r="F23" s="2800" t="e">
        <f t="shared" si="1"/>
        <v>#DIV/0!</v>
      </c>
      <c r="G23" s="2809"/>
      <c r="H23" s="2809"/>
      <c r="I23" s="2809"/>
    </row>
  </sheetData>
  <phoneticPr fontId="14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2" zoomScaleNormal="100" zoomScaleSheetLayoutView="100" zoomScalePageLayoutView="80" workbookViewId="0">
      <selection activeCell="C4" sqref="C4"/>
    </sheetView>
  </sheetViews>
  <sheetFormatPr defaultColWidth="12.625" defaultRowHeight="21.75" customHeight="1"/>
  <cols>
    <col min="1" max="2" width="12.625" style="2185"/>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5"/>
    <col min="36" max="16384" width="12.625" style="2185"/>
  </cols>
  <sheetData>
    <row r="1" spans="1:12" ht="21.75" customHeight="1">
      <c r="A1" s="2183" t="s">
        <v>1757</v>
      </c>
      <c r="B1" s="2184"/>
      <c r="C1" s="2184"/>
      <c r="D1" s="2184"/>
      <c r="E1" s="2184"/>
      <c r="F1" s="2184"/>
      <c r="G1" s="2184"/>
      <c r="H1" s="2184"/>
      <c r="I1" s="2184"/>
    </row>
    <row r="2" spans="1:12" ht="21.75" customHeight="1">
      <c r="A2" s="2968" t="str">
        <f>项目基本情况!B1</f>
        <v>北京市房地产市场价值预评估</v>
      </c>
      <c r="B2" s="2968"/>
      <c r="C2" s="2968"/>
      <c r="D2" s="2968"/>
      <c r="E2" s="2968"/>
      <c r="F2" s="2968"/>
      <c r="G2" s="2968"/>
      <c r="H2" s="2968"/>
      <c r="I2" s="2968"/>
    </row>
    <row r="3" spans="1:12" ht="12.75">
      <c r="A3" s="2971" t="s">
        <v>1758</v>
      </c>
      <c r="B3" s="2972"/>
      <c r="C3" s="2972"/>
      <c r="D3" s="2972"/>
      <c r="E3" s="2972"/>
      <c r="F3" s="2972"/>
      <c r="G3" s="2972"/>
      <c r="H3" s="2972"/>
      <c r="I3" s="2972"/>
    </row>
    <row r="4" spans="1:12" ht="14.25">
      <c r="A4" s="2186" t="s">
        <v>1759</v>
      </c>
      <c r="B4" s="2187" t="s">
        <v>1760</v>
      </c>
      <c r="C4" s="2188"/>
      <c r="D4" s="2188"/>
      <c r="E4" s="2952" t="s">
        <v>1761</v>
      </c>
      <c r="F4" s="2953"/>
      <c r="G4" s="2953"/>
      <c r="H4" s="2953"/>
      <c r="I4" s="2963"/>
      <c r="K4" s="1835" t="str">
        <f>IF(ISNUMBER(FIND("比较法",结果表!C4)),"比较法",IF(ISNUMBER(FIND("成本法",结果表!C4)),"成本法",IF(ISNUMBER(FIND("假设开发法",结果表!C4)),"假设开发法",IF(ISNUMBER(FIND("收益法",结果表!C4)),"收益法","基准地价系数修正法"))))</f>
        <v>基准地价系数修正法</v>
      </c>
      <c r="L4" s="183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45" t="s">
        <v>1762</v>
      </c>
      <c r="B5" s="2907">
        <v>25</v>
      </c>
      <c r="C5" s="2956"/>
      <c r="D5" s="2970"/>
      <c r="E5" s="56" t="s">
        <v>1763</v>
      </c>
      <c r="F5" s="2189"/>
      <c r="G5" s="2189"/>
      <c r="H5" s="2189"/>
      <c r="I5" s="2190"/>
    </row>
    <row r="6" spans="1:12" ht="12.75">
      <c r="A6" s="2945"/>
      <c r="B6" s="2907"/>
      <c r="C6" s="2973"/>
      <c r="D6" s="2970"/>
      <c r="E6" s="56" t="s">
        <v>1764</v>
      </c>
      <c r="F6" s="2189"/>
      <c r="G6" s="2189"/>
      <c r="H6" s="2189"/>
      <c r="I6" s="2190"/>
    </row>
    <row r="7" spans="1:12" ht="12.75">
      <c r="A7" s="2945"/>
      <c r="B7" s="2907"/>
      <c r="C7" s="2957"/>
      <c r="D7" s="2970"/>
      <c r="E7" s="56" t="s">
        <v>1765</v>
      </c>
      <c r="F7" s="2189"/>
      <c r="G7" s="2189"/>
      <c r="H7" s="2189"/>
      <c r="I7" s="2190"/>
    </row>
    <row r="8" spans="1:12" ht="12.75">
      <c r="A8" s="2945" t="s">
        <v>1766</v>
      </c>
      <c r="B8" s="2907">
        <v>15</v>
      </c>
      <c r="C8" s="2956"/>
      <c r="D8" s="2970"/>
      <c r="E8" s="56" t="s">
        <v>1767</v>
      </c>
      <c r="F8" s="2189"/>
      <c r="G8" s="2189"/>
      <c r="H8" s="2189"/>
      <c r="I8" s="2190"/>
    </row>
    <row r="9" spans="1:12" ht="12.75">
      <c r="A9" s="2945"/>
      <c r="B9" s="2907"/>
      <c r="C9" s="2957"/>
      <c r="D9" s="2970"/>
      <c r="E9" s="56" t="s">
        <v>1768</v>
      </c>
      <c r="F9" s="2189"/>
      <c r="G9" s="2189"/>
      <c r="H9" s="2189"/>
      <c r="I9" s="2190"/>
    </row>
    <row r="10" spans="1:12" ht="12.75">
      <c r="A10" s="2945" t="s">
        <v>1769</v>
      </c>
      <c r="B10" s="2907">
        <v>15</v>
      </c>
      <c r="C10" s="2956"/>
      <c r="D10" s="2970"/>
      <c r="E10" s="56" t="s">
        <v>1770</v>
      </c>
      <c r="F10" s="2189"/>
      <c r="G10" s="2189"/>
      <c r="H10" s="2189"/>
      <c r="I10" s="2190"/>
    </row>
    <row r="11" spans="1:12" ht="12.75">
      <c r="A11" s="2945"/>
      <c r="B11" s="2907"/>
      <c r="C11" s="2957"/>
      <c r="D11" s="2970"/>
      <c r="E11" s="56" t="s">
        <v>1771</v>
      </c>
      <c r="F11" s="2189"/>
      <c r="G11" s="2189"/>
      <c r="H11" s="2189"/>
      <c r="I11" s="2190"/>
    </row>
    <row r="12" spans="1:12" ht="12.75">
      <c r="A12" s="2945" t="s">
        <v>1772</v>
      </c>
      <c r="B12" s="2907">
        <v>15</v>
      </c>
      <c r="C12" s="2956"/>
      <c r="D12" s="2970"/>
      <c r="E12" s="56" t="s">
        <v>1773</v>
      </c>
      <c r="F12" s="2189"/>
      <c r="G12" s="2189"/>
      <c r="H12" s="2189"/>
      <c r="I12" s="2190"/>
    </row>
    <row r="13" spans="1:12" ht="12.75">
      <c r="A13" s="2945"/>
      <c r="B13" s="2907"/>
      <c r="C13" s="2957"/>
      <c r="D13" s="2970"/>
      <c r="E13" s="56" t="s">
        <v>1774</v>
      </c>
      <c r="F13" s="2189"/>
      <c r="G13" s="2189"/>
      <c r="H13" s="2189"/>
      <c r="I13" s="2190"/>
    </row>
    <row r="14" spans="1:12" ht="12.75">
      <c r="A14" s="2945" t="s">
        <v>1775</v>
      </c>
      <c r="B14" s="2907">
        <v>30</v>
      </c>
      <c r="C14" s="2956"/>
      <c r="D14" s="2970"/>
      <c r="E14" s="56" t="s">
        <v>1776</v>
      </c>
      <c r="F14" s="2189"/>
      <c r="G14" s="2189"/>
      <c r="H14" s="2189"/>
      <c r="I14" s="2190"/>
    </row>
    <row r="15" spans="1:12" ht="12.75">
      <c r="A15" s="2945"/>
      <c r="B15" s="2907"/>
      <c r="C15" s="2973"/>
      <c r="D15" s="2970"/>
      <c r="E15" s="56" t="s">
        <v>1777</v>
      </c>
      <c r="F15" s="2189"/>
      <c r="G15" s="2189"/>
      <c r="H15" s="2189"/>
      <c r="I15" s="2190"/>
    </row>
    <row r="16" spans="1:12" ht="12.75">
      <c r="A16" s="2945"/>
      <c r="B16" s="2907"/>
      <c r="C16" s="2957"/>
      <c r="D16" s="2970"/>
      <c r="E16" s="56" t="s">
        <v>1778</v>
      </c>
      <c r="F16" s="2189"/>
      <c r="G16" s="2189"/>
      <c r="H16" s="2189"/>
      <c r="I16" s="2190"/>
    </row>
    <row r="17" spans="1:35" ht="15">
      <c r="A17" s="2191" t="s">
        <v>1779</v>
      </c>
      <c r="B17" s="2192"/>
      <c r="C17" s="57">
        <f>SUM(C5:C16)</f>
        <v>0</v>
      </c>
      <c r="D17" s="57">
        <f>SUM(D5:D16)</f>
        <v>0</v>
      </c>
      <c r="E17" s="2184"/>
      <c r="F17" s="2184"/>
      <c r="G17" s="2184"/>
      <c r="H17" s="2184"/>
      <c r="I17" s="2184"/>
    </row>
    <row r="18" spans="1:35" ht="15.75" thickBot="1">
      <c r="A18" s="2193" t="s">
        <v>1780</v>
      </c>
      <c r="B18" s="2194"/>
      <c r="C18" s="58" t="e">
        <f>ROUND(C17/SUM(C17:D17),2)</f>
        <v>#DIV/0!</v>
      </c>
      <c r="D18" s="58" t="e">
        <f>1-C18</f>
        <v>#DIV/0!</v>
      </c>
      <c r="E18" s="2184"/>
      <c r="F18" s="2184"/>
      <c r="G18" s="2184"/>
      <c r="H18" s="2184"/>
      <c r="I18" s="2184"/>
    </row>
    <row r="19" spans="1:35" ht="15">
      <c r="A19" s="2195" t="s">
        <v>1781</v>
      </c>
      <c r="B19" s="2196" t="s">
        <v>1782</v>
      </c>
      <c r="C19" s="59" t="e">
        <f ca="1">SUMIF(INDIRECT("'"&amp;C4&amp;"'"&amp;"!A:A"),结果表!B19,INDIRECT("'"&amp;C4&amp;"'"&amp;"!B:B"))</f>
        <v>#REF!</v>
      </c>
      <c r="D19" s="60" t="e">
        <f ca="1">SUMIF(INDIRECT("'"&amp;D4&amp;"'"&amp;"!A:A"),结果表!B19,INDIRECT("'"&amp;D4&amp;"'"&amp;"!B:B"))</f>
        <v>#REF!</v>
      </c>
      <c r="E19" s="2195" t="s">
        <v>1783</v>
      </c>
      <c r="F19" s="2196" t="s">
        <v>1782</v>
      </c>
      <c r="G19" s="61" t="e">
        <f ca="1">ROUND(C19*$C$18+D19*$D$18,0)</f>
        <v>#REF!</v>
      </c>
      <c r="H19" s="2197" t="str">
        <f>'数据-取费表'!B3</f>
        <v>元</v>
      </c>
      <c r="I19" s="2184"/>
    </row>
    <row r="20" spans="1:35" ht="15">
      <c r="A20" s="2198"/>
      <c r="B20" s="2199" t="s">
        <v>1784</v>
      </c>
      <c r="C20" s="62" t="e">
        <f ca="1">SUMIF(INDIRECT("'"&amp;C4&amp;"'"&amp;"!A:A"),结果表!B20,INDIRECT("'"&amp;C4&amp;"'"&amp;"!B:B"))</f>
        <v>#REF!</v>
      </c>
      <c r="D20" s="63" t="e">
        <f ca="1">SUMIF(INDIRECT("'"&amp;D4&amp;"'"&amp;"!A:A"),结果表!B20,INDIRECT("'"&amp;D4&amp;"'"&amp;"!B:B"))</f>
        <v>#REF!</v>
      </c>
      <c r="E20" s="2198"/>
      <c r="F20" s="2199" t="s">
        <v>1784</v>
      </c>
      <c r="G20" s="64" t="e">
        <f ca="1">ROUND(C20*$C$18+D20*$D$18,0)</f>
        <v>#REF!</v>
      </c>
      <c r="H20" s="2200" t="s">
        <v>1785</v>
      </c>
      <c r="I20" s="2184"/>
    </row>
    <row r="21" spans="1:35" ht="15" customHeight="1" thickBot="1">
      <c r="A21" s="2201"/>
      <c r="B21" s="2202"/>
      <c r="C21" s="770"/>
      <c r="D21" s="771"/>
      <c r="E21" s="2201"/>
      <c r="F21" s="2202"/>
      <c r="G21" s="65"/>
      <c r="H21" s="2203"/>
      <c r="I21" s="2184"/>
    </row>
    <row r="22" spans="1:35" ht="15" thickBot="1">
      <c r="A22" s="2204" t="s">
        <v>1786</v>
      </c>
      <c r="B22" s="2205"/>
      <c r="C22" s="2206"/>
      <c r="D22" s="772"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2976" t="s">
        <v>1787</v>
      </c>
      <c r="B24" s="2196" t="s">
        <v>1782</v>
      </c>
      <c r="C24" s="61">
        <f>D30</f>
        <v>0</v>
      </c>
      <c r="D24" s="994"/>
      <c r="E24" s="2184"/>
      <c r="F24" s="2184"/>
      <c r="G24" s="2184"/>
      <c r="H24" s="2184"/>
      <c r="I24" s="2184"/>
    </row>
    <row r="25" spans="1:35" ht="21.75" customHeight="1">
      <c r="A25" s="2977"/>
      <c r="B25" s="2199" t="s">
        <v>1784</v>
      </c>
      <c r="C25" s="66">
        <f>IF(B30=0,0,C30)</f>
        <v>0</v>
      </c>
      <c r="D25" s="2207"/>
      <c r="E25" s="2184"/>
      <c r="F25" s="2184"/>
      <c r="G25" s="2184"/>
      <c r="H25" s="2184"/>
      <c r="I25" s="2184"/>
    </row>
    <row r="26" spans="1:35" ht="13.5" customHeight="1">
      <c r="A26" s="2208" t="s">
        <v>1788</v>
      </c>
      <c r="B26" s="67" t="s">
        <v>1789</v>
      </c>
      <c r="C26" s="67" t="s">
        <v>1790</v>
      </c>
      <c r="D26" s="68" t="s">
        <v>1791</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1792</v>
      </c>
      <c r="B30" s="67"/>
      <c r="C30" s="67"/>
      <c r="D30" s="67"/>
      <c r="E30" s="2706" t="s">
        <v>2798</v>
      </c>
      <c r="F30" s="2184"/>
      <c r="G30" s="2184"/>
      <c r="H30" s="2184"/>
      <c r="I30" s="2184"/>
    </row>
    <row r="31" spans="1:35" s="2211" customFormat="1" ht="15" thickBot="1">
      <c r="A31" s="2210"/>
      <c r="B31" s="2210"/>
      <c r="C31" s="2210"/>
      <c r="D31" s="2210"/>
      <c r="E31" s="2184"/>
      <c r="F31" s="2184"/>
      <c r="G31" s="2184"/>
      <c r="H31" s="2184"/>
      <c r="I31" s="2184"/>
      <c r="J31" s="798"/>
      <c r="K31" s="798"/>
      <c r="L31" s="798"/>
      <c r="M31" s="798"/>
      <c r="N31" s="798"/>
      <c r="O31" s="798"/>
      <c r="P31" s="798"/>
      <c r="Q31" s="798"/>
      <c r="R31" s="798"/>
      <c r="S31" s="798"/>
      <c r="T31" s="798"/>
      <c r="U31" s="798"/>
      <c r="V31" s="798"/>
      <c r="W31" s="798"/>
      <c r="X31" s="798"/>
      <c r="Y31" s="798"/>
      <c r="Z31" s="798"/>
      <c r="AA31" s="1835"/>
      <c r="AB31" s="1835"/>
      <c r="AC31" s="1835"/>
      <c r="AD31" s="1835"/>
      <c r="AE31" s="1835"/>
      <c r="AF31" s="1835"/>
      <c r="AG31" s="1835"/>
      <c r="AH31" s="1835"/>
      <c r="AI31" s="1835"/>
    </row>
    <row r="32" spans="1:35" ht="15.75" thickBot="1">
      <c r="A32" s="2212" t="s">
        <v>1793</v>
      </c>
      <c r="B32" s="2213" t="str">
        <f>'数据-取费表'!B4</f>
        <v>楼面单价</v>
      </c>
      <c r="C32" s="1145" t="e">
        <f ca="1">IF(B32="总价",G19-C24,G20-C25)</f>
        <v>#REF!</v>
      </c>
      <c r="D32" s="2184" t="str">
        <f>IF(B32="楼面单价","元/平方米",H19)</f>
        <v>元/平方米</v>
      </c>
      <c r="E32" s="2184"/>
      <c r="F32" s="2184"/>
      <c r="G32" s="2184"/>
      <c r="H32" s="2184"/>
      <c r="I32" s="2184"/>
    </row>
    <row r="33" spans="1:16" ht="15">
      <c r="A33" s="2214" t="s">
        <v>1794</v>
      </c>
      <c r="B33" s="2215"/>
      <c r="C33" s="2216"/>
      <c r="D33" s="2217"/>
      <c r="E33" s="2218" t="s">
        <v>1795</v>
      </c>
      <c r="F33" s="2219" t="str">
        <f>IF(B32="楼面单价","取值（单价）","取值（总价）")</f>
        <v>取值（单价）</v>
      </c>
      <c r="G33" s="2184"/>
      <c r="H33" s="2184"/>
      <c r="I33" s="2184"/>
    </row>
    <row r="34" spans="1:16" ht="15">
      <c r="A34" s="2220"/>
      <c r="B34" s="2221" t="s">
        <v>1796</v>
      </c>
      <c r="C34" s="72" t="e">
        <f ca="1">IF(D33="自定义",F34,C32-C35)</f>
        <v>#REF!</v>
      </c>
      <c r="D34" s="1091" t="e">
        <f ca="1">IF(D33="自定义",ROUND(C34/C32,3),1-D35)</f>
        <v>#DIV/0!</v>
      </c>
      <c r="E34" s="2222" t="s">
        <v>1797</v>
      </c>
      <c r="F34" s="1829">
        <v>2000</v>
      </c>
      <c r="G34" s="2184"/>
      <c r="H34" s="2184"/>
      <c r="I34" s="2184"/>
    </row>
    <row r="35" spans="1:16" ht="15.75" thickBot="1">
      <c r="A35" s="2223"/>
      <c r="B35" s="2224" t="s">
        <v>1798</v>
      </c>
      <c r="C35" s="73" t="e">
        <f ca="1">IF(D33="自定义",F35,ROUND(C32*D35,0))</f>
        <v>#REF!</v>
      </c>
      <c r="D35" s="1090" t="e">
        <f ca="1">IF(D33="自定义",ROUND(C35/C32,3),IF(D33="成本法成本比率",成本法!C56,IF(D33="收益法收益比率",收益法!J38,收益法!J41)))</f>
        <v>#DIV/0!</v>
      </c>
      <c r="E35" s="2225" t="s">
        <v>1799</v>
      </c>
      <c r="F35" s="79">
        <v>4460</v>
      </c>
      <c r="G35" s="2184"/>
      <c r="H35" s="2184"/>
      <c r="I35" s="2184"/>
    </row>
    <row r="36" spans="1:16" ht="15.75" thickBot="1">
      <c r="A36" s="2958" t="s">
        <v>1800</v>
      </c>
      <c r="B36" s="2226" t="s">
        <v>1801</v>
      </c>
      <c r="C36" s="69">
        <v>0</v>
      </c>
      <c r="D36" s="2227"/>
      <c r="E36" s="2228"/>
      <c r="F36" s="2228"/>
      <c r="G36" s="2184"/>
      <c r="H36" s="2184"/>
      <c r="I36" s="2184"/>
    </row>
    <row r="37" spans="1:16" ht="15.75" thickBot="1">
      <c r="A37" s="2959"/>
      <c r="B37" s="2229" t="s">
        <v>1802</v>
      </c>
      <c r="C37" s="71">
        <v>0</v>
      </c>
      <c r="D37" s="2194"/>
      <c r="E37" s="2194"/>
      <c r="F37" s="2228"/>
      <c r="G37" s="2194"/>
      <c r="H37" s="2194"/>
      <c r="I37" s="2194"/>
    </row>
    <row r="38" spans="1:16" ht="15.75" thickBot="1">
      <c r="A38" s="2960"/>
      <c r="B38" s="2230" t="s">
        <v>1803</v>
      </c>
      <c r="C38" s="712">
        <v>0</v>
      </c>
      <c r="D38" s="2231" t="s">
        <v>1804</v>
      </c>
      <c r="E38" s="2194"/>
      <c r="F38" s="2228"/>
      <c r="G38" s="2194"/>
      <c r="H38" s="2194"/>
      <c r="I38" s="2194"/>
    </row>
    <row r="39" spans="1:16" ht="15">
      <c r="A39" s="2198" t="s">
        <v>1805</v>
      </c>
      <c r="B39" s="2232" t="s">
        <v>1789</v>
      </c>
      <c r="C39" s="2233" t="s">
        <v>1790</v>
      </c>
      <c r="D39" s="2233" t="s">
        <v>1806</v>
      </c>
      <c r="E39" s="2234" t="s">
        <v>1791</v>
      </c>
      <c r="F39" s="2228"/>
      <c r="G39" s="2194"/>
      <c r="H39" s="2194"/>
      <c r="I39" s="2194"/>
    </row>
    <row r="40" spans="1:16" ht="14.25">
      <c r="A40" s="2235" t="s">
        <v>1807</v>
      </c>
      <c r="B40" s="74"/>
      <c r="C40" s="75"/>
      <c r="D40" s="75"/>
      <c r="E40" s="76"/>
      <c r="F40" s="2228"/>
      <c r="G40" s="2194"/>
      <c r="H40" s="2194"/>
      <c r="I40" s="2194"/>
    </row>
    <row r="41" spans="1:16" ht="14.25">
      <c r="A41" s="2235" t="s">
        <v>1808</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1809</v>
      </c>
      <c r="B44" s="2241"/>
      <c r="C44" s="2241"/>
      <c r="D44" s="2242"/>
      <c r="E44" s="2242"/>
      <c r="F44" s="2243"/>
      <c r="G44" s="2243"/>
      <c r="H44" s="2243"/>
      <c r="I44" s="2243"/>
      <c r="J44" s="2244" t="s">
        <v>1810</v>
      </c>
      <c r="K44" s="2245"/>
      <c r="L44" s="2245"/>
      <c r="M44" s="2245"/>
      <c r="N44" s="2245"/>
      <c r="O44" s="2245"/>
      <c r="P44" s="1835"/>
    </row>
    <row r="45" spans="1:16" ht="14.25" customHeight="1" thickBot="1">
      <c r="A45" s="2964" t="s">
        <v>1811</v>
      </c>
      <c r="B45" s="2965"/>
      <c r="C45" s="2966"/>
      <c r="D45" s="80" t="e">
        <f ca="1">ROUND(I102*F45,0)</f>
        <v>#REF!</v>
      </c>
      <c r="E45" s="81" t="s">
        <v>1812</v>
      </c>
      <c r="F45" s="82">
        <v>1</v>
      </c>
      <c r="G45" s="83" t="s">
        <v>1813</v>
      </c>
      <c r="H45" s="2184"/>
      <c r="I45" s="2184"/>
      <c r="J45" s="3026" t="s">
        <v>1814</v>
      </c>
      <c r="K45" s="3026"/>
      <c r="L45" s="3026"/>
      <c r="M45" s="3026"/>
      <c r="N45" s="3026"/>
      <c r="O45" s="3026"/>
      <c r="P45" s="1835"/>
    </row>
    <row r="46" spans="1:16" ht="14.25" customHeight="1">
      <c r="A46" s="2949" t="s">
        <v>1815</v>
      </c>
      <c r="B46" s="2950"/>
      <c r="C46" s="2950"/>
      <c r="D46" s="2950"/>
      <c r="E46" s="2950"/>
      <c r="F46" s="2950"/>
      <c r="G46" s="2951"/>
      <c r="H46" s="2246"/>
      <c r="I46" s="1144"/>
      <c r="J46" s="1873">
        <v>1</v>
      </c>
      <c r="K46" s="3026" t="s">
        <v>1816</v>
      </c>
      <c r="L46" s="3026"/>
      <c r="M46" s="3027" t="str">
        <f>项目基本情况!B1</f>
        <v>北京市房地产市场价值预评估</v>
      </c>
      <c r="N46" s="3027"/>
      <c r="O46" s="3027"/>
      <c r="P46" s="1835"/>
    </row>
    <row r="47" spans="1:16" ht="12" customHeight="1">
      <c r="A47" s="85" t="s">
        <v>1817</v>
      </c>
      <c r="B47" s="86"/>
      <c r="C47" s="87"/>
      <c r="D47" s="88" t="s">
        <v>1818</v>
      </c>
      <c r="E47" s="14" t="s">
        <v>1819</v>
      </c>
      <c r="F47" s="89" t="s">
        <v>1820</v>
      </c>
      <c r="G47" s="90" t="s">
        <v>1821</v>
      </c>
      <c r="H47" s="2246"/>
      <c r="I47" s="1144"/>
      <c r="J47" s="1873">
        <v>2</v>
      </c>
      <c r="K47" s="3026" t="s">
        <v>1822</v>
      </c>
      <c r="L47" s="3026"/>
      <c r="M47" s="3028">
        <f>'数据-取费表'!B2</f>
        <v>43077</v>
      </c>
      <c r="N47" s="3028"/>
      <c r="O47" s="3028"/>
      <c r="P47" s="1835"/>
    </row>
    <row r="48" spans="1:16" ht="25.5">
      <c r="A48" s="2961" t="s">
        <v>1823</v>
      </c>
      <c r="B48" s="2962"/>
      <c r="C48" s="2962"/>
      <c r="D48" s="56" t="e">
        <f ca="1">IF(H48="情况1",0,IF(H48="情况2",D52,IF(H48="情况3",D53,IF(H48="情况4",D54))))</f>
        <v>#REF!</v>
      </c>
      <c r="E48" s="1883" t="str">
        <f>IF(H48="情况4","(销售额-原购置价)×税（费）率","销售额×税（费）率")</f>
        <v>销售额×税（费）率</v>
      </c>
      <c r="F48" s="91">
        <f>IF(H48="情况1","免征",'数据-取费表'!E29)</f>
        <v>5.6000000000000001E-2</v>
      </c>
      <c r="G48" s="2247" t="s">
        <v>1824</v>
      </c>
      <c r="H48" s="2248" t="s">
        <v>1825</v>
      </c>
      <c r="I48" s="2246"/>
      <c r="J48" s="1873">
        <v>3</v>
      </c>
      <c r="K48" s="3026" t="s">
        <v>1826</v>
      </c>
      <c r="L48" s="3026"/>
      <c r="M48" s="3027" t="e">
        <f ca="1">I102</f>
        <v>#REF!</v>
      </c>
      <c r="N48" s="3027"/>
      <c r="O48" s="3027"/>
      <c r="P48" s="1835"/>
    </row>
    <row r="49" spans="1:16" ht="25.5" customHeight="1">
      <c r="A49" s="92" t="s">
        <v>1827</v>
      </c>
      <c r="B49" s="2954" t="s">
        <v>1828</v>
      </c>
      <c r="C49" s="2954"/>
      <c r="D49" s="93">
        <v>0</v>
      </c>
      <c r="E49" s="13" t="s">
        <v>1829</v>
      </c>
      <c r="F49" s="18" t="s">
        <v>48</v>
      </c>
      <c r="G49" s="3019"/>
      <c r="H49" s="2184"/>
      <c r="I49" s="2249"/>
      <c r="J49" s="1873">
        <v>4</v>
      </c>
      <c r="K49" s="3026" t="str">
        <f>IF(项目基本情况!F5="房地产抵押价值","房地产抵押价值","抵押担保权已注销时的房地产抵押价值")</f>
        <v>抵押担保权已注销时的房地产抵押价值</v>
      </c>
      <c r="L49" s="3026"/>
      <c r="M49" s="3027" t="str">
        <f>IF(项目基本情况!E8="房地产抵押价值",I110,I112)</f>
        <v>——</v>
      </c>
      <c r="N49" s="3027"/>
      <c r="O49" s="3027"/>
      <c r="P49" s="1835"/>
    </row>
    <row r="50" spans="1:16" ht="25.5" customHeight="1">
      <c r="A50" s="94"/>
      <c r="B50" s="2954" t="s">
        <v>1830</v>
      </c>
      <c r="C50" s="2954"/>
      <c r="D50" s="95"/>
      <c r="E50" s="21"/>
      <c r="F50" s="96"/>
      <c r="G50" s="3020"/>
      <c r="H50" s="2184"/>
      <c r="I50" s="2249"/>
      <c r="J50" s="3026" t="s">
        <v>1831</v>
      </c>
      <c r="K50" s="3026"/>
      <c r="L50" s="3026"/>
      <c r="M50" s="3026"/>
      <c r="N50" s="3026"/>
      <c r="O50" s="3026"/>
      <c r="P50" s="1835"/>
    </row>
    <row r="51" spans="1:16" ht="12" customHeight="1">
      <c r="A51" s="97"/>
      <c r="B51" s="2954" t="s">
        <v>1832</v>
      </c>
      <c r="C51" s="2954"/>
      <c r="D51" s="98"/>
      <c r="E51" s="20"/>
      <c r="F51" s="96"/>
      <c r="G51" s="3021"/>
      <c r="H51" s="2184"/>
      <c r="I51" s="2249"/>
      <c r="J51" s="2250" t="s">
        <v>1833</v>
      </c>
      <c r="K51" s="3026" t="s">
        <v>1834</v>
      </c>
      <c r="L51" s="3026"/>
      <c r="M51" s="2250" t="s">
        <v>1835</v>
      </c>
      <c r="N51" s="2250" t="s">
        <v>1836</v>
      </c>
      <c r="O51" s="2250" t="s">
        <v>1837</v>
      </c>
      <c r="P51" s="1835"/>
    </row>
    <row r="52" spans="1:16" ht="24" customHeight="1">
      <c r="A52" s="99" t="s">
        <v>1838</v>
      </c>
      <c r="B52" s="2954" t="s">
        <v>1839</v>
      </c>
      <c r="C52" s="2954"/>
      <c r="D52" s="98" t="e">
        <f ca="1">ROUND(D45*'数据-取费表'!E29/(1+'数据-取费表'!F30),0)</f>
        <v>#REF!</v>
      </c>
      <c r="E52" s="10" t="s">
        <v>1840</v>
      </c>
      <c r="F52" s="100">
        <f>'数据-取费表'!E29</f>
        <v>5.6000000000000001E-2</v>
      </c>
      <c r="G52" s="2251"/>
      <c r="H52" s="2184"/>
      <c r="I52" s="2249"/>
      <c r="J52" s="1873">
        <v>1</v>
      </c>
      <c r="K52" s="2986" t="s">
        <v>1841</v>
      </c>
      <c r="L52" s="2986"/>
      <c r="M52" s="778" t="e">
        <f ca="1">D48</f>
        <v>#REF!</v>
      </c>
      <c r="N52" s="1873" t="str">
        <f>E48</f>
        <v>销售额×税（费）率</v>
      </c>
      <c r="O52" s="779">
        <f>F48</f>
        <v>5.6000000000000001E-2</v>
      </c>
      <c r="P52" s="1835"/>
    </row>
    <row r="53" spans="1:16" ht="12" customHeight="1">
      <c r="A53" s="99" t="s">
        <v>1842</v>
      </c>
      <c r="B53" s="2955" t="s">
        <v>1843</v>
      </c>
      <c r="C53" s="2885"/>
      <c r="D53" s="98" t="e">
        <f ca="1">ROUND(D45*'数据-取费表'!E29/(1+'数据-取费表'!F30),0)</f>
        <v>#REF!</v>
      </c>
      <c r="E53" s="10" t="s">
        <v>1840</v>
      </c>
      <c r="F53" s="100">
        <f>'数据-取费表'!E29</f>
        <v>5.6000000000000001E-2</v>
      </c>
      <c r="G53" s="2251"/>
      <c r="H53" s="2184"/>
      <c r="I53" s="2249"/>
      <c r="J53" s="1873">
        <v>2</v>
      </c>
      <c r="K53" s="2986" t="s">
        <v>1844</v>
      </c>
      <c r="L53" s="2986"/>
      <c r="M53" s="778" t="e">
        <f t="shared" ref="M53:O54" ca="1" si="1">D55</f>
        <v>#REF!</v>
      </c>
      <c r="N53" s="1873" t="str">
        <f t="shared" si="1"/>
        <v>销售额×税（费）率</v>
      </c>
      <c r="O53" s="779">
        <f t="shared" si="1"/>
        <v>5.0000000000000001E-4</v>
      </c>
      <c r="P53" s="1835"/>
    </row>
    <row r="54" spans="1:16" ht="12" customHeight="1">
      <c r="A54" s="99" t="s">
        <v>1845</v>
      </c>
      <c r="B54" s="2955" t="s">
        <v>1846</v>
      </c>
      <c r="C54" s="2885"/>
      <c r="D54" s="98" t="e">
        <f ca="1">C68</f>
        <v>#REF!</v>
      </c>
      <c r="E54" s="20" t="s">
        <v>1847</v>
      </c>
      <c r="F54" s="100">
        <f>'数据-取费表'!E29</f>
        <v>5.6000000000000001E-2</v>
      </c>
      <c r="G54" s="2251"/>
      <c r="H54" s="2252"/>
      <c r="I54" s="2249"/>
      <c r="J54" s="1873">
        <v>3</v>
      </c>
      <c r="K54" s="2986" t="s">
        <v>1848</v>
      </c>
      <c r="L54" s="2986"/>
      <c r="M54" s="778" t="e">
        <f t="shared" ca="1" si="1"/>
        <v>#REF!</v>
      </c>
      <c r="N54" s="1873" t="str">
        <f t="shared" si="1"/>
        <v>增值额×税（费）率</v>
      </c>
      <c r="O54" s="780" t="str">
        <f t="shared" si="1"/>
        <v>——</v>
      </c>
      <c r="P54" s="1835"/>
    </row>
    <row r="55" spans="1:16" ht="24" customHeight="1">
      <c r="A55" s="2877" t="s">
        <v>1849</v>
      </c>
      <c r="B55" s="2962"/>
      <c r="C55" s="2962"/>
      <c r="D55" s="101" t="e">
        <f ca="1">IF(H55="个人住宅",0,ROUND(D45*I55,0))</f>
        <v>#REF!</v>
      </c>
      <c r="E55" s="10" t="s">
        <v>1850</v>
      </c>
      <c r="F55" s="100">
        <f>IF(H55="正常",I55,"免征")</f>
        <v>5.0000000000000001E-4</v>
      </c>
      <c r="G55" s="2251"/>
      <c r="H55" s="2248" t="s">
        <v>1851</v>
      </c>
      <c r="I55" s="102">
        <f>'数据-取费表'!E37</f>
        <v>5.0000000000000001E-4</v>
      </c>
      <c r="J55" s="1873">
        <f>IF(H59="非个人房产","",4)</f>
        <v>4</v>
      </c>
      <c r="K55" s="2986" t="str">
        <f>IF(H59="非个人房产","——","个人所得税")</f>
        <v>个人所得税</v>
      </c>
      <c r="L55" s="2986"/>
      <c r="M55" s="781" t="e">
        <f ca="1">D59</f>
        <v>#REF!</v>
      </c>
      <c r="N55" s="1876" t="str">
        <f>E59</f>
        <v>销售额×税（费）率</v>
      </c>
      <c r="O55" s="782">
        <f>F59</f>
        <v>0.01</v>
      </c>
      <c r="P55" s="1835"/>
    </row>
    <row r="56" spans="1:16" ht="24.75">
      <c r="A56" s="2877" t="s">
        <v>1852</v>
      </c>
      <c r="B56" s="2962"/>
      <c r="C56" s="2962"/>
      <c r="D56" s="101" t="e">
        <f ca="1">IF(H56="个人住宅",D57,D58)</f>
        <v>#REF!</v>
      </c>
      <c r="E56" s="10" t="s">
        <v>1853</v>
      </c>
      <c r="F56" s="100" t="str">
        <f>IF(H56="正常",F58,"免征")</f>
        <v>——</v>
      </c>
      <c r="G56" s="2253" t="s">
        <v>1854</v>
      </c>
      <c r="H56" s="2254" t="s">
        <v>1851</v>
      </c>
      <c r="I56" s="1022"/>
      <c r="J56" s="1873" t="str">
        <f>IF(项目基本情况!I6="上海银行",IF(J55="",4,J55+1),"")</f>
        <v/>
      </c>
      <c r="K56" s="3004" t="str">
        <f>IF(项目基本情况!I6="上海银行","其他处置费用","")</f>
        <v/>
      </c>
      <c r="L56" s="3005"/>
      <c r="M56" s="778" t="str">
        <f>IF(项目基本情况!I6="上海银行",M69,"")</f>
        <v/>
      </c>
      <c r="N56" s="3017" t="str">
        <f>IF(项目基本情况!I6="上海银行","包含处置中涉及的律师、诉讼、拍卖、评估等费用","")</f>
        <v/>
      </c>
      <c r="O56" s="3018"/>
      <c r="P56" s="1835"/>
    </row>
    <row r="57" spans="1:16" ht="12.75">
      <c r="A57" s="99" t="s">
        <v>1827</v>
      </c>
      <c r="B57" s="2952" t="s">
        <v>1855</v>
      </c>
      <c r="C57" s="2963"/>
      <c r="D57" s="103">
        <v>0</v>
      </c>
      <c r="E57" s="13" t="s">
        <v>1829</v>
      </c>
      <c r="F57" s="70"/>
      <c r="G57" s="2251"/>
      <c r="H57" s="1022"/>
      <c r="I57" s="1022"/>
      <c r="J57" s="2986">
        <f>IF(AND(J55="",J56=""),4,IF(项目基本情况!I6="上海银行",J56+1,J55+1))</f>
        <v>5</v>
      </c>
      <c r="K57" s="2986" t="s">
        <v>1856</v>
      </c>
      <c r="L57" s="2255" t="s">
        <v>1857</v>
      </c>
      <c r="M57" s="783"/>
      <c r="N57" s="784">
        <f ca="1">SUMIF(M52:M56,"&lt;9e307")</f>
        <v>0</v>
      </c>
      <c r="O57" s="2256"/>
      <c r="P57" s="1831" t="e">
        <f ca="1">N57/M49</f>
        <v>#VALUE!</v>
      </c>
    </row>
    <row r="58" spans="1:16" ht="24.75">
      <c r="A58" s="99" t="s">
        <v>1838</v>
      </c>
      <c r="B58" s="2952" t="s">
        <v>1858</v>
      </c>
      <c r="C58" s="2953"/>
      <c r="D58" s="101" t="e">
        <f ca="1">IF(H58="转让取得",C81,C97)</f>
        <v>#REF!</v>
      </c>
      <c r="E58" s="10" t="s">
        <v>1853</v>
      </c>
      <c r="F58" s="14" t="s">
        <v>48</v>
      </c>
      <c r="G58" s="2251"/>
      <c r="H58" s="2254" t="s">
        <v>1859</v>
      </c>
      <c r="I58" s="1022"/>
      <c r="J58" s="2986"/>
      <c r="K58" s="2986"/>
      <c r="L58" s="2255" t="s">
        <v>1860</v>
      </c>
      <c r="M58" s="785"/>
      <c r="N58" s="2257" t="str">
        <f ca="1">IF(H19="元",NUMBERSTRING(INT(N57),2)&amp;"元整",NUMBERSTRING(INT(N57*10000),2)&amp;"元整")</f>
        <v>零元整</v>
      </c>
      <c r="O58" s="2258"/>
      <c r="P58" s="1835"/>
    </row>
    <row r="59" spans="1:16" ht="26.25" thickBot="1">
      <c r="A59" s="2878" t="s">
        <v>1861</v>
      </c>
      <c r="B59" s="2881"/>
      <c r="C59" s="2881"/>
      <c r="D59" s="104" t="e">
        <f ca="1">IF(H59="非个人房产","——",IF(H59="个人住宅",0,ROUND(D45*I59,0)))</f>
        <v>#REF!</v>
      </c>
      <c r="E59" s="105" t="str">
        <f>IF(H59="非个人房产","——","销售额×税（费）率")</f>
        <v>销售额×税（费）率</v>
      </c>
      <c r="F59" s="106">
        <f>IF(H59="非个人房产","——",IF(H59="个人住宅","免征",I59))</f>
        <v>0.01</v>
      </c>
      <c r="G59" s="2259" t="s">
        <v>1854</v>
      </c>
      <c r="H59" s="2254" t="s">
        <v>1862</v>
      </c>
      <c r="I59" s="107">
        <v>0.01</v>
      </c>
      <c r="J59" s="2984">
        <f>J57+1</f>
        <v>6</v>
      </c>
      <c r="K59" s="2986" t="s">
        <v>1863</v>
      </c>
      <c r="L59" s="1873" t="s">
        <v>1857</v>
      </c>
      <c r="M59" s="786"/>
      <c r="N59" s="787" t="e">
        <f ca="1">M49-N57</f>
        <v>#VALUE!</v>
      </c>
      <c r="O59" s="2260"/>
      <c r="P59" s="1835"/>
    </row>
    <row r="60" spans="1:16" ht="12" customHeight="1">
      <c r="A60" s="2057"/>
      <c r="B60" s="2184"/>
      <c r="C60" s="2184"/>
      <c r="D60" s="2184"/>
      <c r="E60" s="1022"/>
      <c r="F60" s="1022"/>
      <c r="G60" s="1022"/>
      <c r="H60" s="2237"/>
      <c r="I60" s="2184"/>
      <c r="J60" s="2985"/>
      <c r="K60" s="2986"/>
      <c r="L60" s="2255" t="s">
        <v>1860</v>
      </c>
      <c r="M60" s="785"/>
      <c r="N60" s="2257" t="e">
        <f ca="1">IF(H19="元",NUMBERSTRING(INT(N59),2)&amp;"元整",NUMBERSTRING(INT(N59*10000),2)&amp;"元整")</f>
        <v>#VALUE!</v>
      </c>
      <c r="O60" s="2258"/>
      <c r="P60" s="1835"/>
    </row>
    <row r="61" spans="1:16" ht="13.5" thickBot="1">
      <c r="A61" s="2967" t="s">
        <v>1864</v>
      </c>
      <c r="B61" s="2967"/>
      <c r="C61" s="2967"/>
      <c r="D61" s="2967"/>
      <c r="E61" s="2967"/>
      <c r="F61" s="1022"/>
      <c r="G61" s="1022"/>
      <c r="H61" s="2237"/>
      <c r="I61" s="2184"/>
      <c r="J61" s="1873">
        <f>J59+1</f>
        <v>7</v>
      </c>
      <c r="K61" s="2986" t="s">
        <v>1865</v>
      </c>
      <c r="L61" s="2986"/>
      <c r="M61" s="788"/>
      <c r="N61" s="789" t="e">
        <f ca="1">IF(H19="元",ROUND(N59/项目基本情况!C12,0),ROUND(N59*10000/项目基本情况!C12,0))</f>
        <v>#VALUE!</v>
      </c>
      <c r="O61" s="2261"/>
      <c r="P61" s="1835"/>
    </row>
    <row r="62" spans="1:16" ht="12.75">
      <c r="A62" s="2974" t="s">
        <v>1866</v>
      </c>
      <c r="B62" s="2975"/>
      <c r="C62" s="1875"/>
      <c r="D62" s="1875" t="s">
        <v>1867</v>
      </c>
      <c r="E62" s="108" t="s">
        <v>1868</v>
      </c>
      <c r="F62" s="1022"/>
      <c r="G62" s="1022"/>
      <c r="H62" s="2237"/>
      <c r="I62" s="2184"/>
      <c r="J62" s="1835"/>
      <c r="K62" s="1835"/>
      <c r="L62" s="1835"/>
      <c r="M62" s="1835"/>
      <c r="N62" s="1835"/>
      <c r="O62" s="1835"/>
      <c r="P62" s="1835"/>
    </row>
    <row r="63" spans="1:16" ht="12.75">
      <c r="A63" s="109">
        <v>1</v>
      </c>
      <c r="B63" s="110" t="s">
        <v>1869</v>
      </c>
      <c r="C63" s="111" t="e">
        <f ca="1">ROUND((C64+C65)/(1+'数据-取费表'!F30),0)</f>
        <v>#REF!</v>
      </c>
      <c r="D63" s="112"/>
      <c r="E63" s="113"/>
      <c r="F63" s="1022"/>
      <c r="G63" s="1022"/>
      <c r="H63" s="2237"/>
      <c r="I63" s="2184"/>
      <c r="J63" s="3006" t="s">
        <v>1870</v>
      </c>
      <c r="K63" s="2262" t="s">
        <v>1871</v>
      </c>
      <c r="L63" s="1834" t="e">
        <f>IF(M49&gt;10000,M49*0.5%,IF(AND(M49&gt;1000,M49&lt;=10000),M49*1%,IF(AND(M49&gt;100,M49&lt;=1000),M49*3%,IF(AND(M49&gt;10,M49&lt;=100),M49*5%,M49*8%))))</f>
        <v>#VALUE!</v>
      </c>
      <c r="M63" s="14" t="e">
        <f>ROUND(L63,1)</f>
        <v>#VALUE!</v>
      </c>
      <c r="N63" s="1835"/>
      <c r="O63" s="1835"/>
      <c r="P63" s="1835"/>
    </row>
    <row r="64" spans="1:16" ht="12.75">
      <c r="A64" s="114" t="s">
        <v>71</v>
      </c>
      <c r="B64" s="115" t="s">
        <v>1872</v>
      </c>
      <c r="C64" s="116" t="e">
        <f ca="1">D45</f>
        <v>#REF!</v>
      </c>
      <c r="D64" s="117" t="s">
        <v>41</v>
      </c>
      <c r="E64" s="118"/>
      <c r="F64" s="1022"/>
      <c r="G64" s="1022"/>
      <c r="H64" s="2237"/>
      <c r="I64" s="2184"/>
      <c r="J64" s="3006"/>
      <c r="K64" s="2262" t="s">
        <v>1873</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1874</v>
      </c>
      <c r="O64" s="1835"/>
      <c r="P64" s="1835"/>
    </row>
    <row r="65" spans="1:35" ht="12.75">
      <c r="A65" s="114" t="s">
        <v>72</v>
      </c>
      <c r="B65" s="115" t="s">
        <v>1875</v>
      </c>
      <c r="C65" s="119"/>
      <c r="D65" s="117"/>
      <c r="E65" s="118"/>
      <c r="F65" s="1022"/>
      <c r="G65" s="1022"/>
      <c r="H65" s="2237"/>
      <c r="I65" s="2184"/>
      <c r="J65" s="3006"/>
      <c r="K65" s="2262" t="s">
        <v>1876</v>
      </c>
      <c r="L65" s="1834" t="e">
        <f>IF(M49&gt;1000,M49*0.1%,IF(AND(M49&gt;500,M49&lt;=1000),M49*0.5%,IF(AND(M49&gt;50,M49&lt;=500),M49*1%,IF(AND(M49&gt;1,M49&lt;=50),M49*1.5%))))</f>
        <v>#VALUE!</v>
      </c>
      <c r="M65" s="14" t="e">
        <f t="shared" si="2"/>
        <v>#VALUE!</v>
      </c>
      <c r="N65" s="1835" t="s">
        <v>1874</v>
      </c>
      <c r="O65" s="1835"/>
      <c r="P65" s="1835"/>
    </row>
    <row r="66" spans="1:35" ht="12.75">
      <c r="A66" s="120" t="s">
        <v>47</v>
      </c>
      <c r="B66" s="121" t="s">
        <v>1877</v>
      </c>
      <c r="C66" s="122"/>
      <c r="D66" s="123" t="s">
        <v>41</v>
      </c>
      <c r="E66" s="1851" t="s">
        <v>1878</v>
      </c>
      <c r="F66" s="1022"/>
      <c r="G66" s="1022"/>
      <c r="H66" s="2237"/>
      <c r="I66" s="2184"/>
      <c r="J66" s="3006"/>
      <c r="K66" s="2262" t="s">
        <v>1879</v>
      </c>
      <c r="L66" s="1834" t="e">
        <f>M49*0.5%</f>
        <v>#VALUE!</v>
      </c>
      <c r="M66" s="14" t="e">
        <f>IF(L66&gt;0.5,0.5,ROUND(L66,0))</f>
        <v>#VALUE!</v>
      </c>
      <c r="N66" s="1835" t="s">
        <v>1880</v>
      </c>
      <c r="O66" s="1835"/>
      <c r="P66" s="1835"/>
    </row>
    <row r="67" spans="1:35" ht="12.75">
      <c r="A67" s="120" t="s">
        <v>42</v>
      </c>
      <c r="B67" s="121" t="s">
        <v>1881</v>
      </c>
      <c r="C67" s="124" t="e">
        <f ca="1">C63-C66</f>
        <v>#REF!</v>
      </c>
      <c r="D67" s="117" t="s">
        <v>41</v>
      </c>
      <c r="E67" s="118"/>
      <c r="F67" s="1022"/>
      <c r="G67" s="1022"/>
      <c r="H67" s="2237"/>
      <c r="I67" s="2184"/>
      <c r="J67" s="3006"/>
      <c r="K67" s="2262" t="s">
        <v>1882</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1883</v>
      </c>
      <c r="C68" s="127" t="e">
        <f ca="1">IF(C67&lt;=0,0,ROUND(C67*D68,0))</f>
        <v>#REF!</v>
      </c>
      <c r="D68" s="128">
        <f>'数据-取费表'!E29</f>
        <v>5.6000000000000001E-2</v>
      </c>
      <c r="E68" s="129"/>
      <c r="F68" s="1022"/>
      <c r="G68" s="1022"/>
      <c r="H68" s="2237"/>
      <c r="I68" s="2184"/>
      <c r="J68" s="3006"/>
      <c r="K68" s="2262" t="s">
        <v>1884</v>
      </c>
      <c r="L68" s="1834" t="e">
        <f>IF(M49&gt;10000,M49*0.5%,IF(AND(M49&gt;5000,M49&lt;=10000),M49*1%,IF(AND(M49&gt;1000,M49&lt;=5000),M49*2%,IF(AND(M49&gt;200,M49&lt;=1000),M49*3%,M49*5%))))</f>
        <v>#VALUE!</v>
      </c>
      <c r="M68" s="14" t="e">
        <f>ROUND(L68,1)</f>
        <v>#VALUE!</v>
      </c>
      <c r="N68" s="1835"/>
      <c r="O68" s="1835"/>
      <c r="P68" s="1835"/>
    </row>
    <row r="69" spans="1:35" s="2211" customFormat="1" ht="7.5" customHeight="1">
      <c r="A69" s="2263"/>
      <c r="B69" s="2264"/>
      <c r="C69" s="2265"/>
      <c r="D69" s="2266"/>
      <c r="E69" s="2267"/>
      <c r="F69" s="1022"/>
      <c r="G69" s="1022"/>
      <c r="H69" s="2237"/>
      <c r="I69" s="2184"/>
      <c r="J69" s="3006"/>
      <c r="K69" s="2262" t="s">
        <v>1885</v>
      </c>
      <c r="L69" s="2268"/>
      <c r="M69" s="14" t="e">
        <f>ROUND(SUM(M63:M68),0)</f>
        <v>#VALUE!</v>
      </c>
      <c r="N69" s="1831" t="e">
        <f>M69/M49</f>
        <v>#VALUE!</v>
      </c>
      <c r="O69" s="1835"/>
      <c r="P69" s="1835"/>
      <c r="Q69" s="798"/>
      <c r="R69" s="798"/>
      <c r="S69" s="798"/>
      <c r="T69" s="798"/>
      <c r="U69" s="798"/>
      <c r="V69" s="798"/>
      <c r="W69" s="798"/>
      <c r="X69" s="798"/>
      <c r="Y69" s="798"/>
      <c r="Z69" s="798"/>
      <c r="AA69" s="1835"/>
      <c r="AB69" s="1835"/>
      <c r="AC69" s="1835"/>
      <c r="AD69" s="1835"/>
      <c r="AE69" s="1835"/>
      <c r="AF69" s="1835"/>
      <c r="AG69" s="1835"/>
      <c r="AH69" s="1835"/>
      <c r="AI69" s="1835"/>
    </row>
    <row r="70" spans="1:35" s="2270" customFormat="1" ht="15" thickBot="1">
      <c r="A70" s="2978" t="s">
        <v>1886</v>
      </c>
      <c r="B70" s="2979"/>
      <c r="C70" s="2979"/>
      <c r="D70" s="2979"/>
      <c r="E70" s="2979"/>
      <c r="F70" s="2979"/>
      <c r="G70" s="2979"/>
      <c r="H70" s="2979"/>
      <c r="I70" s="2269"/>
      <c r="O70" s="1286"/>
      <c r="P70" s="1286"/>
      <c r="Q70" s="1286"/>
      <c r="R70" s="1286"/>
      <c r="S70" s="1286"/>
      <c r="T70" s="1286"/>
      <c r="U70" s="1286"/>
      <c r="V70" s="1286"/>
      <c r="W70" s="1286"/>
      <c r="X70" s="1286"/>
      <c r="Y70" s="1286"/>
      <c r="Z70" s="1286"/>
      <c r="AA70" s="2271"/>
      <c r="AB70" s="2271"/>
      <c r="AC70" s="2271"/>
      <c r="AD70" s="2271"/>
      <c r="AE70" s="2271"/>
      <c r="AF70" s="2271"/>
      <c r="AG70" s="2271"/>
      <c r="AH70" s="2271"/>
      <c r="AI70" s="2271"/>
    </row>
    <row r="71" spans="1:35" s="2270" customFormat="1" ht="14.25">
      <c r="A71" s="2974" t="s">
        <v>1866</v>
      </c>
      <c r="B71" s="2975"/>
      <c r="C71" s="1875"/>
      <c r="D71" s="1875" t="s">
        <v>1867</v>
      </c>
      <c r="E71" s="130" t="s">
        <v>1868</v>
      </c>
      <c r="F71" s="131"/>
      <c r="G71" s="131"/>
      <c r="H71" s="132"/>
      <c r="I71" s="2272"/>
      <c r="O71" s="1286"/>
      <c r="P71" s="1286"/>
      <c r="Q71" s="1286"/>
      <c r="R71" s="1286"/>
      <c r="S71" s="1286"/>
      <c r="T71" s="1286"/>
      <c r="U71" s="1286"/>
      <c r="V71" s="1286"/>
      <c r="W71" s="1286"/>
      <c r="X71" s="1286"/>
      <c r="Y71" s="1286"/>
      <c r="Z71" s="1286"/>
      <c r="AA71" s="2271"/>
      <c r="AB71" s="2271"/>
      <c r="AC71" s="2271"/>
      <c r="AD71" s="2271"/>
      <c r="AE71" s="2271"/>
      <c r="AF71" s="2271"/>
      <c r="AG71" s="2271"/>
      <c r="AH71" s="2271"/>
      <c r="AI71" s="2271"/>
    </row>
    <row r="72" spans="1:35" s="2270" customFormat="1" ht="14.25">
      <c r="A72" s="133">
        <v>1</v>
      </c>
      <c r="B72" s="121" t="s">
        <v>1887</v>
      </c>
      <c r="C72" s="124" t="e">
        <f ca="1">ROUND(D45/(1+'数据-取费表'!F30),0)</f>
        <v>#REF!</v>
      </c>
      <c r="D72" s="117" t="s">
        <v>41</v>
      </c>
      <c r="E72" s="12" t="s">
        <v>1888</v>
      </c>
      <c r="F72" s="1879"/>
      <c r="G72" s="1879"/>
      <c r="H72" s="134"/>
      <c r="I72" s="2272"/>
      <c r="O72" s="1286"/>
      <c r="P72" s="1286"/>
      <c r="Q72" s="1286"/>
      <c r="R72" s="1286"/>
      <c r="S72" s="1286"/>
      <c r="T72" s="1286"/>
      <c r="U72" s="1286"/>
      <c r="V72" s="1286"/>
      <c r="W72" s="1286"/>
      <c r="X72" s="1286"/>
      <c r="Y72" s="1286"/>
      <c r="Z72" s="1286"/>
      <c r="AA72" s="2271"/>
      <c r="AB72" s="2271"/>
      <c r="AC72" s="2271"/>
      <c r="AD72" s="2271"/>
      <c r="AE72" s="2271"/>
      <c r="AF72" s="2271"/>
      <c r="AG72" s="2271"/>
      <c r="AH72" s="2271"/>
      <c r="AI72" s="2271"/>
    </row>
    <row r="73" spans="1:35" s="2270" customFormat="1" ht="14.25">
      <c r="A73" s="135">
        <v>2</v>
      </c>
      <c r="B73" s="89" t="s">
        <v>1889</v>
      </c>
      <c r="C73" s="124" t="e">
        <f ca="1">C74+C78</f>
        <v>#REF!</v>
      </c>
      <c r="D73" s="117" t="s">
        <v>41</v>
      </c>
      <c r="E73" s="1878"/>
      <c r="F73" s="1879"/>
      <c r="G73" s="1879"/>
      <c r="H73" s="134"/>
      <c r="I73" s="2272"/>
      <c r="O73" s="1286"/>
      <c r="P73" s="1286"/>
      <c r="Q73" s="1286"/>
      <c r="R73" s="1286"/>
      <c r="S73" s="1286"/>
      <c r="T73" s="1286"/>
      <c r="U73" s="1286"/>
      <c r="V73" s="1286"/>
      <c r="W73" s="1286"/>
      <c r="X73" s="1286"/>
      <c r="Y73" s="1286"/>
      <c r="Z73" s="1286"/>
      <c r="AA73" s="2271"/>
      <c r="AB73" s="2271"/>
      <c r="AC73" s="2271"/>
      <c r="AD73" s="2271"/>
      <c r="AE73" s="2271"/>
      <c r="AF73" s="2271"/>
      <c r="AG73" s="2271"/>
      <c r="AH73" s="2271"/>
      <c r="AI73" s="2271"/>
    </row>
    <row r="74" spans="1:35" s="2270" customFormat="1" ht="24">
      <c r="A74" s="136" t="s">
        <v>73</v>
      </c>
      <c r="B74" s="115" t="s">
        <v>1890</v>
      </c>
      <c r="C74" s="117">
        <f>ROUND(IF(G77="2016年5月1日后购买",C75/(1+'数据-取费表'!F30)+C76+C77,C75+C76+C77),0)</f>
        <v>0</v>
      </c>
      <c r="D74" s="117" t="s">
        <v>41</v>
      </c>
      <c r="E74" s="1878"/>
      <c r="F74" s="1879"/>
      <c r="G74" s="1879"/>
      <c r="H74" s="134"/>
      <c r="I74" s="2272"/>
      <c r="O74" s="1286"/>
      <c r="P74" s="1286"/>
      <c r="Q74" s="1286"/>
      <c r="R74" s="1286"/>
      <c r="S74" s="1286"/>
      <c r="T74" s="1286"/>
      <c r="U74" s="1286"/>
      <c r="V74" s="1286"/>
      <c r="W74" s="1286"/>
      <c r="X74" s="1286"/>
      <c r="Y74" s="1286"/>
      <c r="Z74" s="1286"/>
      <c r="AA74" s="2271"/>
      <c r="AB74" s="2271"/>
      <c r="AC74" s="2271"/>
      <c r="AD74" s="2271"/>
      <c r="AE74" s="2271"/>
      <c r="AF74" s="2271"/>
      <c r="AG74" s="2271"/>
      <c r="AH74" s="2271"/>
      <c r="AI74" s="2271"/>
    </row>
    <row r="75" spans="1:35" s="2270" customFormat="1" ht="14.25">
      <c r="A75" s="136" t="s">
        <v>74</v>
      </c>
      <c r="B75" s="115" t="s">
        <v>1891</v>
      </c>
      <c r="C75" s="137"/>
      <c r="D75" s="117" t="s">
        <v>41</v>
      </c>
      <c r="E75" s="138" t="s">
        <v>1892</v>
      </c>
      <c r="F75" s="2273" t="s">
        <v>1893</v>
      </c>
      <c r="G75" s="138" t="s">
        <v>1894</v>
      </c>
      <c r="H75" s="139"/>
      <c r="I75" s="9"/>
      <c r="O75" s="1286"/>
      <c r="P75" s="1286"/>
      <c r="Q75" s="1286"/>
      <c r="R75" s="1286"/>
      <c r="S75" s="1286"/>
      <c r="T75" s="1286"/>
      <c r="U75" s="1286"/>
      <c r="V75" s="1286"/>
      <c r="W75" s="1286"/>
      <c r="X75" s="1286"/>
      <c r="Y75" s="1286"/>
      <c r="Z75" s="1286"/>
      <c r="AA75" s="2271"/>
      <c r="AB75" s="2271"/>
      <c r="AC75" s="2271"/>
      <c r="AD75" s="2271"/>
      <c r="AE75" s="2271"/>
      <c r="AF75" s="2271"/>
      <c r="AG75" s="2271"/>
      <c r="AH75" s="2271"/>
      <c r="AI75" s="2271"/>
    </row>
    <row r="76" spans="1:35" s="2270" customFormat="1" ht="24.75" customHeight="1">
      <c r="A76" s="136" t="s">
        <v>75</v>
      </c>
      <c r="B76" s="140" t="s">
        <v>1895</v>
      </c>
      <c r="C76" s="117">
        <f>IF(F75="购房发票",ROUND(C75*H75*D76,0),0)</f>
        <v>0</v>
      </c>
      <c r="D76" s="141">
        <v>0.05</v>
      </c>
      <c r="E76" s="2955" t="s">
        <v>1896</v>
      </c>
      <c r="F76" s="2954"/>
      <c r="G76" s="2954"/>
      <c r="H76" s="2969"/>
      <c r="I76" s="2272"/>
      <c r="O76" s="1286"/>
      <c r="P76" s="1286"/>
      <c r="Q76" s="1286"/>
      <c r="R76" s="1286"/>
      <c r="S76" s="1286"/>
      <c r="T76" s="1286"/>
      <c r="U76" s="1286"/>
      <c r="V76" s="1286"/>
      <c r="W76" s="1286"/>
      <c r="X76" s="1286"/>
      <c r="Y76" s="1286"/>
      <c r="Z76" s="1286"/>
      <c r="AA76" s="2271"/>
      <c r="AB76" s="2271"/>
      <c r="AC76" s="2271"/>
      <c r="AD76" s="2271"/>
      <c r="AE76" s="2271"/>
      <c r="AF76" s="2271"/>
      <c r="AG76" s="2271"/>
      <c r="AH76" s="2271"/>
      <c r="AI76" s="2271"/>
    </row>
    <row r="77" spans="1:35" s="2270" customFormat="1" ht="24.75" customHeight="1">
      <c r="A77" s="136" t="s">
        <v>76</v>
      </c>
      <c r="B77" s="115" t="s">
        <v>1897</v>
      </c>
      <c r="C77" s="117">
        <f>ROUND(IF(G77="个人住宅",0,IF(G77="2016年5月1日前购买",C75*D77,C75*D77/(1+'数据-取费表'!F30))),0)</f>
        <v>0</v>
      </c>
      <c r="D77" s="142">
        <f>'数据-取费表'!E36+'数据-取费表'!E37</f>
        <v>3.0499999999999999E-2</v>
      </c>
      <c r="E77" s="12" t="s">
        <v>1898</v>
      </c>
      <c r="F77" s="143"/>
      <c r="G77" s="2274" t="s">
        <v>1899</v>
      </c>
      <c r="H77" s="1880" t="str">
        <f>IF(G77="个人买卖住房","免征印花税"," ")</f>
        <v xml:space="preserve"> </v>
      </c>
      <c r="I77" s="2272"/>
      <c r="J77" s="1286"/>
      <c r="K77" s="1286"/>
      <c r="L77" s="1286"/>
      <c r="M77" s="1286"/>
      <c r="N77" s="1286"/>
      <c r="O77" s="1286"/>
      <c r="P77" s="1286"/>
      <c r="Q77" s="1286"/>
      <c r="R77" s="1286"/>
      <c r="S77" s="1286"/>
      <c r="T77" s="1286"/>
      <c r="U77" s="1286"/>
      <c r="V77" s="1286"/>
      <c r="W77" s="1286"/>
      <c r="X77" s="1286"/>
      <c r="Y77" s="1286"/>
      <c r="Z77" s="1286"/>
      <c r="AA77" s="2271"/>
      <c r="AB77" s="2271"/>
      <c r="AC77" s="2271"/>
      <c r="AD77" s="2271"/>
      <c r="AE77" s="2271"/>
      <c r="AF77" s="2271"/>
      <c r="AG77" s="2271"/>
      <c r="AH77" s="2271"/>
      <c r="AI77" s="2271"/>
    </row>
    <row r="78" spans="1:35" s="2270" customFormat="1" ht="24.75" customHeight="1">
      <c r="A78" s="136" t="s">
        <v>77</v>
      </c>
      <c r="B78" s="115" t="s">
        <v>1900</v>
      </c>
      <c r="C78" s="144" t="e">
        <f ca="1">ROUND(D45*D78/(1+'数据-取费表'!F30),0)</f>
        <v>#REF!</v>
      </c>
      <c r="D78" s="145">
        <f>'数据-取费表'!E31</f>
        <v>6.000000000000001E-3</v>
      </c>
      <c r="E78" s="2946" t="s">
        <v>1901</v>
      </c>
      <c r="F78" s="2947"/>
      <c r="G78" s="2947"/>
      <c r="H78" s="2948"/>
      <c r="I78" s="2275"/>
      <c r="J78" s="1286"/>
      <c r="K78" s="1286"/>
      <c r="L78" s="1286"/>
      <c r="M78" s="1286"/>
      <c r="N78" s="1286"/>
      <c r="O78" s="1286"/>
      <c r="P78" s="1286"/>
      <c r="Q78" s="1286"/>
      <c r="R78" s="1286"/>
      <c r="S78" s="1286"/>
      <c r="T78" s="1286"/>
      <c r="U78" s="1286"/>
      <c r="V78" s="1286"/>
      <c r="W78" s="1286"/>
      <c r="X78" s="1286"/>
      <c r="Y78" s="1286"/>
      <c r="Z78" s="1286"/>
      <c r="AA78" s="2271"/>
      <c r="AB78" s="2271"/>
      <c r="AC78" s="2271"/>
      <c r="AD78" s="2271"/>
      <c r="AE78" s="2271"/>
      <c r="AF78" s="2271"/>
      <c r="AG78" s="2271"/>
      <c r="AH78" s="2271"/>
      <c r="AI78" s="2271"/>
    </row>
    <row r="79" spans="1:35" s="2270" customFormat="1" ht="14.25">
      <c r="A79" s="146" t="s">
        <v>42</v>
      </c>
      <c r="B79" s="121" t="s">
        <v>1902</v>
      </c>
      <c r="C79" s="124" t="e">
        <f ca="1">C72-C73</f>
        <v>#REF!</v>
      </c>
      <c r="D79" s="117" t="s">
        <v>41</v>
      </c>
      <c r="E79" s="1878"/>
      <c r="F79" s="1879"/>
      <c r="G79" s="1879"/>
      <c r="H79" s="134"/>
      <c r="I79" s="2272"/>
      <c r="J79" s="1286"/>
      <c r="K79" s="1286"/>
      <c r="L79" s="1286"/>
      <c r="M79" s="1286"/>
      <c r="N79" s="1286"/>
      <c r="O79" s="1286"/>
      <c r="P79" s="1286"/>
      <c r="Q79" s="1286"/>
      <c r="R79" s="1286"/>
      <c r="S79" s="1286"/>
      <c r="T79" s="1286"/>
      <c r="U79" s="1286"/>
      <c r="V79" s="1286"/>
      <c r="W79" s="1286"/>
      <c r="X79" s="1286"/>
      <c r="Y79" s="1286"/>
      <c r="Z79" s="1286"/>
      <c r="AA79" s="2271"/>
      <c r="AB79" s="2271"/>
      <c r="AC79" s="2271"/>
      <c r="AD79" s="2271"/>
      <c r="AE79" s="2271"/>
      <c r="AF79" s="2271"/>
      <c r="AG79" s="2271"/>
      <c r="AH79" s="2271"/>
      <c r="AI79" s="2271"/>
    </row>
    <row r="80" spans="1:35" s="2270" customFormat="1" ht="24">
      <c r="A80" s="146" t="s">
        <v>43</v>
      </c>
      <c r="B80" s="121" t="s">
        <v>1903</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79"/>
      <c r="G80" s="1879"/>
      <c r="H80" s="134"/>
      <c r="I80" s="2272"/>
      <c r="J80" s="1286"/>
      <c r="K80" s="1286"/>
      <c r="L80" s="1286"/>
      <c r="M80" s="1286"/>
      <c r="N80" s="1286"/>
      <c r="O80" s="1286"/>
      <c r="P80" s="1286"/>
      <c r="Q80" s="1286"/>
      <c r="R80" s="1286"/>
      <c r="S80" s="1286"/>
      <c r="T80" s="1286"/>
      <c r="U80" s="1286"/>
      <c r="V80" s="1286"/>
      <c r="W80" s="1286"/>
      <c r="X80" s="1286"/>
      <c r="Y80" s="1286"/>
      <c r="Z80" s="1286"/>
      <c r="AA80" s="2271"/>
      <c r="AB80" s="2271"/>
      <c r="AC80" s="2271"/>
      <c r="AD80" s="2271"/>
      <c r="AE80" s="2271"/>
      <c r="AF80" s="2271"/>
      <c r="AG80" s="2271"/>
      <c r="AH80" s="2271"/>
      <c r="AI80" s="2271"/>
    </row>
    <row r="81" spans="1:35" s="2270" customFormat="1" ht="24.75" thickBot="1">
      <c r="A81" s="148" t="s">
        <v>44</v>
      </c>
      <c r="B81" s="126" t="s">
        <v>1904</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2"/>
      <c r="J81" s="1286"/>
      <c r="K81" s="1286"/>
      <c r="L81" s="1286"/>
      <c r="M81" s="1286"/>
      <c r="N81" s="1286"/>
      <c r="O81" s="1286"/>
      <c r="P81" s="1286"/>
      <c r="Q81" s="1286"/>
      <c r="R81" s="1286"/>
      <c r="S81" s="1286"/>
      <c r="T81" s="1286"/>
      <c r="U81" s="1286"/>
      <c r="V81" s="1286"/>
      <c r="W81" s="1286"/>
      <c r="X81" s="1286"/>
      <c r="Y81" s="1286"/>
      <c r="Z81" s="1286"/>
      <c r="AA81" s="2271"/>
      <c r="AB81" s="2271"/>
      <c r="AC81" s="2271"/>
      <c r="AD81" s="2271"/>
      <c r="AE81" s="2271"/>
      <c r="AF81" s="2271"/>
      <c r="AG81" s="2271"/>
      <c r="AH81" s="2271"/>
      <c r="AI81" s="2271"/>
    </row>
    <row r="82" spans="1:35" s="2270" customFormat="1" ht="7.5" customHeight="1">
      <c r="A82" s="717"/>
      <c r="B82" s="718"/>
      <c r="C82" s="9"/>
      <c r="D82" s="9"/>
      <c r="E82" s="718"/>
      <c r="F82" s="718"/>
      <c r="G82" s="718"/>
      <c r="H82" s="719"/>
      <c r="I82" s="2275"/>
      <c r="J82" s="1286"/>
      <c r="K82" s="1286"/>
      <c r="L82" s="1286"/>
      <c r="M82" s="1286"/>
      <c r="N82" s="1286"/>
      <c r="O82" s="1286"/>
      <c r="P82" s="1286"/>
      <c r="Q82" s="1286"/>
      <c r="R82" s="1286"/>
      <c r="S82" s="1286"/>
      <c r="T82" s="1286"/>
      <c r="U82" s="1286"/>
      <c r="V82" s="1286"/>
      <c r="W82" s="1286"/>
      <c r="X82" s="1286"/>
      <c r="Y82" s="1286"/>
      <c r="Z82" s="1286"/>
      <c r="AA82" s="2271"/>
      <c r="AB82" s="2271"/>
      <c r="AC82" s="2271"/>
      <c r="AD82" s="2271"/>
      <c r="AE82" s="2271"/>
      <c r="AF82" s="2271"/>
      <c r="AG82" s="2271"/>
      <c r="AH82" s="2271"/>
      <c r="AI82" s="2271"/>
    </row>
    <row r="83" spans="1:35" s="2270" customFormat="1" ht="15" thickBot="1">
      <c r="A83" s="2978" t="s">
        <v>1905</v>
      </c>
      <c r="B83" s="2979"/>
      <c r="C83" s="2979"/>
      <c r="D83" s="2979"/>
      <c r="E83" s="2979"/>
      <c r="F83" s="2979"/>
      <c r="G83" s="2979"/>
      <c r="H83" s="2979"/>
      <c r="I83" s="9"/>
      <c r="J83" s="1286"/>
      <c r="K83" s="1286"/>
      <c r="L83" s="1286"/>
      <c r="M83" s="1286"/>
      <c r="N83" s="1286"/>
      <c r="O83" s="1286"/>
      <c r="P83" s="1286"/>
      <c r="Q83" s="1286"/>
      <c r="R83" s="1286"/>
      <c r="S83" s="1286"/>
      <c r="T83" s="1286"/>
      <c r="U83" s="1286"/>
      <c r="V83" s="1286"/>
      <c r="W83" s="1286"/>
      <c r="X83" s="1286"/>
      <c r="Y83" s="1286"/>
      <c r="Z83" s="1286"/>
      <c r="AA83" s="2271"/>
      <c r="AB83" s="2271"/>
      <c r="AC83" s="2271"/>
      <c r="AD83" s="2271"/>
      <c r="AE83" s="2271"/>
      <c r="AF83" s="2271"/>
      <c r="AG83" s="2271"/>
      <c r="AH83" s="2271"/>
      <c r="AI83" s="2271"/>
    </row>
    <row r="84" spans="1:35" s="2270" customFormat="1" ht="14.25">
      <c r="A84" s="2974" t="s">
        <v>1866</v>
      </c>
      <c r="B84" s="2975"/>
      <c r="C84" s="1875"/>
      <c r="D84" s="1875" t="s">
        <v>1867</v>
      </c>
      <c r="E84" s="130" t="s">
        <v>1868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1"/>
      <c r="AB84" s="2271"/>
      <c r="AC84" s="2271"/>
      <c r="AD84" s="2271"/>
      <c r="AE84" s="2271"/>
      <c r="AF84" s="2271"/>
      <c r="AG84" s="2271"/>
      <c r="AH84" s="2271"/>
      <c r="AI84" s="2271"/>
    </row>
    <row r="85" spans="1:35" s="2270" customFormat="1" ht="24">
      <c r="A85" s="133">
        <v>1</v>
      </c>
      <c r="B85" s="121" t="s">
        <v>1887</v>
      </c>
      <c r="C85" s="124" t="e">
        <f ca="1">ROUND(D45/(1+'数据-取费表'!F30),0)</f>
        <v>#REF!</v>
      </c>
      <c r="D85" s="117" t="s">
        <v>41</v>
      </c>
      <c r="E85" s="1878" t="s">
        <v>1888</v>
      </c>
      <c r="F85" s="1879"/>
      <c r="G85" s="1879"/>
      <c r="H85" s="155"/>
      <c r="I85" s="9"/>
      <c r="J85" s="1286"/>
      <c r="K85" s="1286"/>
      <c r="L85" s="1286"/>
      <c r="M85" s="1286"/>
      <c r="N85" s="1286"/>
      <c r="O85" s="1286"/>
      <c r="P85" s="1286"/>
      <c r="Q85" s="1286"/>
      <c r="R85" s="1286"/>
      <c r="S85" s="1286"/>
      <c r="T85" s="1286"/>
      <c r="U85" s="1286"/>
      <c r="V85" s="1286"/>
      <c r="W85" s="1286"/>
      <c r="X85" s="1286"/>
      <c r="Y85" s="1286"/>
      <c r="Z85" s="1286"/>
      <c r="AA85" s="2271"/>
      <c r="AB85" s="2271"/>
      <c r="AC85" s="2271"/>
      <c r="AD85" s="2271"/>
      <c r="AE85" s="2271"/>
      <c r="AF85" s="2271"/>
      <c r="AG85" s="2271"/>
      <c r="AH85" s="2271"/>
      <c r="AI85" s="2271"/>
    </row>
    <row r="86" spans="1:35" s="2270" customFormat="1" ht="14.25">
      <c r="A86" s="135">
        <v>2</v>
      </c>
      <c r="B86" s="89" t="s">
        <v>1889</v>
      </c>
      <c r="C86" s="124" t="e">
        <f ca="1">IF(H88="仅含出让金",C87+C90+C91+C92+C93+C94,C87+C91+C92+C93+C94)</f>
        <v>#REF!</v>
      </c>
      <c r="D86" s="156"/>
      <c r="E86" s="1878"/>
      <c r="F86" s="1879"/>
      <c r="G86" s="1879"/>
      <c r="H86" s="155"/>
      <c r="I86" s="9"/>
      <c r="J86" s="1286"/>
      <c r="K86" s="1286"/>
      <c r="L86" s="1286"/>
      <c r="M86" s="1286"/>
      <c r="N86" s="1286"/>
      <c r="O86" s="1286"/>
      <c r="P86" s="1286"/>
      <c r="Q86" s="1286"/>
      <c r="R86" s="1286"/>
      <c r="S86" s="1286"/>
      <c r="T86" s="1286"/>
      <c r="U86" s="1286"/>
      <c r="V86" s="1286"/>
      <c r="W86" s="1286"/>
      <c r="X86" s="1286"/>
      <c r="Y86" s="1286"/>
      <c r="Z86" s="1286"/>
      <c r="AA86" s="2271"/>
      <c r="AB86" s="2271"/>
      <c r="AC86" s="2271"/>
      <c r="AD86" s="2271"/>
      <c r="AE86" s="2271"/>
      <c r="AF86" s="2271"/>
      <c r="AG86" s="2271"/>
      <c r="AH86" s="2271"/>
      <c r="AI86" s="2271"/>
    </row>
    <row r="87" spans="1:35" s="2270" customFormat="1" ht="14.25">
      <c r="A87" s="136" t="s">
        <v>73</v>
      </c>
      <c r="B87" s="115" t="s">
        <v>1906</v>
      </c>
      <c r="C87" s="144">
        <f>C88+C89</f>
        <v>0</v>
      </c>
      <c r="D87" s="145"/>
      <c r="E87" s="1871"/>
      <c r="F87" s="1872"/>
      <c r="G87" s="1872"/>
      <c r="H87" s="1874"/>
      <c r="I87" s="9"/>
      <c r="J87" s="1286"/>
      <c r="K87" s="1286"/>
      <c r="L87" s="1286"/>
      <c r="M87" s="1286"/>
      <c r="N87" s="1286"/>
      <c r="O87" s="1286"/>
      <c r="P87" s="1286"/>
      <c r="Q87" s="1286"/>
      <c r="R87" s="1286"/>
      <c r="S87" s="1286"/>
      <c r="T87" s="1286"/>
      <c r="U87" s="1286"/>
      <c r="V87" s="1286"/>
      <c r="W87" s="1286"/>
      <c r="X87" s="1286"/>
      <c r="Y87" s="1286"/>
      <c r="Z87" s="1286"/>
      <c r="AA87" s="2271"/>
      <c r="AB87" s="2271"/>
      <c r="AC87" s="2271"/>
      <c r="AD87" s="2271"/>
      <c r="AE87" s="2271"/>
      <c r="AF87" s="2271"/>
      <c r="AG87" s="2271"/>
      <c r="AH87" s="2271"/>
      <c r="AI87" s="2271"/>
    </row>
    <row r="88" spans="1:35" s="2270" customFormat="1" ht="14.25">
      <c r="A88" s="136" t="s">
        <v>74</v>
      </c>
      <c r="B88" s="115" t="s">
        <v>1907</v>
      </c>
      <c r="C88" s="157"/>
      <c r="D88" s="145"/>
      <c r="E88" s="158" t="s">
        <v>1908</v>
      </c>
      <c r="F88" s="1872"/>
      <c r="G88" s="159" t="s">
        <v>1909</v>
      </c>
      <c r="H88" s="2276"/>
      <c r="I88" s="9"/>
      <c r="J88" s="1286"/>
      <c r="K88" s="1286"/>
      <c r="L88" s="1286"/>
      <c r="M88" s="1286"/>
      <c r="N88" s="1286"/>
      <c r="O88" s="1286"/>
      <c r="P88" s="1286"/>
      <c r="Q88" s="1286"/>
      <c r="R88" s="1286"/>
      <c r="S88" s="1286"/>
      <c r="T88" s="1286"/>
      <c r="U88" s="1286"/>
      <c r="V88" s="1286"/>
      <c r="W88" s="1286"/>
      <c r="X88" s="1286"/>
      <c r="Y88" s="1286"/>
      <c r="Z88" s="1286"/>
      <c r="AA88" s="2271"/>
      <c r="AB88" s="2271"/>
      <c r="AC88" s="2271"/>
      <c r="AD88" s="2271"/>
      <c r="AE88" s="2271"/>
      <c r="AF88" s="2271"/>
      <c r="AG88" s="2271"/>
      <c r="AH88" s="2271"/>
      <c r="AI88" s="2271"/>
    </row>
    <row r="89" spans="1:35" s="2270" customFormat="1" ht="14.25">
      <c r="A89" s="136" t="s">
        <v>75</v>
      </c>
      <c r="B89" s="115" t="s">
        <v>1897</v>
      </c>
      <c r="C89" s="144">
        <f>ROUND(C88*D89,0)</f>
        <v>0</v>
      </c>
      <c r="D89" s="145">
        <f>'数据-取费表'!E36+'数据-取费表'!E37</f>
        <v>3.0499999999999999E-2</v>
      </c>
      <c r="E89" s="158" t="s">
        <v>1910</v>
      </c>
      <c r="F89" s="1872"/>
      <c r="G89" s="1872"/>
      <c r="H89" s="1874"/>
      <c r="I89" s="9"/>
      <c r="J89" s="1286"/>
      <c r="K89" s="1286"/>
      <c r="L89" s="1286"/>
      <c r="M89" s="1286"/>
      <c r="N89" s="1286"/>
      <c r="O89" s="1286"/>
      <c r="P89" s="1286"/>
      <c r="Q89" s="1286"/>
      <c r="R89" s="1286"/>
      <c r="S89" s="1286"/>
      <c r="T89" s="1286"/>
      <c r="U89" s="1286"/>
      <c r="V89" s="1286"/>
      <c r="W89" s="1286"/>
      <c r="X89" s="1286"/>
      <c r="Y89" s="1286"/>
      <c r="Z89" s="1286"/>
      <c r="AA89" s="2271"/>
      <c r="AB89" s="2271"/>
      <c r="AC89" s="2271"/>
      <c r="AD89" s="2271"/>
      <c r="AE89" s="2271"/>
      <c r="AF89" s="2271"/>
      <c r="AG89" s="2271"/>
      <c r="AH89" s="2271"/>
      <c r="AI89" s="2271"/>
    </row>
    <row r="90" spans="1:35" s="2270" customFormat="1" ht="14.25">
      <c r="A90" s="136" t="s">
        <v>77</v>
      </c>
      <c r="B90" s="115" t="s">
        <v>1911</v>
      </c>
      <c r="C90" s="157"/>
      <c r="D90" s="145"/>
      <c r="E90" s="158" t="str">
        <f>IF(H88="-","土地取得成本中已包含该笔费用"," ")</f>
        <v xml:space="preserve"> </v>
      </c>
      <c r="F90" s="1872"/>
      <c r="G90" s="1872"/>
      <c r="H90" s="1874"/>
      <c r="I90" s="9"/>
      <c r="J90" s="1286"/>
      <c r="K90" s="1286"/>
      <c r="L90" s="1286"/>
      <c r="M90" s="1286"/>
      <c r="N90" s="1286"/>
      <c r="O90" s="1286"/>
      <c r="P90" s="1286"/>
      <c r="Q90" s="1286"/>
      <c r="R90" s="1286"/>
      <c r="S90" s="1286"/>
      <c r="T90" s="1286"/>
      <c r="U90" s="1286"/>
      <c r="V90" s="1286"/>
      <c r="W90" s="1286"/>
      <c r="X90" s="1286"/>
      <c r="Y90" s="1286"/>
      <c r="Z90" s="1286"/>
      <c r="AA90" s="2271"/>
      <c r="AB90" s="2271"/>
      <c r="AC90" s="2271"/>
      <c r="AD90" s="2271"/>
      <c r="AE90" s="2271"/>
      <c r="AF90" s="2271"/>
      <c r="AG90" s="2271"/>
      <c r="AH90" s="2271"/>
      <c r="AI90" s="2271"/>
    </row>
    <row r="91" spans="1:35" s="2270" customFormat="1" ht="30.75" customHeight="1">
      <c r="A91" s="136" t="s">
        <v>78</v>
      </c>
      <c r="B91" s="115" t="s">
        <v>1912</v>
      </c>
      <c r="C91" s="144">
        <f>IF(H91="——",成本法!C33,I91)</f>
        <v>0</v>
      </c>
      <c r="D91" s="145"/>
      <c r="E91" s="2946" t="s">
        <v>1913</v>
      </c>
      <c r="F91" s="2947"/>
      <c r="G91" s="2947"/>
      <c r="H91" s="2277" t="s">
        <v>1914</v>
      </c>
      <c r="I91" s="2278"/>
      <c r="J91" s="1286"/>
      <c r="K91" s="1286"/>
      <c r="L91" s="1286"/>
      <c r="M91" s="1286"/>
      <c r="N91" s="1286"/>
      <c r="O91" s="1286"/>
      <c r="P91" s="1286"/>
      <c r="Q91" s="1286"/>
      <c r="R91" s="1286"/>
      <c r="S91" s="1286"/>
      <c r="T91" s="1286"/>
      <c r="U91" s="1286"/>
      <c r="V91" s="1286"/>
      <c r="W91" s="1286"/>
      <c r="X91" s="1286"/>
      <c r="Y91" s="1286"/>
      <c r="Z91" s="1286"/>
      <c r="AA91" s="2271"/>
      <c r="AB91" s="2271"/>
      <c r="AC91" s="2271"/>
      <c r="AD91" s="2271"/>
      <c r="AE91" s="2271"/>
      <c r="AF91" s="2271"/>
      <c r="AG91" s="2271"/>
      <c r="AH91" s="2271"/>
      <c r="AI91" s="2271"/>
    </row>
    <row r="92" spans="1:35" s="2270" customFormat="1" ht="25.5" customHeight="1">
      <c r="A92" s="136" t="s">
        <v>79</v>
      </c>
      <c r="B92" s="115" t="s">
        <v>1915</v>
      </c>
      <c r="C92" s="144">
        <f>ROUND((C87+C90+C91)*D92,0)</f>
        <v>0</v>
      </c>
      <c r="D92" s="145">
        <v>0.1</v>
      </c>
      <c r="E92" s="2946" t="s">
        <v>1916</v>
      </c>
      <c r="F92" s="2947"/>
      <c r="G92" s="2947"/>
      <c r="H92" s="2948"/>
      <c r="I92" s="9"/>
      <c r="J92" s="1286"/>
      <c r="K92" s="1286"/>
      <c r="L92" s="1286"/>
      <c r="M92" s="1286"/>
      <c r="N92" s="1286"/>
      <c r="O92" s="1286"/>
      <c r="P92" s="1286"/>
      <c r="Q92" s="1286"/>
      <c r="R92" s="1286"/>
      <c r="S92" s="1286"/>
      <c r="T92" s="1286"/>
      <c r="U92" s="1286"/>
      <c r="V92" s="1286"/>
      <c r="W92" s="1286"/>
      <c r="X92" s="1286"/>
      <c r="Y92" s="1286"/>
      <c r="Z92" s="1286"/>
      <c r="AA92" s="2271"/>
      <c r="AB92" s="2271"/>
      <c r="AC92" s="2271"/>
      <c r="AD92" s="2271"/>
      <c r="AE92" s="2271"/>
      <c r="AF92" s="2271"/>
      <c r="AG92" s="2271"/>
      <c r="AH92" s="2271"/>
      <c r="AI92" s="2271"/>
    </row>
    <row r="93" spans="1:35" s="2270" customFormat="1" ht="25.5" customHeight="1">
      <c r="A93" s="136" t="s">
        <v>80</v>
      </c>
      <c r="B93" s="115" t="s">
        <v>1900</v>
      </c>
      <c r="C93" s="144" t="e">
        <f ca="1">ROUND(D45*D93/(1+'数据-取费表'!F30),0)</f>
        <v>#REF!</v>
      </c>
      <c r="D93" s="145">
        <f>'数据-取费表'!E31</f>
        <v>6.000000000000001E-3</v>
      </c>
      <c r="E93" s="2946" t="s">
        <v>1901</v>
      </c>
      <c r="F93" s="2947"/>
      <c r="G93" s="2947"/>
      <c r="H93" s="2948"/>
      <c r="I93" s="9"/>
      <c r="J93" s="1286"/>
      <c r="K93" s="1286"/>
      <c r="L93" s="1286"/>
      <c r="M93" s="1286"/>
      <c r="N93" s="1286"/>
      <c r="O93" s="1286"/>
      <c r="P93" s="1286"/>
      <c r="Q93" s="1286"/>
      <c r="R93" s="1286"/>
      <c r="S93" s="1286"/>
      <c r="T93" s="1286"/>
      <c r="U93" s="1286"/>
      <c r="V93" s="1286"/>
      <c r="W93" s="1286"/>
      <c r="X93" s="1286"/>
      <c r="Y93" s="1286"/>
      <c r="Z93" s="1286"/>
      <c r="AA93" s="2271"/>
      <c r="AB93" s="2271"/>
      <c r="AC93" s="2271"/>
      <c r="AD93" s="2271"/>
      <c r="AE93" s="2271"/>
      <c r="AF93" s="2271"/>
      <c r="AG93" s="2271"/>
      <c r="AH93" s="2271"/>
      <c r="AI93" s="2271"/>
    </row>
    <row r="94" spans="1:35" s="2270" customFormat="1" ht="25.5" customHeight="1">
      <c r="A94" s="136" t="s">
        <v>81</v>
      </c>
      <c r="B94" s="115" t="s">
        <v>1917</v>
      </c>
      <c r="C94" s="144">
        <f>ROUND((C87+C90+C91)*D94,0)</f>
        <v>0</v>
      </c>
      <c r="D94" s="145">
        <v>0.2</v>
      </c>
      <c r="E94" s="2946" t="s">
        <v>1918</v>
      </c>
      <c r="F94" s="2947"/>
      <c r="G94" s="2947"/>
      <c r="H94" s="2948"/>
      <c r="I94" s="9"/>
      <c r="J94" s="1286"/>
      <c r="K94" s="1286"/>
      <c r="L94" s="1286"/>
      <c r="M94" s="1286"/>
      <c r="N94" s="1286"/>
      <c r="O94" s="1286"/>
      <c r="P94" s="1286"/>
      <c r="Q94" s="1286"/>
      <c r="R94" s="1286"/>
      <c r="S94" s="1286"/>
      <c r="T94" s="1286"/>
      <c r="U94" s="1286"/>
      <c r="V94" s="1286"/>
      <c r="W94" s="1286"/>
      <c r="X94" s="1286"/>
      <c r="Y94" s="1286"/>
      <c r="Z94" s="1286"/>
      <c r="AA94" s="2271"/>
      <c r="AB94" s="2271"/>
      <c r="AC94" s="2271"/>
      <c r="AD94" s="2271"/>
      <c r="AE94" s="2271"/>
      <c r="AF94" s="2271"/>
      <c r="AG94" s="2271"/>
      <c r="AH94" s="2271"/>
      <c r="AI94" s="2271"/>
    </row>
    <row r="95" spans="1:35" s="2270" customFormat="1" ht="14.25">
      <c r="A95" s="146" t="s">
        <v>42</v>
      </c>
      <c r="B95" s="121" t="s">
        <v>1902</v>
      </c>
      <c r="C95" s="124" t="e">
        <f ca="1">ROUND(C85-C86,0)</f>
        <v>#REF!</v>
      </c>
      <c r="D95" s="117" t="s">
        <v>41</v>
      </c>
      <c r="E95" s="1878"/>
      <c r="F95" s="1879"/>
      <c r="G95" s="1879"/>
      <c r="H95" s="155"/>
      <c r="I95" s="9"/>
      <c r="J95" s="1286"/>
      <c r="K95" s="1286"/>
      <c r="L95" s="1286"/>
      <c r="M95" s="1286"/>
      <c r="N95" s="1286"/>
      <c r="O95" s="1286"/>
      <c r="P95" s="1286"/>
      <c r="Q95" s="1286"/>
      <c r="R95" s="1286"/>
      <c r="S95" s="1286"/>
      <c r="T95" s="1286"/>
      <c r="U95" s="1286"/>
      <c r="V95" s="1286"/>
      <c r="W95" s="1286"/>
      <c r="X95" s="1286"/>
      <c r="Y95" s="1286"/>
      <c r="Z95" s="1286"/>
      <c r="AA95" s="2271"/>
      <c r="AB95" s="2271"/>
      <c r="AC95" s="2271"/>
      <c r="AD95" s="2271"/>
      <c r="AE95" s="2271"/>
      <c r="AF95" s="2271"/>
      <c r="AG95" s="2271"/>
      <c r="AH95" s="2271"/>
      <c r="AI95" s="2271"/>
    </row>
    <row r="96" spans="1:35" s="2270" customFormat="1" ht="24">
      <c r="A96" s="146" t="s">
        <v>43</v>
      </c>
      <c r="B96" s="121" t="s">
        <v>1903</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79"/>
      <c r="G96" s="1879"/>
      <c r="H96" s="155"/>
      <c r="I96" s="9"/>
      <c r="J96" s="1286"/>
      <c r="K96" s="1286"/>
      <c r="L96" s="1286"/>
      <c r="M96" s="1286"/>
      <c r="N96" s="1286"/>
      <c r="O96" s="1286"/>
      <c r="P96" s="1286"/>
      <c r="Q96" s="1286"/>
      <c r="R96" s="1286"/>
      <c r="S96" s="1286"/>
      <c r="T96" s="1286"/>
      <c r="U96" s="1286"/>
      <c r="V96" s="1286"/>
      <c r="W96" s="1286"/>
      <c r="X96" s="1286"/>
      <c r="Y96" s="1286"/>
      <c r="Z96" s="1286"/>
      <c r="AA96" s="2271"/>
      <c r="AB96" s="2271"/>
      <c r="AC96" s="2271"/>
      <c r="AD96" s="2271"/>
      <c r="AE96" s="2271"/>
      <c r="AF96" s="2271"/>
      <c r="AG96" s="2271"/>
      <c r="AH96" s="2271"/>
      <c r="AI96" s="2271"/>
    </row>
    <row r="97" spans="1:35" s="2270" customFormat="1" ht="24.75" thickBot="1">
      <c r="A97" s="148" t="s">
        <v>44</v>
      </c>
      <c r="B97" s="126" t="s">
        <v>1904</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1"/>
      <c r="AB97" s="2271"/>
      <c r="AC97" s="2271"/>
      <c r="AD97" s="2271"/>
      <c r="AE97" s="2271"/>
      <c r="AF97" s="2271"/>
      <c r="AG97" s="2271"/>
      <c r="AH97" s="2271"/>
      <c r="AI97" s="2271"/>
    </row>
    <row r="98" spans="1:35" ht="21.75" customHeight="1" thickBot="1">
      <c r="A98" s="2240" t="s">
        <v>1919</v>
      </c>
      <c r="B98" s="2184"/>
      <c r="C98" s="2184"/>
      <c r="D98" s="2184"/>
      <c r="E98" s="1022"/>
      <c r="F98" s="1022"/>
      <c r="G98" s="1022"/>
      <c r="H98" s="2237"/>
      <c r="I98" s="2184"/>
    </row>
    <row r="99" spans="1:35" ht="15.75">
      <c r="A99" s="3001" t="s">
        <v>1920</v>
      </c>
      <c r="B99" s="3002"/>
      <c r="C99" s="3002"/>
      <c r="D99" s="3003"/>
      <c r="E99" s="2184"/>
      <c r="F99" s="3012" t="s">
        <v>1921</v>
      </c>
      <c r="G99" s="3013"/>
      <c r="H99" s="3013"/>
      <c r="I99" s="3014"/>
    </row>
    <row r="100" spans="1:35" ht="15.75">
      <c r="A100" s="3015" t="s">
        <v>1922</v>
      </c>
      <c r="B100" s="3016"/>
      <c r="C100" s="720">
        <f>C4</f>
        <v>0</v>
      </c>
      <c r="D100" s="721">
        <f>D4</f>
        <v>0</v>
      </c>
      <c r="E100" s="2184"/>
      <c r="F100" s="2911" t="s">
        <v>1923</v>
      </c>
      <c r="G100" s="2912"/>
      <c r="H100" s="2911" t="s">
        <v>1924</v>
      </c>
      <c r="I100" s="2910"/>
    </row>
    <row r="101" spans="1:35" ht="15.75">
      <c r="A101" s="2993" t="s">
        <v>1925</v>
      </c>
      <c r="B101" s="2279" t="str">
        <f>IF(H19="元","总价（元）","总价（万元）")</f>
        <v>总价（元）</v>
      </c>
      <c r="C101" s="720" t="e">
        <f ca="1">C19</f>
        <v>#REF!</v>
      </c>
      <c r="D101" s="721" t="e">
        <f ca="1">D19</f>
        <v>#REF!</v>
      </c>
      <c r="E101" s="2184"/>
      <c r="F101" s="2911" t="str">
        <f>项目基本情况!I1</f>
        <v>北京市房地产</v>
      </c>
      <c r="G101" s="2912"/>
      <c r="H101" s="2909">
        <f>项目基本情况!C12</f>
        <v>110</v>
      </c>
      <c r="I101" s="2910"/>
    </row>
    <row r="102" spans="1:35" ht="15.75">
      <c r="A102" s="2993"/>
      <c r="B102" s="2279" t="s">
        <v>1926</v>
      </c>
      <c r="C102" s="722" t="e">
        <f ca="1">C20</f>
        <v>#REF!</v>
      </c>
      <c r="D102" s="723" t="e">
        <f ca="1">D20</f>
        <v>#REF!</v>
      </c>
      <c r="E102" s="2184"/>
      <c r="F102" s="2938" t="s">
        <v>1927</v>
      </c>
      <c r="G102" s="2939"/>
      <c r="H102" s="2280" t="str">
        <f>C106</f>
        <v>总价（元）</v>
      </c>
      <c r="I102" s="1852" t="e">
        <f ca="1">H121</f>
        <v>#REF!</v>
      </c>
    </row>
    <row r="103" spans="1:35" ht="15">
      <c r="A103" s="2993" t="s">
        <v>1928</v>
      </c>
      <c r="B103" s="2281" t="str">
        <f>B101</f>
        <v>总价（元）</v>
      </c>
      <c r="C103" s="724" t="e">
        <f ca="1">H121</f>
        <v>#REF!</v>
      </c>
      <c r="D103" s="725"/>
      <c r="E103" s="2184"/>
      <c r="F103" s="2938"/>
      <c r="G103" s="2939"/>
      <c r="H103" s="2280" t="s">
        <v>1926</v>
      </c>
      <c r="I103" s="1050" t="e">
        <f ca="1">I121</f>
        <v>#REF!</v>
      </c>
    </row>
    <row r="104" spans="1:35" ht="16.5" thickBot="1">
      <c r="A104" s="2994"/>
      <c r="B104" s="2282" t="s">
        <v>1926</v>
      </c>
      <c r="C104" s="726" t="e">
        <f ca="1">I121</f>
        <v>#REF!</v>
      </c>
      <c r="D104" s="727"/>
      <c r="E104" s="2184"/>
      <c r="F104" s="3010"/>
      <c r="G104" s="3011"/>
      <c r="H104" s="2995"/>
      <c r="I104" s="2996"/>
    </row>
    <row r="105" spans="1:35" ht="15.75">
      <c r="A105" s="3001" t="s">
        <v>1929</v>
      </c>
      <c r="B105" s="3002"/>
      <c r="C105" s="3002"/>
      <c r="D105" s="3003"/>
      <c r="E105" s="2184"/>
      <c r="F105" s="2999" t="s">
        <v>1930</v>
      </c>
      <c r="G105" s="3000"/>
      <c r="H105" s="2283" t="str">
        <f>C108</f>
        <v>总额（元）</v>
      </c>
      <c r="I105" s="1852">
        <f>SUMIF(I106:I108,"&lt;9E307")</f>
        <v>0</v>
      </c>
    </row>
    <row r="106" spans="1:35" ht="15">
      <c r="A106" s="2925" t="s">
        <v>1931</v>
      </c>
      <c r="B106" s="2926"/>
      <c r="C106" s="2280" t="str">
        <f>B101</f>
        <v>总价（元）</v>
      </c>
      <c r="D106" s="1051" t="e">
        <f ca="1">H121</f>
        <v>#REF!</v>
      </c>
      <c r="E106" s="2184"/>
      <c r="F106" s="2927" t="s">
        <v>1932</v>
      </c>
      <c r="G106" s="2928"/>
      <c r="H106" s="2283" t="str">
        <f>C109</f>
        <v>总额（元）</v>
      </c>
      <c r="I106" s="1050">
        <f>IF(D36="同一抵押权人同一抵押物续贷",C36&amp;"（未扣减，详见特别提示）",C36)</f>
        <v>0</v>
      </c>
      <c r="K106" s="2194" t="str">
        <f>IF(D123=0,"本次评估不存在"&amp;A123&amp;"。","本次评估"&amp;A123&amp;"为"&amp;D123&amp;"元人民币。")</f>
        <v>本次评估不存在——。</v>
      </c>
    </row>
    <row r="107" spans="1:35" ht="15">
      <c r="A107" s="2925"/>
      <c r="B107" s="2926"/>
      <c r="C107" s="2280" t="s">
        <v>1926</v>
      </c>
      <c r="D107" s="1052" t="e">
        <f ca="1">I121</f>
        <v>#REF!</v>
      </c>
      <c r="E107" s="2184"/>
      <c r="F107" s="2927" t="s">
        <v>1933</v>
      </c>
      <c r="G107" s="2928"/>
      <c r="H107" s="2283" t="str">
        <f>C110</f>
        <v>总额（元）</v>
      </c>
      <c r="I107" s="1050">
        <f>C37</f>
        <v>0</v>
      </c>
      <c r="K107" s="2284"/>
    </row>
    <row r="108" spans="1:35" ht="15">
      <c r="A108" s="2932" t="s">
        <v>1934</v>
      </c>
      <c r="B108" s="2933"/>
      <c r="C108" s="2283" t="str">
        <f>IF(H19="元","总额（元）","总额（万元）")</f>
        <v>总额（元）</v>
      </c>
      <c r="D108" s="1051">
        <f>IF(D36="正常操作",I106+I107+I108,I107+I108)</f>
        <v>0</v>
      </c>
      <c r="E108" s="2184"/>
      <c r="F108" s="2927" t="s">
        <v>1935</v>
      </c>
      <c r="G108" s="2928"/>
      <c r="H108" s="2283" t="str">
        <f>C111</f>
        <v>总额（元）</v>
      </c>
      <c r="I108" s="1050">
        <f>C38</f>
        <v>0</v>
      </c>
    </row>
    <row r="109" spans="1:35" ht="15.75">
      <c r="A109" s="2927" t="s">
        <v>1932</v>
      </c>
      <c r="B109" s="2928"/>
      <c r="C109" s="2283" t="str">
        <f>C108</f>
        <v>总额（元）</v>
      </c>
      <c r="D109" s="637">
        <f>IF(D36="同一抵押权人同一抵押物续贷",C36&amp;"（未扣减，详见特别提示）",C36)</f>
        <v>0</v>
      </c>
      <c r="E109" s="2184"/>
      <c r="F109" s="3010"/>
      <c r="G109" s="3011"/>
      <c r="H109" s="2997"/>
      <c r="I109" s="2998"/>
    </row>
    <row r="110" spans="1:35" ht="28.5" customHeight="1">
      <c r="A110" s="2927" t="s">
        <v>1933</v>
      </c>
      <c r="B110" s="2928"/>
      <c r="C110" s="2283" t="str">
        <f>C108</f>
        <v>总额（元）</v>
      </c>
      <c r="D110" s="637">
        <f>C37</f>
        <v>0</v>
      </c>
      <c r="E110" s="2184"/>
      <c r="F110" s="2913" t="str">
        <f>IF(项目基本情况!F5="已注销","——","3.房地产抵押价值")</f>
        <v>3.房地产抵押价值</v>
      </c>
      <c r="G110" s="2914"/>
      <c r="H110" s="2285" t="str">
        <f>C112</f>
        <v>总价（元）</v>
      </c>
      <c r="I110" s="1853" t="e">
        <f ca="1">IF(F110="——","——",I102-I105)</f>
        <v>#REF!</v>
      </c>
    </row>
    <row r="111" spans="1:35" ht="15">
      <c r="A111" s="2927" t="s">
        <v>1935</v>
      </c>
      <c r="B111" s="2928"/>
      <c r="C111" s="2283" t="str">
        <f>C108</f>
        <v>总额（元）</v>
      </c>
      <c r="D111" s="637">
        <f>C38</f>
        <v>0</v>
      </c>
      <c r="E111" s="2184"/>
      <c r="F111" s="3029"/>
      <c r="G111" s="3030"/>
      <c r="H111" s="2280" t="s">
        <v>1926</v>
      </c>
      <c r="I111" s="2286" t="e">
        <f ca="1">D113</f>
        <v>#REF!</v>
      </c>
    </row>
    <row r="112" spans="1:35" ht="26.25" customHeight="1">
      <c r="A112" s="2925" t="str">
        <f>IF(项目基本情况!F5="已注销","——","3.房地产抵押价值")</f>
        <v>3.房地产抵押价值</v>
      </c>
      <c r="B112" s="2926"/>
      <c r="C112" s="2280" t="str">
        <f>B101</f>
        <v>总价（元）</v>
      </c>
      <c r="D112" s="1051" t="e">
        <f ca="1">IF(A112="——","——",D106-D108)</f>
        <v>#REF!</v>
      </c>
      <c r="E112" s="2184"/>
      <c r="F112" s="2913" t="str">
        <f>IF(项目基本情况!F5="已注销及未注销","4.抵押担保权已注销时的房地产抵押价值",IF(项目基本情况!F5="已注销","3.抵押担保权已注销时的房地产抵押价值","——"))</f>
        <v>——</v>
      </c>
      <c r="G112" s="2914"/>
      <c r="H112" s="2285" t="str">
        <f>C114</f>
        <v>总价（元）</v>
      </c>
      <c r="I112" s="1853" t="str">
        <f>IF(F112="——","——",I102-I107-I108)</f>
        <v>——</v>
      </c>
    </row>
    <row r="113" spans="1:15" ht="15">
      <c r="A113" s="2925"/>
      <c r="B113" s="2926"/>
      <c r="C113" s="2280" t="s">
        <v>1926</v>
      </c>
      <c r="D113" s="1052" t="e">
        <f ca="1">ROUND(IF(D112=D106,D107,IF(H19="元",D112/项目基本情况!C12,D112*10000/项目基本情况!C12)),0)</f>
        <v>#REF!</v>
      </c>
      <c r="E113" s="2184"/>
      <c r="F113" s="3029"/>
      <c r="G113" s="3030"/>
      <c r="H113" s="2280" t="s">
        <v>1926</v>
      </c>
      <c r="I113" s="2287" t="str">
        <f>D115</f>
        <v>——</v>
      </c>
    </row>
    <row r="114" spans="1:15" ht="15.75">
      <c r="A114" s="2925" t="str">
        <f>IF(项目基本情况!F5="已注销及未注销","4.抵押担保权已注销时的房地产抵押价值",IF(项目基本情况!F5="已注销","3.抵押担保权已注销时的房地产抵押价值","——"))</f>
        <v>——</v>
      </c>
      <c r="B114" s="2926"/>
      <c r="C114" s="2280" t="str">
        <f>B101</f>
        <v>总价（元）</v>
      </c>
      <c r="D114" s="1051" t="str">
        <f>IF(A114="——","——",D106-D110-D111)</f>
        <v>——</v>
      </c>
      <c r="E114" s="2184"/>
      <c r="F114" s="2913" t="str">
        <f>IF(项目基本情况!G5="抵押净值",IF(OR(项目基本情况!F5="已注销",项目基本情况!F5="房地产抵押价值"),"4.抵押净值","5.抵押净值"),"——")</f>
        <v>——</v>
      </c>
      <c r="G114" s="2914"/>
      <c r="H114" s="2280" t="str">
        <f>C116</f>
        <v>总价（元）</v>
      </c>
      <c r="I114" s="1852" t="str">
        <f>IF(F114="——","——",N59)</f>
        <v>——</v>
      </c>
    </row>
    <row r="115" spans="1:15" ht="15.75" thickBot="1">
      <c r="A115" s="2925"/>
      <c r="B115" s="2926"/>
      <c r="C115" s="2280" t="s">
        <v>1926</v>
      </c>
      <c r="D115" s="1052" t="str">
        <f>IF(A114="——","——",ROUND(IF(D114=D106,D107,IF(H19="元",D114/项目基本情况!C12,D114*10000/项目基本情况!C12)),0))</f>
        <v>——</v>
      </c>
      <c r="E115" s="2184"/>
      <c r="F115" s="2915"/>
      <c r="G115" s="2916"/>
      <c r="H115" s="2288" t="s">
        <v>1926</v>
      </c>
      <c r="I115" s="1854" t="e">
        <f ca="1">D117</f>
        <v>#REF!</v>
      </c>
    </row>
    <row r="116" spans="1:15" ht="15.75">
      <c r="A116" s="2925" t="str">
        <f>IF(项目基本情况!G5="抵押净值",IF(OR(项目基本情况!F5="已注销",项目基本情况!F5="房地产抵押价值"),"4.抵押净值","5.抵押净值"),"——")</f>
        <v>——</v>
      </c>
      <c r="B116" s="2926"/>
      <c r="C116" s="2280" t="str">
        <f>B101</f>
        <v>总价（元）</v>
      </c>
      <c r="D116" s="1051" t="str">
        <f>IF(A116="——","——",N59)</f>
        <v>——</v>
      </c>
      <c r="E116" s="2184"/>
      <c r="F116" s="3025"/>
      <c r="G116" s="3025"/>
      <c r="H116" s="2981"/>
      <c r="I116" s="2981"/>
      <c r="N116" s="55"/>
      <c r="O116" s="55"/>
    </row>
    <row r="117" spans="1:15" ht="15.75" thickBot="1">
      <c r="A117" s="2930"/>
      <c r="B117" s="2931"/>
      <c r="C117" s="2288" t="s">
        <v>1926</v>
      </c>
      <c r="D117" s="1053" t="e">
        <f ca="1">IF(D116=D112,D113,IF(A116="——","——",N61))</f>
        <v>#REF!</v>
      </c>
      <c r="E117" s="2184"/>
      <c r="F117" s="2905" t="str">
        <f>IF(B32="总价","（以上估价结果中单价为总价除以建筑面积得出）","（以上估价结果中总价为楼面单价乘以建筑面积得出）")</f>
        <v>（以上估价结果中总价为楼面单价乘以建筑面积得出）</v>
      </c>
      <c r="G117" s="2905"/>
      <c r="H117" s="2905"/>
      <c r="I117" s="2905"/>
      <c r="N117" s="55"/>
      <c r="O117" s="55"/>
    </row>
    <row r="118" spans="1:15" ht="15">
      <c r="A118" s="2982" t="s">
        <v>1936</v>
      </c>
      <c r="B118" s="2983"/>
      <c r="C118" s="2983"/>
      <c r="D118" s="2983"/>
      <c r="E118" s="2983"/>
      <c r="F118" s="2983"/>
      <c r="G118" s="2983"/>
      <c r="H118" s="2983"/>
      <c r="I118" s="2983"/>
    </row>
    <row r="119" spans="1:15" ht="14.25">
      <c r="A119" s="2906" t="s">
        <v>1937</v>
      </c>
      <c r="B119" s="2936" t="s">
        <v>1938</v>
      </c>
      <c r="C119" s="2936" t="s">
        <v>1939</v>
      </c>
      <c r="D119" s="3008" t="s">
        <v>1940</v>
      </c>
      <c r="E119" s="3009"/>
      <c r="F119" s="2907" t="s">
        <v>1798</v>
      </c>
      <c r="G119" s="2907"/>
      <c r="H119" s="2907" t="s">
        <v>1941</v>
      </c>
      <c r="I119" s="3007"/>
    </row>
    <row r="120" spans="1:15" ht="14.25">
      <c r="A120" s="2906"/>
      <c r="B120" s="2937"/>
      <c r="C120" s="2937"/>
      <c r="D120" s="1877" t="s">
        <v>1942</v>
      </c>
      <c r="E120" s="1877" t="s">
        <v>1943</v>
      </c>
      <c r="F120" s="1877" t="s">
        <v>1942</v>
      </c>
      <c r="G120" s="1877" t="s">
        <v>1944</v>
      </c>
      <c r="H120" s="1877" t="s">
        <v>1942</v>
      </c>
      <c r="I120" s="637" t="s">
        <v>1944</v>
      </c>
    </row>
    <row r="121" spans="1:15" ht="14.25">
      <c r="A121" s="2170" t="str">
        <f>项目基本情况!I1</f>
        <v>北京市房地产</v>
      </c>
      <c r="B121" s="1877">
        <f>项目基本情况!C12</f>
        <v>110</v>
      </c>
      <c r="C121" s="1877">
        <f>项目基本情况!C13</f>
        <v>0</v>
      </c>
      <c r="D121" s="1877" t="e">
        <f ca="1">ROUND(IF(B32="总价",C34,IF('数据-取费表'!B3="万元",E121*B121/10000,E121*B121)),0)</f>
        <v>#REF!</v>
      </c>
      <c r="E121" s="1877" t="e">
        <f ca="1">ROUND(IF(B32="楼面单价",C34,IF(H19="元",D121/B121,D121*10000/B121)),0)</f>
        <v>#REF!</v>
      </c>
      <c r="F121" s="1877" t="e">
        <f ca="1">ROUND(IF(B32="总价",C35,IF('数据-取费表'!B3="万元",G121*B121/10000,G121*B121)),0)</f>
        <v>#REF!</v>
      </c>
      <c r="G121" s="1877" t="e">
        <f ca="1">ROUND(IF(B32="楼面单价",C35,IF(H19="元",F121/B121,F121*10000/B121)),0)</f>
        <v>#REF!</v>
      </c>
      <c r="H121" s="1877" t="e">
        <f ca="1">ROUND(IF(B32="总价",C32,IF('数据-取费表'!B3="万元",I121*B121/10000,I121*B121)),0)</f>
        <v>#REF!</v>
      </c>
      <c r="I121" s="637" t="e">
        <f ca="1">ROUND(IF(B32="楼面单价",C32,IF(H19="元",H121/B121,H121*10000/B121)),0)</f>
        <v>#REF!</v>
      </c>
    </row>
    <row r="122" spans="1:15" ht="14.25">
      <c r="A122" s="2906" t="s">
        <v>1945</v>
      </c>
      <c r="B122" s="2907"/>
      <c r="C122" s="2907"/>
      <c r="D122" s="2940" t="e">
        <f ca="1">IF(H19="元",NUMBERSTRING(INT(D121),2)&amp;"元整",NUMBERSTRING(INT(D121*10000),2)&amp;"元整")</f>
        <v>#REF!</v>
      </c>
      <c r="E122" s="2987"/>
      <c r="F122" s="2940" t="e">
        <f ca="1">IF(H19="元",NUMBERSTRING(INT(F121),2)&amp;"元整",NUMBERSTRING(INT(F121*10000),2)&amp;"元整")</f>
        <v>#REF!</v>
      </c>
      <c r="G122" s="2987"/>
      <c r="H122" s="2940" t="e">
        <f ca="1">IF(H19="元",NUMBERSTRING(INT(H121),2)&amp;"元整",NUMBERSTRING(INT(H121*10000),2)&amp;"元整")</f>
        <v>#REF!</v>
      </c>
      <c r="I122" s="2941"/>
    </row>
    <row r="123" spans="1:15" ht="15">
      <c r="A123" s="2988" t="str">
        <f>IF(项目基本情况!D5="房地产市场价值","——",MID(A108,3,LEN(A108)-2))</f>
        <v>——</v>
      </c>
      <c r="B123" s="2918"/>
      <c r="C123" s="2989"/>
      <c r="D123" s="2917">
        <f>I105</f>
        <v>0</v>
      </c>
      <c r="E123" s="2918"/>
      <c r="F123" s="2918"/>
      <c r="G123" s="2918"/>
      <c r="H123" s="2918"/>
      <c r="I123" s="2919"/>
    </row>
    <row r="124" spans="1:15" ht="14.25">
      <c r="A124" s="2990" t="s">
        <v>1945</v>
      </c>
      <c r="B124" s="2991"/>
      <c r="C124" s="2992"/>
      <c r="D124" s="2920">
        <f>H109</f>
        <v>0</v>
      </c>
      <c r="E124" s="2921"/>
      <c r="F124" s="2921"/>
      <c r="G124" s="2921"/>
      <c r="H124" s="2921"/>
      <c r="I124" s="2922"/>
    </row>
    <row r="125" spans="1:15" ht="15">
      <c r="A125" s="2923" t="str">
        <f>IF(项目基本情况!D5="房地产市场价值","——",MID(A112,3,LEN(A112)-2))</f>
        <v>——</v>
      </c>
      <c r="B125" s="2924"/>
      <c r="C125" s="2924"/>
      <c r="D125" s="2917" t="e">
        <f ca="1">I110</f>
        <v>#REF!</v>
      </c>
      <c r="E125" s="2918"/>
      <c r="F125" s="2918"/>
      <c r="G125" s="2918"/>
      <c r="H125" s="2918"/>
      <c r="I125" s="2919"/>
    </row>
    <row r="126" spans="1:15" ht="14.25">
      <c r="A126" s="2906" t="s">
        <v>1945</v>
      </c>
      <c r="B126" s="2907"/>
      <c r="C126" s="2907"/>
      <c r="D126" s="2920" t="e">
        <f ca="1">I111</f>
        <v>#REF!</v>
      </c>
      <c r="E126" s="2921"/>
      <c r="F126" s="2921"/>
      <c r="G126" s="2921"/>
      <c r="H126" s="2921"/>
      <c r="I126" s="2922"/>
    </row>
    <row r="127" spans="1:15" ht="15.75" thickBot="1">
      <c r="A127" s="2923" t="str">
        <f>IF(项目基本情况!D5="房地产市场价值","——",MID(A114,3,LEN(A114)-2))</f>
        <v>——</v>
      </c>
      <c r="B127" s="2924"/>
      <c r="C127" s="2924"/>
      <c r="D127" s="3022" t="str">
        <f>I112</f>
        <v>——</v>
      </c>
      <c r="E127" s="3023"/>
      <c r="F127" s="3023"/>
      <c r="G127" s="3023"/>
      <c r="H127" s="3023"/>
      <c r="I127" s="3024"/>
    </row>
    <row r="128" spans="1:15" ht="15.75" thickTop="1" thickBot="1">
      <c r="A128" s="2906" t="s">
        <v>1945</v>
      </c>
      <c r="B128" s="2907"/>
      <c r="C128" s="2908"/>
      <c r="D128" s="2980" t="str">
        <f>I113</f>
        <v>——</v>
      </c>
      <c r="E128" s="2980"/>
      <c r="F128" s="2980"/>
      <c r="G128" s="2980"/>
      <c r="H128" s="2980"/>
      <c r="I128" s="2980"/>
    </row>
    <row r="129" spans="1:9" ht="16.5" thickTop="1" thickBot="1">
      <c r="A129" s="2923" t="str">
        <f>IF(项目基本情况!D5="房地产市场价值","——",MID(F114,3,LEN(F114)-2))</f>
        <v>——</v>
      </c>
      <c r="B129" s="2924"/>
      <c r="C129" s="2917"/>
      <c r="D129" s="2929" t="str">
        <f>I114</f>
        <v>——</v>
      </c>
      <c r="E129" s="2929"/>
      <c r="F129" s="2929"/>
      <c r="G129" s="2929"/>
      <c r="H129" s="2929"/>
      <c r="I129" s="2929"/>
    </row>
    <row r="130" spans="1:9" ht="15.75" thickTop="1" thickBot="1">
      <c r="A130" s="2934" t="s">
        <v>1945</v>
      </c>
      <c r="B130" s="2935"/>
      <c r="C130" s="2935"/>
      <c r="D130" s="2942">
        <f>H116</f>
        <v>0</v>
      </c>
      <c r="E130" s="2943"/>
      <c r="F130" s="2943"/>
      <c r="G130" s="2943"/>
      <c r="H130" s="2943"/>
      <c r="I130" s="2944"/>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904" t="str">
        <f>IF(B32="总价","（以上估价结果中楼面单价为总价除以建筑面积得出）","（以上估价结果中总价为楼面单价乘以建筑面积得出）")</f>
        <v>（以上估价结果中总价为楼面单价乘以建筑面积得出）</v>
      </c>
      <c r="B132" s="2904"/>
      <c r="C132" s="2904"/>
      <c r="D132" s="2904"/>
      <c r="E132" s="2904"/>
      <c r="F132" s="2904"/>
      <c r="G132" s="2904"/>
      <c r="H132" s="2904"/>
      <c r="I132" s="2904"/>
    </row>
    <row r="133" spans="1:9" ht="21.75" customHeight="1">
      <c r="A133" s="2289" t="s">
        <v>1946</v>
      </c>
      <c r="B133" s="2290"/>
      <c r="C133" s="2291" t="s">
        <v>1947</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8"/>
    </row>
    <row r="139" spans="1:9" ht="21.75" customHeight="1">
      <c r="A139" s="798"/>
      <c r="B139" s="798"/>
      <c r="C139" s="798"/>
      <c r="D139" s="798"/>
      <c r="E139" s="798"/>
      <c r="F139" s="2302" t="s">
        <v>1948</v>
      </c>
      <c r="G139" s="2303"/>
      <c r="H139" s="2303"/>
      <c r="I139" s="2304" t="s">
        <v>1949</v>
      </c>
    </row>
    <row r="140" spans="1:9" ht="21.75" customHeight="1">
      <c r="A140" s="798"/>
      <c r="B140" s="2305" t="s">
        <v>1950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3"/>
      <c r="C142" s="2303"/>
      <c r="D142" s="2303"/>
      <c r="E142" s="2303"/>
      <c r="F142" s="2303"/>
      <c r="G142" s="2303"/>
      <c r="H142" s="2303"/>
      <c r="I142" s="2304" t="s">
        <v>1951</v>
      </c>
    </row>
    <row r="143" spans="1:9" ht="21.75" customHeight="1">
      <c r="A143" s="798"/>
      <c r="B143" s="2305" t="s">
        <v>1952</v>
      </c>
      <c r="C143" s="798"/>
      <c r="D143" s="798"/>
      <c r="E143" s="798"/>
      <c r="F143" s="798"/>
      <c r="G143" s="798"/>
      <c r="H143" s="798"/>
      <c r="I143" s="798"/>
    </row>
    <row r="144" spans="1:9" ht="21.75" customHeight="1">
      <c r="A144" s="798"/>
      <c r="B144" s="2305"/>
      <c r="C144" s="798"/>
      <c r="D144" s="798"/>
      <c r="E144" s="798"/>
      <c r="F144" s="798"/>
      <c r="G144" s="798"/>
      <c r="H144" s="798"/>
      <c r="I144" s="798"/>
    </row>
    <row r="145" spans="1:35" ht="21.75" customHeight="1">
      <c r="A145" s="798"/>
      <c r="B145" s="2303"/>
      <c r="C145" s="2303"/>
      <c r="D145" s="2303"/>
      <c r="E145" s="2303"/>
      <c r="F145" s="2303"/>
      <c r="G145" s="2303"/>
      <c r="H145" s="2303"/>
      <c r="I145" s="2304" t="s">
        <v>1951</v>
      </c>
    </row>
    <row r="146" spans="1:35" ht="21.75" customHeight="1">
      <c r="A146" s="798"/>
      <c r="B146" s="2305"/>
      <c r="C146" s="2306"/>
      <c r="D146" s="2307"/>
      <c r="E146" s="2307"/>
      <c r="F146" s="2308"/>
      <c r="G146" s="798"/>
      <c r="H146" s="798"/>
      <c r="I146" s="798"/>
    </row>
    <row r="147" spans="1:35" s="55" customFormat="1" ht="21.75" customHeight="1">
      <c r="A147" s="798"/>
      <c r="B147" s="2305"/>
      <c r="C147" s="2306"/>
      <c r="D147" s="2307"/>
      <c r="E147" s="230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5" customFormat="1" ht="21.75" customHeight="1">
      <c r="F516" s="2185"/>
      <c r="G516" s="2185"/>
      <c r="H516" s="2185"/>
      <c r="I516" s="218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0" zoomScaleNormal="100" zoomScaleSheetLayoutView="100" zoomScalePageLayoutView="80" workbookViewId="0">
      <selection sqref="A1:C1"/>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8" customWidth="1"/>
    <col min="12" max="12" width="12.625" style="798"/>
    <col min="13" max="13" width="14.125" style="798" bestFit="1" customWidth="1"/>
    <col min="14" max="26" width="12.625" style="798"/>
    <col min="27" max="35" width="12.625" style="1835"/>
    <col min="36" max="16384" width="12.625" style="2185"/>
  </cols>
  <sheetData>
    <row r="1" spans="1:12" ht="21.75" customHeight="1">
      <c r="A1" s="2183" t="s">
        <v>1953</v>
      </c>
      <c r="B1" s="2184"/>
      <c r="C1" s="2184"/>
      <c r="D1" s="2184"/>
      <c r="E1" s="2184"/>
      <c r="F1" s="2184"/>
      <c r="G1" s="2184"/>
      <c r="H1" s="2184"/>
      <c r="I1" s="2184"/>
    </row>
    <row r="2" spans="1:12" ht="21.75" customHeight="1">
      <c r="A2" s="3041" t="s">
        <v>1954</v>
      </c>
      <c r="B2" s="3041"/>
      <c r="C2" s="3041"/>
      <c r="D2" s="3041"/>
      <c r="E2" s="3041"/>
      <c r="F2" s="3041"/>
      <c r="G2" s="3041"/>
      <c r="H2" s="3041"/>
      <c r="I2" s="3041"/>
    </row>
    <row r="3" spans="1:12" ht="12.75">
      <c r="A3" s="2971" t="s">
        <v>1758</v>
      </c>
      <c r="B3" s="2972"/>
      <c r="C3" s="2972"/>
      <c r="D3" s="2972"/>
      <c r="E3" s="2972"/>
      <c r="F3" s="2972"/>
      <c r="G3" s="2972"/>
      <c r="H3" s="2972"/>
      <c r="I3" s="2972"/>
    </row>
    <row r="4" spans="1:12" ht="14.25">
      <c r="A4" s="2186" t="s">
        <v>1759</v>
      </c>
      <c r="B4" s="2187" t="s">
        <v>1760</v>
      </c>
      <c r="C4" s="2188"/>
      <c r="D4" s="2188"/>
      <c r="E4" s="2952" t="s">
        <v>1955</v>
      </c>
      <c r="F4" s="2953"/>
      <c r="G4" s="2953"/>
      <c r="H4" s="2953"/>
      <c r="I4" s="2963"/>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5" t="s">
        <v>1762</v>
      </c>
      <c r="B5" s="2907">
        <v>25</v>
      </c>
      <c r="C5" s="2956"/>
      <c r="D5" s="2970"/>
      <c r="E5" s="56" t="s">
        <v>1763</v>
      </c>
      <c r="F5" s="2189"/>
      <c r="G5" s="2189"/>
      <c r="H5" s="2189"/>
      <c r="I5" s="2190"/>
    </row>
    <row r="6" spans="1:12" ht="12.75">
      <c r="A6" s="2945"/>
      <c r="B6" s="2907"/>
      <c r="C6" s="2973"/>
      <c r="D6" s="2970"/>
      <c r="E6" s="56" t="s">
        <v>1764</v>
      </c>
      <c r="F6" s="2189"/>
      <c r="G6" s="2189"/>
      <c r="H6" s="2189"/>
      <c r="I6" s="2190"/>
    </row>
    <row r="7" spans="1:12" ht="12.75">
      <c r="A7" s="2945"/>
      <c r="B7" s="2907"/>
      <c r="C7" s="2957"/>
      <c r="D7" s="2970"/>
      <c r="E7" s="56" t="s">
        <v>1765</v>
      </c>
      <c r="F7" s="2189"/>
      <c r="G7" s="2189"/>
      <c r="H7" s="2189"/>
      <c r="I7" s="2190"/>
    </row>
    <row r="8" spans="1:12" ht="12.75">
      <c r="A8" s="2945" t="s">
        <v>1766</v>
      </c>
      <c r="B8" s="2907">
        <v>15</v>
      </c>
      <c r="C8" s="2956"/>
      <c r="D8" s="2970"/>
      <c r="E8" s="56" t="s">
        <v>1767</v>
      </c>
      <c r="F8" s="2189"/>
      <c r="G8" s="2189"/>
      <c r="H8" s="2189"/>
      <c r="I8" s="2190"/>
    </row>
    <row r="9" spans="1:12" ht="12.75">
      <c r="A9" s="2945"/>
      <c r="B9" s="2907"/>
      <c r="C9" s="2957"/>
      <c r="D9" s="2970"/>
      <c r="E9" s="56" t="s">
        <v>1768</v>
      </c>
      <c r="F9" s="2189"/>
      <c r="G9" s="2189"/>
      <c r="H9" s="2189"/>
      <c r="I9" s="2190"/>
    </row>
    <row r="10" spans="1:12" ht="12.75">
      <c r="A10" s="2945" t="s">
        <v>1769</v>
      </c>
      <c r="B10" s="2907">
        <v>15</v>
      </c>
      <c r="C10" s="2956"/>
      <c r="D10" s="2970"/>
      <c r="E10" s="56" t="s">
        <v>1770</v>
      </c>
      <c r="F10" s="2189"/>
      <c r="G10" s="2189"/>
      <c r="H10" s="2189"/>
      <c r="I10" s="2190"/>
    </row>
    <row r="11" spans="1:12" ht="12.75">
      <c r="A11" s="2945"/>
      <c r="B11" s="2907"/>
      <c r="C11" s="2957"/>
      <c r="D11" s="2970"/>
      <c r="E11" s="56" t="s">
        <v>1771</v>
      </c>
      <c r="F11" s="2189"/>
      <c r="G11" s="2189"/>
      <c r="H11" s="2189"/>
      <c r="I11" s="2190"/>
    </row>
    <row r="12" spans="1:12" ht="12.75">
      <c r="A12" s="2945" t="s">
        <v>1772</v>
      </c>
      <c r="B12" s="2907">
        <v>15</v>
      </c>
      <c r="C12" s="2956"/>
      <c r="D12" s="2970"/>
      <c r="E12" s="56" t="s">
        <v>1773</v>
      </c>
      <c r="F12" s="2189"/>
      <c r="G12" s="2189"/>
      <c r="H12" s="2189"/>
      <c r="I12" s="2190"/>
    </row>
    <row r="13" spans="1:12" ht="12.75">
      <c r="A13" s="2945"/>
      <c r="B13" s="2907"/>
      <c r="C13" s="2957"/>
      <c r="D13" s="2970"/>
      <c r="E13" s="56" t="s">
        <v>1774</v>
      </c>
      <c r="F13" s="2189"/>
      <c r="G13" s="2189"/>
      <c r="H13" s="2189"/>
      <c r="I13" s="2190"/>
    </row>
    <row r="14" spans="1:12" ht="12.75">
      <c r="A14" s="2945" t="s">
        <v>1775</v>
      </c>
      <c r="B14" s="2907">
        <v>30</v>
      </c>
      <c r="C14" s="2956"/>
      <c r="D14" s="2970"/>
      <c r="E14" s="56" t="s">
        <v>1776</v>
      </c>
      <c r="F14" s="2189"/>
      <c r="G14" s="2189"/>
      <c r="H14" s="2189"/>
      <c r="I14" s="2190"/>
    </row>
    <row r="15" spans="1:12" ht="12.75">
      <c r="A15" s="2945"/>
      <c r="B15" s="2907"/>
      <c r="C15" s="2973"/>
      <c r="D15" s="2970"/>
      <c r="E15" s="56" t="s">
        <v>1777</v>
      </c>
      <c r="F15" s="2189"/>
      <c r="G15" s="2189"/>
      <c r="H15" s="2189"/>
      <c r="I15" s="2190"/>
    </row>
    <row r="16" spans="1:12" ht="12.75">
      <c r="A16" s="2945"/>
      <c r="B16" s="2907"/>
      <c r="C16" s="2957"/>
      <c r="D16" s="2970"/>
      <c r="E16" s="56" t="s">
        <v>1778</v>
      </c>
      <c r="F16" s="2189"/>
      <c r="G16" s="2189"/>
      <c r="H16" s="2189"/>
      <c r="I16" s="2190"/>
    </row>
    <row r="17" spans="1:35" ht="15">
      <c r="A17" s="2191" t="s">
        <v>1779</v>
      </c>
      <c r="B17" s="2192"/>
      <c r="C17" s="57">
        <f>SUM(C5:C16)</f>
        <v>0</v>
      </c>
      <c r="D17" s="57">
        <f>SUM(D5:D16)</f>
        <v>0</v>
      </c>
      <c r="E17" s="2184"/>
      <c r="F17" s="2184"/>
      <c r="G17" s="2184"/>
      <c r="H17" s="2184"/>
      <c r="I17" s="2184"/>
    </row>
    <row r="18" spans="1:35" ht="15.75" thickBot="1">
      <c r="A18" s="2193" t="s">
        <v>1780</v>
      </c>
      <c r="B18" s="2194"/>
      <c r="C18" s="58" t="e">
        <f>ROUND(C17/SUM(C17:D17),2)</f>
        <v>#DIV/0!</v>
      </c>
      <c r="D18" s="58" t="e">
        <f>1-C18</f>
        <v>#DIV/0!</v>
      </c>
      <c r="E18" s="2184"/>
      <c r="F18" s="2184"/>
      <c r="G18" s="2184"/>
      <c r="H18" s="2184"/>
      <c r="I18" s="2184"/>
    </row>
    <row r="19" spans="1:35" ht="15">
      <c r="A19" s="2195" t="s">
        <v>1781</v>
      </c>
      <c r="B19" s="2196" t="s">
        <v>1782</v>
      </c>
      <c r="C19" s="59" t="e">
        <f ca="1">SUMIF(INDIRECT("'"&amp;C4&amp;"'"&amp;"!A:A"),'结果表 (1修多)'!B19,INDIRECT("'"&amp;C4&amp;"'"&amp;"!B:B"))</f>
        <v>#REF!</v>
      </c>
      <c r="D19" s="60" t="e">
        <f ca="1">SUMIF(INDIRECT("'"&amp;D4&amp;"'"&amp;"!A:A"),'结果表 (1修多)'!B19,INDIRECT("'"&amp;D4&amp;"'"&amp;"!B:B"))</f>
        <v>#REF!</v>
      </c>
      <c r="E19" s="2195" t="s">
        <v>1783</v>
      </c>
      <c r="F19" s="2196" t="s">
        <v>1782</v>
      </c>
      <c r="G19" s="61" t="e">
        <f ca="1">ROUND(C19*$C$18+D19*$D$18,0)</f>
        <v>#REF!</v>
      </c>
      <c r="H19" s="2197" t="str">
        <f>'数据-取费表'!B3</f>
        <v>元</v>
      </c>
      <c r="I19" s="2184"/>
    </row>
    <row r="20" spans="1:35" ht="15">
      <c r="A20" s="2198"/>
      <c r="B20" s="2199" t="s">
        <v>1784</v>
      </c>
      <c r="C20" s="62" t="e">
        <f ca="1">SUMIF(INDIRECT("'"&amp;C4&amp;"'"&amp;"!A:A"),'结果表 (1修多)'!B20,INDIRECT("'"&amp;C4&amp;"'"&amp;"!B:B"))</f>
        <v>#REF!</v>
      </c>
      <c r="D20" s="63" t="e">
        <f ca="1">SUMIF(INDIRECT("'"&amp;D4&amp;"'"&amp;"!A:A"),'结果表 (1修多)'!B20,INDIRECT("'"&amp;D4&amp;"'"&amp;"!B:B"))</f>
        <v>#REF!</v>
      </c>
      <c r="E20" s="2198"/>
      <c r="F20" s="2199" t="s">
        <v>1784</v>
      </c>
      <c r="G20" s="64" t="e">
        <f ca="1">ROUND(C20*$C$18+D20*$D$18,0)</f>
        <v>#REF!</v>
      </c>
      <c r="H20" s="2200" t="s">
        <v>1785</v>
      </c>
      <c r="I20" s="2184"/>
    </row>
    <row r="21" spans="1:35" ht="15" customHeight="1" thickBot="1">
      <c r="A21" s="2201"/>
      <c r="B21" s="2202"/>
      <c r="C21" s="770"/>
      <c r="D21" s="771"/>
      <c r="E21" s="2201"/>
      <c r="F21" s="2202"/>
      <c r="G21" s="65"/>
      <c r="H21" s="2203"/>
      <c r="I21" s="2184"/>
    </row>
    <row r="22" spans="1:35" ht="15" thickBot="1">
      <c r="A22" s="2204" t="s">
        <v>1786</v>
      </c>
      <c r="B22" s="2205"/>
      <c r="C22" s="2206"/>
      <c r="D22" s="772"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2976" t="s">
        <v>1787</v>
      </c>
      <c r="B24" s="2196" t="s">
        <v>1782</v>
      </c>
      <c r="C24" s="61">
        <f>D30</f>
        <v>0</v>
      </c>
      <c r="D24" s="994"/>
      <c r="E24" s="2184"/>
      <c r="F24" s="2184"/>
      <c r="G24" s="2184"/>
      <c r="H24" s="2184"/>
      <c r="I24" s="2184"/>
    </row>
    <row r="25" spans="1:35" ht="21.75" customHeight="1">
      <c r="A25" s="2977"/>
      <c r="B25" s="2199" t="s">
        <v>1784</v>
      </c>
      <c r="C25" s="66">
        <f>IF(B30=0,0,C30)</f>
        <v>0</v>
      </c>
      <c r="D25" s="2207"/>
      <c r="E25" s="2184"/>
      <c r="F25" s="2184"/>
      <c r="G25" s="2184"/>
      <c r="H25" s="2184"/>
      <c r="I25" s="2184"/>
    </row>
    <row r="26" spans="1:35" ht="13.5" customHeight="1">
      <c r="A26" s="2208" t="s">
        <v>1788</v>
      </c>
      <c r="B26" s="67" t="s">
        <v>1789</v>
      </c>
      <c r="C26" s="67" t="s">
        <v>1790</v>
      </c>
      <c r="D26" s="68" t="s">
        <v>1791</v>
      </c>
      <c r="E26" s="2184"/>
      <c r="F26" s="2184"/>
      <c r="G26" s="2184"/>
      <c r="H26" s="2184"/>
      <c r="I26" s="2184"/>
    </row>
    <row r="27" spans="1:35" ht="14.25">
      <c r="A27" s="2209" t="s">
        <v>1956</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707" t="s">
        <v>1957</v>
      </c>
      <c r="B30" s="2708"/>
      <c r="C30" s="2708"/>
      <c r="D30" s="2708"/>
      <c r="E30" s="2706" t="s">
        <v>2799</v>
      </c>
      <c r="F30" s="2184"/>
      <c r="G30" s="2184"/>
      <c r="H30" s="2184"/>
      <c r="I30" s="2184"/>
    </row>
    <row r="31" spans="1:35" s="2211" customFormat="1" ht="15.75" thickBot="1">
      <c r="A31" s="3032" t="s">
        <v>1958</v>
      </c>
      <c r="B31" s="3032"/>
      <c r="C31" s="3032"/>
      <c r="D31" s="3032"/>
      <c r="E31" s="3032"/>
      <c r="F31" s="3032"/>
      <c r="G31" s="3032"/>
      <c r="H31" s="3032"/>
      <c r="I31" s="3032"/>
      <c r="J31" s="798"/>
      <c r="K31" s="798"/>
      <c r="L31" s="798"/>
      <c r="M31" s="798"/>
      <c r="N31" s="798"/>
      <c r="O31" s="798"/>
      <c r="P31" s="798"/>
      <c r="Q31" s="798"/>
      <c r="R31" s="798"/>
      <c r="S31" s="798"/>
      <c r="T31" s="798"/>
      <c r="U31" s="798"/>
      <c r="V31" s="798"/>
      <c r="W31" s="798"/>
      <c r="X31" s="798"/>
      <c r="Y31" s="798"/>
      <c r="Z31" s="798"/>
      <c r="AA31" s="1835"/>
      <c r="AB31" s="1835"/>
      <c r="AC31" s="1835"/>
      <c r="AD31" s="1835"/>
      <c r="AE31" s="1835"/>
      <c r="AF31" s="1835"/>
      <c r="AG31" s="1835"/>
      <c r="AH31" s="1835"/>
      <c r="AI31" s="1835"/>
    </row>
    <row r="32" spans="1:35" ht="15">
      <c r="A32" s="2309"/>
      <c r="B32" s="2310" t="s">
        <v>1959</v>
      </c>
      <c r="C32" s="1308">
        <f>典型户型修正!R27</f>
        <v>0</v>
      </c>
      <c r="D32" s="2184" t="s">
        <v>1960</v>
      </c>
      <c r="E32" s="2184"/>
      <c r="F32" s="2184"/>
      <c r="G32" s="2184"/>
      <c r="H32" s="2184"/>
      <c r="I32" s="2184"/>
    </row>
    <row r="33" spans="1:16" ht="15">
      <c r="A33" s="2311" t="s">
        <v>1961</v>
      </c>
      <c r="B33" s="2312" t="s">
        <v>1962</v>
      </c>
      <c r="C33" s="1309">
        <f>典型户型修正!B2</f>
        <v>0</v>
      </c>
      <c r="D33" s="2313" t="str">
        <f>IF('数据-取费表'!B3="万元","万元","元")</f>
        <v>元</v>
      </c>
      <c r="E33" s="2184"/>
      <c r="F33" s="2184"/>
      <c r="G33" s="2184"/>
      <c r="H33" s="2184"/>
      <c r="I33" s="2184"/>
    </row>
    <row r="34" spans="1:16" ht="15.75" thickBot="1">
      <c r="A34" s="2314"/>
      <c r="B34" s="2315" t="s">
        <v>1963</v>
      </c>
      <c r="C34" s="771" t="e">
        <f>典型户型修正!B3</f>
        <v>#DIV/0!</v>
      </c>
      <c r="D34" s="2184" t="s">
        <v>1964</v>
      </c>
      <c r="E34" s="2184"/>
      <c r="F34" s="2184"/>
      <c r="G34" s="2184"/>
      <c r="H34" s="2184"/>
      <c r="I34" s="2184"/>
    </row>
    <row r="35" spans="1:16" ht="15">
      <c r="A35" s="2316"/>
      <c r="B35" s="2317" t="s">
        <v>1965</v>
      </c>
      <c r="C35" s="1316">
        <f>IF('数据-取费表'!B3="万元",典型户型修正!V25,典型户型修正!U25)</f>
        <v>0</v>
      </c>
      <c r="D35" s="2184" t="str">
        <f>D33</f>
        <v>元</v>
      </c>
      <c r="E35" s="2184"/>
      <c r="F35" s="2184"/>
      <c r="G35" s="2184"/>
      <c r="H35" s="2184"/>
      <c r="I35" s="2184"/>
    </row>
    <row r="36" spans="1:16" ht="15.75" thickBot="1">
      <c r="A36" s="2223"/>
      <c r="B36" s="2318" t="s">
        <v>1966</v>
      </c>
      <c r="C36" s="1317">
        <f>IF('数据-取费表'!B3="万元",典型户型修正!Y25,典型户型修正!X25)</f>
        <v>0</v>
      </c>
      <c r="D36" s="2184" t="str">
        <f>D33</f>
        <v>元</v>
      </c>
      <c r="E36" s="2184"/>
      <c r="F36" s="2184"/>
      <c r="G36" s="2184"/>
      <c r="H36" s="2184"/>
      <c r="I36" s="2184"/>
    </row>
    <row r="37" spans="1:16" ht="15.75" thickBot="1">
      <c r="A37" s="2958" t="s">
        <v>1967</v>
      </c>
      <c r="B37" s="2226" t="s">
        <v>1968</v>
      </c>
      <c r="C37" s="69"/>
      <c r="D37" s="2227"/>
      <c r="E37" s="2228"/>
      <c r="F37" s="2228"/>
      <c r="G37" s="2184"/>
      <c r="H37" s="2184"/>
      <c r="I37" s="2184"/>
    </row>
    <row r="38" spans="1:16" ht="15.75" thickBot="1">
      <c r="A38" s="2959"/>
      <c r="B38" s="2229" t="s">
        <v>1969</v>
      </c>
      <c r="C38" s="71"/>
      <c r="D38" s="2194"/>
      <c r="E38" s="2194"/>
      <c r="F38" s="2228"/>
      <c r="G38" s="2194"/>
      <c r="H38" s="2194"/>
      <c r="I38" s="2194"/>
    </row>
    <row r="39" spans="1:16" ht="15.75" thickBot="1">
      <c r="A39" s="2960"/>
      <c r="B39" s="2230" t="s">
        <v>1970</v>
      </c>
      <c r="C39" s="712"/>
      <c r="D39" s="2231" t="s">
        <v>1971</v>
      </c>
      <c r="E39" s="2194"/>
      <c r="F39" s="2228"/>
      <c r="G39" s="2194"/>
      <c r="H39" s="2194"/>
      <c r="I39" s="2194"/>
    </row>
    <row r="40" spans="1:16" ht="15">
      <c r="A40" s="2198" t="s">
        <v>1972</v>
      </c>
      <c r="B40" s="2232" t="s">
        <v>1973</v>
      </c>
      <c r="C40" s="2233" t="s">
        <v>1974</v>
      </c>
      <c r="D40" s="2233" t="s">
        <v>1975</v>
      </c>
      <c r="E40" s="2234" t="s">
        <v>1976</v>
      </c>
      <c r="F40" s="2228"/>
      <c r="G40" s="2194"/>
      <c r="H40" s="2194"/>
      <c r="I40" s="2194"/>
    </row>
    <row r="41" spans="1:16" ht="14.25">
      <c r="A41" s="2235" t="s">
        <v>1977</v>
      </c>
      <c r="B41" s="74"/>
      <c r="C41" s="75"/>
      <c r="D41" s="75"/>
      <c r="E41" s="76"/>
      <c r="F41" s="2228"/>
      <c r="G41" s="2194"/>
      <c r="H41" s="2194"/>
      <c r="I41" s="2194"/>
    </row>
    <row r="42" spans="1:16" ht="14.25">
      <c r="A42" s="2235" t="s">
        <v>1978</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1979</v>
      </c>
      <c r="B45" s="2241"/>
      <c r="C45" s="2241"/>
      <c r="D45" s="2242"/>
      <c r="E45" s="2242"/>
      <c r="F45" s="2243"/>
      <c r="G45" s="2243"/>
      <c r="H45" s="2243"/>
      <c r="I45" s="2243"/>
      <c r="J45" s="2244" t="s">
        <v>1810</v>
      </c>
      <c r="K45" s="2245"/>
      <c r="L45" s="2245"/>
      <c r="M45" s="2245"/>
      <c r="N45" s="2245"/>
      <c r="O45" s="2245"/>
      <c r="P45" s="1835"/>
    </row>
    <row r="46" spans="1:16" ht="14.25" customHeight="1" thickBot="1">
      <c r="A46" s="2964" t="s">
        <v>1980</v>
      </c>
      <c r="B46" s="2965"/>
      <c r="C46" s="2966"/>
      <c r="D46" s="80">
        <f>ROUND(I103*F46,0)</f>
        <v>0</v>
      </c>
      <c r="E46" s="81" t="s">
        <v>1981</v>
      </c>
      <c r="F46" s="82">
        <v>1</v>
      </c>
      <c r="G46" s="83" t="s">
        <v>1982</v>
      </c>
      <c r="H46" s="2184"/>
      <c r="I46" s="2184"/>
      <c r="J46" s="3026" t="s">
        <v>1814</v>
      </c>
      <c r="K46" s="3026"/>
      <c r="L46" s="3026"/>
      <c r="M46" s="3026"/>
      <c r="N46" s="3026"/>
      <c r="O46" s="3026"/>
      <c r="P46" s="1835"/>
    </row>
    <row r="47" spans="1:16" ht="14.25" customHeight="1">
      <c r="A47" s="2949" t="s">
        <v>1815</v>
      </c>
      <c r="B47" s="2950"/>
      <c r="C47" s="2950"/>
      <c r="D47" s="2950"/>
      <c r="E47" s="2950"/>
      <c r="F47" s="2950"/>
      <c r="G47" s="2951"/>
      <c r="H47" s="2246"/>
      <c r="I47" s="1144"/>
      <c r="J47" s="1873">
        <v>1</v>
      </c>
      <c r="K47" s="3026" t="s">
        <v>1816</v>
      </c>
      <c r="L47" s="3026"/>
      <c r="M47" s="3042"/>
      <c r="N47" s="3042"/>
      <c r="O47" s="3042"/>
      <c r="P47" s="1835"/>
    </row>
    <row r="48" spans="1:16" ht="12" customHeight="1">
      <c r="A48" s="85" t="s">
        <v>1817</v>
      </c>
      <c r="B48" s="86"/>
      <c r="C48" s="87"/>
      <c r="D48" s="88" t="s">
        <v>1818</v>
      </c>
      <c r="E48" s="14" t="s">
        <v>1819</v>
      </c>
      <c r="F48" s="89" t="s">
        <v>1820</v>
      </c>
      <c r="G48" s="90" t="s">
        <v>1821</v>
      </c>
      <c r="H48" s="2246"/>
      <c r="I48" s="1144"/>
      <c r="J48" s="1873">
        <v>2</v>
      </c>
      <c r="K48" s="3026" t="s">
        <v>1822</v>
      </c>
      <c r="L48" s="3026"/>
      <c r="M48" s="3028">
        <f>'数据-取费表'!B2</f>
        <v>43077</v>
      </c>
      <c r="N48" s="3028"/>
      <c r="O48" s="3028"/>
      <c r="P48" s="1835"/>
    </row>
    <row r="49" spans="1:16" ht="25.5">
      <c r="A49" s="2961" t="s">
        <v>1823</v>
      </c>
      <c r="B49" s="2962"/>
      <c r="C49" s="2962"/>
      <c r="D49" s="56">
        <f>IF(H49="情况1",0,IF(H49="情况2",D53,IF(H49="情况3",D54,IF(H49="情况4",D55))))</f>
        <v>0</v>
      </c>
      <c r="E49" s="1883" t="str">
        <f>IF(H49="情况4","(销售额-原购置价)×税（费）率","销售额×税（费）率")</f>
        <v>销售额×税（费）率</v>
      </c>
      <c r="F49" s="91">
        <f>IF(H49="情况1","免征",'数据-取费表'!E29)</f>
        <v>5.6000000000000001E-2</v>
      </c>
      <c r="G49" s="2247" t="s">
        <v>1824</v>
      </c>
      <c r="H49" s="2248" t="s">
        <v>1825</v>
      </c>
      <c r="I49" s="2246"/>
      <c r="J49" s="1873">
        <v>3</v>
      </c>
      <c r="K49" s="3026" t="s">
        <v>1826</v>
      </c>
      <c r="L49" s="3026"/>
      <c r="M49" s="3027">
        <f>I103</f>
        <v>0</v>
      </c>
      <c r="N49" s="3027"/>
      <c r="O49" s="3027"/>
      <c r="P49" s="1835"/>
    </row>
    <row r="50" spans="1:16" ht="25.5" customHeight="1">
      <c r="A50" s="92" t="s">
        <v>1827</v>
      </c>
      <c r="B50" s="2954" t="s">
        <v>1828</v>
      </c>
      <c r="C50" s="2954"/>
      <c r="D50" s="93">
        <v>0</v>
      </c>
      <c r="E50" s="13" t="s">
        <v>1829</v>
      </c>
      <c r="F50" s="18" t="s">
        <v>48</v>
      </c>
      <c r="G50" s="3019"/>
      <c r="H50" s="2184"/>
      <c r="I50" s="2249"/>
      <c r="J50" s="1873">
        <v>4</v>
      </c>
      <c r="K50" s="3026" t="str">
        <f>IF(项目基本情况!F5="房地产抵押价值","房地产抵押价值","抵押担保权已注销时的房地产抵押价值")</f>
        <v>抵押担保权已注销时的房地产抵押价值</v>
      </c>
      <c r="L50" s="3026"/>
      <c r="M50" s="3027" t="str">
        <f>IF(项目基本情况!E8="房地产抵押价值",I111,I113)</f>
        <v>——</v>
      </c>
      <c r="N50" s="3027"/>
      <c r="O50" s="3027"/>
      <c r="P50" s="1835"/>
    </row>
    <row r="51" spans="1:16" ht="25.5" customHeight="1">
      <c r="A51" s="94"/>
      <c r="B51" s="2954" t="s">
        <v>1830</v>
      </c>
      <c r="C51" s="2954"/>
      <c r="D51" s="95"/>
      <c r="E51" s="21"/>
      <c r="F51" s="96"/>
      <c r="G51" s="3020"/>
      <c r="H51" s="2184"/>
      <c r="I51" s="2249"/>
      <c r="J51" s="3026" t="s">
        <v>1831</v>
      </c>
      <c r="K51" s="3026"/>
      <c r="L51" s="3026"/>
      <c r="M51" s="3026"/>
      <c r="N51" s="3026"/>
      <c r="O51" s="3026"/>
      <c r="P51" s="1835"/>
    </row>
    <row r="52" spans="1:16" ht="12" customHeight="1">
      <c r="A52" s="97"/>
      <c r="B52" s="2954" t="s">
        <v>1832</v>
      </c>
      <c r="C52" s="2954"/>
      <c r="D52" s="98"/>
      <c r="E52" s="20"/>
      <c r="F52" s="96"/>
      <c r="G52" s="3021"/>
      <c r="H52" s="2184"/>
      <c r="I52" s="2249"/>
      <c r="J52" s="2250" t="s">
        <v>1833</v>
      </c>
      <c r="K52" s="3026" t="s">
        <v>1834</v>
      </c>
      <c r="L52" s="3026"/>
      <c r="M52" s="2250" t="s">
        <v>1835</v>
      </c>
      <c r="N52" s="2250" t="s">
        <v>1836</v>
      </c>
      <c r="O52" s="2250" t="s">
        <v>1837</v>
      </c>
      <c r="P52" s="1835"/>
    </row>
    <row r="53" spans="1:16" ht="24" customHeight="1">
      <c r="A53" s="99" t="s">
        <v>1838</v>
      </c>
      <c r="B53" s="2954" t="s">
        <v>1839</v>
      </c>
      <c r="C53" s="2954"/>
      <c r="D53" s="98">
        <f>ROUND(D46*'数据-取费表'!E29/(1+'数据-取费表'!F30),0)</f>
        <v>0</v>
      </c>
      <c r="E53" s="10" t="s">
        <v>1840</v>
      </c>
      <c r="F53" s="100">
        <f>'数据-取费表'!E29</f>
        <v>5.6000000000000001E-2</v>
      </c>
      <c r="G53" s="2251"/>
      <c r="H53" s="2184"/>
      <c r="I53" s="2249"/>
      <c r="J53" s="1873">
        <v>1</v>
      </c>
      <c r="K53" s="2986" t="s">
        <v>1841</v>
      </c>
      <c r="L53" s="2986"/>
      <c r="M53" s="778">
        <f>D49</f>
        <v>0</v>
      </c>
      <c r="N53" s="1873" t="str">
        <f>E49</f>
        <v>销售额×税（费）率</v>
      </c>
      <c r="O53" s="779">
        <f>F49</f>
        <v>5.6000000000000001E-2</v>
      </c>
      <c r="P53" s="1835"/>
    </row>
    <row r="54" spans="1:16" ht="12" customHeight="1">
      <c r="A54" s="99" t="s">
        <v>1842</v>
      </c>
      <c r="B54" s="2955" t="s">
        <v>1843</v>
      </c>
      <c r="C54" s="2885"/>
      <c r="D54" s="98">
        <f>ROUND(D46*'数据-取费表'!E29/(1+'数据-取费表'!F30),0)</f>
        <v>0</v>
      </c>
      <c r="E54" s="10" t="s">
        <v>1840</v>
      </c>
      <c r="F54" s="100">
        <f>'数据-取费表'!E29</f>
        <v>5.6000000000000001E-2</v>
      </c>
      <c r="G54" s="2251"/>
      <c r="H54" s="2184"/>
      <c r="I54" s="2249"/>
      <c r="J54" s="1873">
        <v>2</v>
      </c>
      <c r="K54" s="2986" t="s">
        <v>1844</v>
      </c>
      <c r="L54" s="2986"/>
      <c r="M54" s="778">
        <f t="shared" ref="M54:O55" si="1">D56</f>
        <v>0</v>
      </c>
      <c r="N54" s="1873" t="str">
        <f t="shared" si="1"/>
        <v>销售额×税（费）率</v>
      </c>
      <c r="O54" s="779">
        <f t="shared" si="1"/>
        <v>5.0000000000000001E-4</v>
      </c>
      <c r="P54" s="1835"/>
    </row>
    <row r="55" spans="1:16" ht="12" customHeight="1">
      <c r="A55" s="99" t="s">
        <v>1845</v>
      </c>
      <c r="B55" s="2955" t="s">
        <v>1846</v>
      </c>
      <c r="C55" s="2885"/>
      <c r="D55" s="98">
        <f>C69</f>
        <v>0</v>
      </c>
      <c r="E55" s="20" t="s">
        <v>1847</v>
      </c>
      <c r="F55" s="100">
        <f>'数据-取费表'!E29</f>
        <v>5.6000000000000001E-2</v>
      </c>
      <c r="G55" s="2251"/>
      <c r="H55" s="2252"/>
      <c r="I55" s="2249"/>
      <c r="J55" s="1873">
        <v>3</v>
      </c>
      <c r="K55" s="2986" t="s">
        <v>1848</v>
      </c>
      <c r="L55" s="2986"/>
      <c r="M55" s="778">
        <f t="shared" si="1"/>
        <v>0</v>
      </c>
      <c r="N55" s="1873" t="str">
        <f t="shared" si="1"/>
        <v>增值额×税（费）率</v>
      </c>
      <c r="O55" s="780" t="str">
        <f t="shared" si="1"/>
        <v>——</v>
      </c>
      <c r="P55" s="1835"/>
    </row>
    <row r="56" spans="1:16" ht="24" customHeight="1">
      <c r="A56" s="2877" t="s">
        <v>1849</v>
      </c>
      <c r="B56" s="2962"/>
      <c r="C56" s="2962"/>
      <c r="D56" s="101">
        <f>IF(H56="个人住宅",0,ROUND(D46*I56,0))</f>
        <v>0</v>
      </c>
      <c r="E56" s="10" t="s">
        <v>1850</v>
      </c>
      <c r="F56" s="100">
        <f>IF(H56="正常",I56,"免征")</f>
        <v>5.0000000000000001E-4</v>
      </c>
      <c r="G56" s="2251"/>
      <c r="H56" s="2248" t="s">
        <v>1851</v>
      </c>
      <c r="I56" s="102">
        <f>'数据-取费表'!E37</f>
        <v>5.0000000000000001E-4</v>
      </c>
      <c r="J56" s="1873" t="str">
        <f>IF(H60="非个人房产","",4)</f>
        <v/>
      </c>
      <c r="K56" s="2986" t="str">
        <f>IF(H60="非个人房产","——","个人所得税")</f>
        <v>——</v>
      </c>
      <c r="L56" s="2986"/>
      <c r="M56" s="781" t="str">
        <f>D60</f>
        <v>——</v>
      </c>
      <c r="N56" s="1876" t="str">
        <f>E60</f>
        <v>——</v>
      </c>
      <c r="O56" s="782" t="str">
        <f>F60</f>
        <v>——</v>
      </c>
      <c r="P56" s="1835"/>
    </row>
    <row r="57" spans="1:16" ht="24.75">
      <c r="A57" s="2877" t="s">
        <v>1852</v>
      </c>
      <c r="B57" s="2962"/>
      <c r="C57" s="2962"/>
      <c r="D57" s="101">
        <f>IF(H57="个人住宅",D58,D59)</f>
        <v>0</v>
      </c>
      <c r="E57" s="10" t="s">
        <v>1853</v>
      </c>
      <c r="F57" s="100" t="str">
        <f>IF(H57="正常",F59,"免征")</f>
        <v>——</v>
      </c>
      <c r="G57" s="2253" t="s">
        <v>1854</v>
      </c>
      <c r="H57" s="2254" t="s">
        <v>1851</v>
      </c>
      <c r="I57" s="1022"/>
      <c r="J57" s="1873" t="str">
        <f>IF(项目基本情况!I6="上海银行",IF(J56="",4,J56+1),"")</f>
        <v/>
      </c>
      <c r="K57" s="3004" t="str">
        <f>IF(项目基本情况!I6="上海银行","其他处置费用","")</f>
        <v/>
      </c>
      <c r="L57" s="3005"/>
      <c r="M57" s="778" t="str">
        <f>IF(项目基本情况!I6="上海银行",M70,"")</f>
        <v/>
      </c>
      <c r="N57" s="3017" t="str">
        <f>IF(项目基本情况!I6="上海银行","包含处置中涉及的律师、诉讼、拍卖、评估等费用","")</f>
        <v/>
      </c>
      <c r="O57" s="3018"/>
      <c r="P57" s="1835"/>
    </row>
    <row r="58" spans="1:16" ht="12.75">
      <c r="A58" s="99" t="s">
        <v>1827</v>
      </c>
      <c r="B58" s="2952" t="s">
        <v>1855</v>
      </c>
      <c r="C58" s="2963"/>
      <c r="D58" s="103">
        <v>0</v>
      </c>
      <c r="E58" s="13" t="s">
        <v>1829</v>
      </c>
      <c r="F58" s="70"/>
      <c r="G58" s="2251"/>
      <c r="H58" s="1022"/>
      <c r="I58" s="1022"/>
      <c r="J58" s="2986">
        <f>IF(AND(J56="",J57=""),4,IF(项目基本情况!I6="上海银行",J57+1,J56+1))</f>
        <v>4</v>
      </c>
      <c r="K58" s="2986" t="s">
        <v>1856</v>
      </c>
      <c r="L58" s="2255" t="s">
        <v>1857</v>
      </c>
      <c r="M58" s="783"/>
      <c r="N58" s="784">
        <f>SUMIF(M53:M57,"&lt;9e307")</f>
        <v>0</v>
      </c>
      <c r="O58" s="2256"/>
      <c r="P58" s="1831" t="e">
        <f>N58/M50</f>
        <v>#VALUE!</v>
      </c>
    </row>
    <row r="59" spans="1:16" ht="24.75">
      <c r="A59" s="99" t="s">
        <v>1838</v>
      </c>
      <c r="B59" s="2952" t="s">
        <v>1858</v>
      </c>
      <c r="C59" s="2953"/>
      <c r="D59" s="101">
        <f>IF(H59="转让取得",C82,C98)</f>
        <v>0</v>
      </c>
      <c r="E59" s="10" t="s">
        <v>1853</v>
      </c>
      <c r="F59" s="14" t="s">
        <v>48</v>
      </c>
      <c r="G59" s="2251"/>
      <c r="H59" s="2254" t="s">
        <v>1859</v>
      </c>
      <c r="I59" s="1022"/>
      <c r="J59" s="2986"/>
      <c r="K59" s="2986"/>
      <c r="L59" s="2255" t="s">
        <v>1860</v>
      </c>
      <c r="M59" s="785"/>
      <c r="N59" s="2257" t="str">
        <f>IF(H19="元",NUMBERSTRING(INT(N58),2)&amp;"元整",NUMBERSTRING(INT(N58*10000),2)&amp;"元整")</f>
        <v>零元整</v>
      </c>
      <c r="O59" s="2258"/>
      <c r="P59" s="1835"/>
    </row>
    <row r="60" spans="1:16" ht="24.75" thickBot="1">
      <c r="A60" s="2878" t="s">
        <v>1861</v>
      </c>
      <c r="B60" s="2881"/>
      <c r="C60" s="2881"/>
      <c r="D60" s="104" t="str">
        <f>IF(H60="非个人房产","——",IF(H60="个人住宅",0,ROUND(D46*I60,0)))</f>
        <v>——</v>
      </c>
      <c r="E60" s="105" t="str">
        <f>IF(H60="非个人房产","——","销售额×税（费）率")</f>
        <v>——</v>
      </c>
      <c r="F60" s="106" t="str">
        <f>IF(H60="非个人房产","——",IF(H60="个人住宅","免征",I60))</f>
        <v>——</v>
      </c>
      <c r="G60" s="2259" t="s">
        <v>1854</v>
      </c>
      <c r="H60" s="2254" t="s">
        <v>1983</v>
      </c>
      <c r="I60" s="107">
        <v>0.01</v>
      </c>
      <c r="J60" s="2984">
        <f>J58+1</f>
        <v>5</v>
      </c>
      <c r="K60" s="2986" t="s">
        <v>1863</v>
      </c>
      <c r="L60" s="1873" t="s">
        <v>1857</v>
      </c>
      <c r="M60" s="786"/>
      <c r="N60" s="787" t="e">
        <f>M50-N58</f>
        <v>#VALUE!</v>
      </c>
      <c r="O60" s="2260"/>
      <c r="P60" s="1835"/>
    </row>
    <row r="61" spans="1:16" ht="12" customHeight="1">
      <c r="A61" s="2057"/>
      <c r="B61" s="2184"/>
      <c r="C61" s="2184"/>
      <c r="D61" s="2184"/>
      <c r="E61" s="1022"/>
      <c r="F61" s="1022"/>
      <c r="G61" s="1022"/>
      <c r="H61" s="2237"/>
      <c r="I61" s="2184"/>
      <c r="J61" s="2985"/>
      <c r="K61" s="2986"/>
      <c r="L61" s="2255" t="s">
        <v>1860</v>
      </c>
      <c r="M61" s="785"/>
      <c r="N61" s="2257" t="e">
        <f>IF(H19="元",NUMBERSTRING(INT(N60),2)&amp;"元整",NUMBERSTRING(INT(N60*10000),2)&amp;"元整")</f>
        <v>#VALUE!</v>
      </c>
      <c r="O61" s="2258"/>
      <c r="P61" s="1835"/>
    </row>
    <row r="62" spans="1:16" ht="13.5" thickBot="1">
      <c r="A62" s="2967" t="s">
        <v>1864</v>
      </c>
      <c r="B62" s="2967"/>
      <c r="C62" s="2967"/>
      <c r="D62" s="2967"/>
      <c r="E62" s="2967"/>
      <c r="F62" s="1022"/>
      <c r="G62" s="1022"/>
      <c r="H62" s="2237"/>
      <c r="I62" s="2184"/>
      <c r="J62" s="1873">
        <f>J60+1</f>
        <v>6</v>
      </c>
      <c r="K62" s="2986" t="s">
        <v>1865</v>
      </c>
      <c r="L62" s="2986"/>
      <c r="M62" s="788"/>
      <c r="N62" s="789" t="e">
        <f>IF(H19="元",ROUND(N60/项目基本情况!C12,0),ROUND(N60*10000/项目基本情况!C12,0))</f>
        <v>#VALUE!</v>
      </c>
      <c r="O62" s="2261"/>
      <c r="P62" s="1835"/>
    </row>
    <row r="63" spans="1:16" ht="12.75">
      <c r="A63" s="2974" t="s">
        <v>1866</v>
      </c>
      <c r="B63" s="2975"/>
      <c r="C63" s="1875"/>
      <c r="D63" s="1875" t="s">
        <v>1867</v>
      </c>
      <c r="E63" s="108" t="s">
        <v>1868</v>
      </c>
      <c r="F63" s="1022"/>
      <c r="G63" s="1022"/>
      <c r="H63" s="2237"/>
      <c r="I63" s="2184"/>
      <c r="J63" s="1835"/>
      <c r="K63" s="1835"/>
      <c r="L63" s="1835"/>
      <c r="M63" s="1835"/>
      <c r="N63" s="1835"/>
      <c r="O63" s="1835"/>
      <c r="P63" s="1835"/>
    </row>
    <row r="64" spans="1:16" ht="12.75">
      <c r="A64" s="109">
        <v>1</v>
      </c>
      <c r="B64" s="110" t="s">
        <v>1869</v>
      </c>
      <c r="C64" s="111">
        <f>ROUND((C65+C66)/(1+'数据-取费表'!F30),0)</f>
        <v>0</v>
      </c>
      <c r="D64" s="112"/>
      <c r="E64" s="113"/>
      <c r="F64" s="1022"/>
      <c r="G64" s="1022"/>
      <c r="H64" s="2237"/>
      <c r="I64" s="2184"/>
      <c r="J64" s="3006" t="s">
        <v>1870</v>
      </c>
      <c r="K64" s="2262" t="s">
        <v>1871</v>
      </c>
      <c r="L64" s="1834" t="e">
        <f>IF(M50&gt;10000,M50*0.5%,IF(AND(M50&gt;1000,M50&lt;=10000),M50*1%,IF(AND(M50&gt;100,M50&lt;=1000),M50*3%,IF(AND(M50&gt;10,M50&lt;=100),M50*5%,M50*8%))))</f>
        <v>#VALUE!</v>
      </c>
      <c r="M64" s="14" t="e">
        <f>ROUND(L64,1)</f>
        <v>#VALUE!</v>
      </c>
      <c r="N64" s="1835"/>
      <c r="O64" s="1835"/>
      <c r="P64" s="1835"/>
    </row>
    <row r="65" spans="1:35" ht="12.75">
      <c r="A65" s="114" t="s">
        <v>71</v>
      </c>
      <c r="B65" s="115" t="s">
        <v>1872</v>
      </c>
      <c r="C65" s="116">
        <f>D46</f>
        <v>0</v>
      </c>
      <c r="D65" s="117" t="s">
        <v>41</v>
      </c>
      <c r="E65" s="118"/>
      <c r="F65" s="1022"/>
      <c r="G65" s="1022"/>
      <c r="H65" s="2237"/>
      <c r="I65" s="2184"/>
      <c r="J65" s="3006"/>
      <c r="K65" s="2262" t="s">
        <v>1873</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1874</v>
      </c>
      <c r="O65" s="1835"/>
      <c r="P65" s="1835"/>
    </row>
    <row r="66" spans="1:35" ht="12.75">
      <c r="A66" s="114" t="s">
        <v>72</v>
      </c>
      <c r="B66" s="115" t="s">
        <v>1875</v>
      </c>
      <c r="C66" s="119"/>
      <c r="D66" s="117"/>
      <c r="E66" s="118"/>
      <c r="F66" s="1022"/>
      <c r="G66" s="1022"/>
      <c r="H66" s="2237"/>
      <c r="I66" s="2184"/>
      <c r="J66" s="3006"/>
      <c r="K66" s="2262" t="s">
        <v>1876</v>
      </c>
      <c r="L66" s="1834" t="e">
        <f>IF(M50&gt;1000,M50*0.1%,IF(AND(M50&gt;500,M50&lt;=1000),M50*0.5%,IF(AND(M50&gt;50,M50&lt;=500),M50*1%,IF(AND(M50&gt;1,M50&lt;=50),M50*1.5%))))</f>
        <v>#VALUE!</v>
      </c>
      <c r="M66" s="14" t="e">
        <f t="shared" si="2"/>
        <v>#VALUE!</v>
      </c>
      <c r="N66" s="1835" t="s">
        <v>1874</v>
      </c>
      <c r="O66" s="1835"/>
      <c r="P66" s="1835"/>
    </row>
    <row r="67" spans="1:35" ht="12.75">
      <c r="A67" s="120" t="s">
        <v>47</v>
      </c>
      <c r="B67" s="121" t="s">
        <v>1877</v>
      </c>
      <c r="C67" s="122"/>
      <c r="D67" s="123" t="s">
        <v>41</v>
      </c>
      <c r="E67" s="1851" t="s">
        <v>1878</v>
      </c>
      <c r="F67" s="1022"/>
      <c r="G67" s="1022"/>
      <c r="H67" s="2237"/>
      <c r="I67" s="2184"/>
      <c r="J67" s="3006"/>
      <c r="K67" s="2262" t="s">
        <v>1879</v>
      </c>
      <c r="L67" s="1834" t="e">
        <f>M50*0.5%</f>
        <v>#VALUE!</v>
      </c>
      <c r="M67" s="14" t="e">
        <f>IF(L67&gt;0.5,0.5,ROUND(L67,0))</f>
        <v>#VALUE!</v>
      </c>
      <c r="N67" s="1835" t="s">
        <v>1880</v>
      </c>
      <c r="O67" s="1835"/>
      <c r="P67" s="1835"/>
    </row>
    <row r="68" spans="1:35" ht="12.75">
      <c r="A68" s="120" t="s">
        <v>42</v>
      </c>
      <c r="B68" s="121" t="s">
        <v>1881</v>
      </c>
      <c r="C68" s="124">
        <f>C64-C67</f>
        <v>0</v>
      </c>
      <c r="D68" s="117" t="s">
        <v>41</v>
      </c>
      <c r="E68" s="118"/>
      <c r="F68" s="1022"/>
      <c r="G68" s="1022"/>
      <c r="H68" s="2237"/>
      <c r="I68" s="2184"/>
      <c r="J68" s="3006"/>
      <c r="K68" s="2262" t="s">
        <v>1882</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1883</v>
      </c>
      <c r="C69" s="127">
        <f>IF(C68&lt;=0,0,ROUND(C68*D69,0))</f>
        <v>0</v>
      </c>
      <c r="D69" s="128">
        <f>'数据-取费表'!E29</f>
        <v>5.6000000000000001E-2</v>
      </c>
      <c r="E69" s="129"/>
      <c r="F69" s="1022"/>
      <c r="G69" s="1022"/>
      <c r="H69" s="2237"/>
      <c r="I69" s="2184"/>
      <c r="J69" s="3006"/>
      <c r="K69" s="2262" t="s">
        <v>1884</v>
      </c>
      <c r="L69" s="1834" t="e">
        <f>IF(M50&gt;10000,M50*0.5%,IF(AND(M50&gt;5000,M50&lt;=10000),M50*1%,IF(AND(M50&gt;1000,M50&lt;=5000),M50*2%,IF(AND(M50&gt;200,M50&lt;=1000),M50*3%,M50*5%))))</f>
        <v>#VALUE!</v>
      </c>
      <c r="M69" s="14" t="e">
        <f>ROUND(L69,1)</f>
        <v>#VALUE!</v>
      </c>
      <c r="N69" s="1835"/>
      <c r="O69" s="1835"/>
      <c r="P69" s="1835"/>
    </row>
    <row r="70" spans="1:35" s="2211" customFormat="1" ht="7.5" customHeight="1">
      <c r="A70" s="2263"/>
      <c r="B70" s="2264"/>
      <c r="C70" s="2265"/>
      <c r="D70" s="2266"/>
      <c r="E70" s="2267"/>
      <c r="F70" s="1022"/>
      <c r="G70" s="1022"/>
      <c r="H70" s="2237"/>
      <c r="I70" s="2184"/>
      <c r="J70" s="3006"/>
      <c r="K70" s="2262" t="s">
        <v>1885</v>
      </c>
      <c r="L70" s="2268"/>
      <c r="M70" s="14" t="e">
        <f>ROUND(SUM(M64:M69),0)</f>
        <v>#VALUE!</v>
      </c>
      <c r="N70" s="1831" t="e">
        <f>M70/M50</f>
        <v>#VALUE!</v>
      </c>
      <c r="O70" s="1835"/>
      <c r="P70" s="1835"/>
      <c r="Q70" s="798"/>
      <c r="R70" s="798"/>
      <c r="S70" s="798"/>
      <c r="T70" s="798"/>
      <c r="U70" s="798"/>
      <c r="V70" s="798"/>
      <c r="W70" s="798"/>
      <c r="X70" s="798"/>
      <c r="Y70" s="798"/>
      <c r="Z70" s="798"/>
      <c r="AA70" s="1835"/>
      <c r="AB70" s="1835"/>
      <c r="AC70" s="1835"/>
      <c r="AD70" s="1835"/>
      <c r="AE70" s="1835"/>
      <c r="AF70" s="1835"/>
      <c r="AG70" s="1835"/>
      <c r="AH70" s="1835"/>
      <c r="AI70" s="1835"/>
    </row>
    <row r="71" spans="1:35" s="2270" customFormat="1" ht="15" thickBot="1">
      <c r="A71" s="2978" t="s">
        <v>1886</v>
      </c>
      <c r="B71" s="2979"/>
      <c r="C71" s="2979"/>
      <c r="D71" s="2979"/>
      <c r="E71" s="2979"/>
      <c r="F71" s="2979"/>
      <c r="G71" s="2979"/>
      <c r="H71" s="2979"/>
      <c r="I71" s="2269"/>
      <c r="J71" s="1286"/>
      <c r="K71" s="1286"/>
      <c r="L71" s="1286"/>
      <c r="M71" s="1286"/>
      <c r="N71" s="1286"/>
      <c r="O71" s="1286"/>
      <c r="P71" s="1286"/>
      <c r="Q71" s="1286"/>
      <c r="R71" s="1286"/>
      <c r="S71" s="1286"/>
      <c r="T71" s="1286"/>
      <c r="U71" s="1286"/>
      <c r="V71" s="1286"/>
      <c r="W71" s="1286"/>
      <c r="X71" s="1286"/>
      <c r="Y71" s="1286"/>
      <c r="Z71" s="1286"/>
      <c r="AA71" s="2271"/>
      <c r="AB71" s="2271"/>
      <c r="AC71" s="2271"/>
      <c r="AD71" s="2271"/>
      <c r="AE71" s="2271"/>
      <c r="AF71" s="2271"/>
      <c r="AG71" s="2271"/>
      <c r="AH71" s="2271"/>
      <c r="AI71" s="2271"/>
    </row>
    <row r="72" spans="1:35" s="2270" customFormat="1" ht="14.25">
      <c r="A72" s="2974" t="s">
        <v>1866</v>
      </c>
      <c r="B72" s="2975"/>
      <c r="C72" s="1875"/>
      <c r="D72" s="1875" t="s">
        <v>1867</v>
      </c>
      <c r="E72" s="130" t="s">
        <v>1868</v>
      </c>
      <c r="F72" s="131"/>
      <c r="G72" s="131"/>
      <c r="H72" s="132"/>
      <c r="I72" s="2272"/>
      <c r="J72" s="1286"/>
      <c r="K72" s="1286"/>
      <c r="L72" s="1286"/>
      <c r="M72" s="1286"/>
      <c r="N72" s="1286"/>
      <c r="O72" s="1286"/>
      <c r="P72" s="1286"/>
      <c r="Q72" s="1286"/>
      <c r="R72" s="1286"/>
      <c r="S72" s="1286"/>
      <c r="T72" s="1286"/>
      <c r="U72" s="1286"/>
      <c r="V72" s="1286"/>
      <c r="W72" s="1286"/>
      <c r="X72" s="1286"/>
      <c r="Y72" s="1286"/>
      <c r="Z72" s="1286"/>
      <c r="AA72" s="2271"/>
      <c r="AB72" s="2271"/>
      <c r="AC72" s="2271"/>
      <c r="AD72" s="2271"/>
      <c r="AE72" s="2271"/>
      <c r="AF72" s="2271"/>
      <c r="AG72" s="2271"/>
      <c r="AH72" s="2271"/>
      <c r="AI72" s="2271"/>
    </row>
    <row r="73" spans="1:35" s="2270" customFormat="1" ht="14.25">
      <c r="A73" s="133">
        <v>1</v>
      </c>
      <c r="B73" s="121" t="s">
        <v>1887</v>
      </c>
      <c r="C73" s="124">
        <f>ROUND(D46/(1+'数据-取费表'!F30),0)</f>
        <v>0</v>
      </c>
      <c r="D73" s="117" t="s">
        <v>41</v>
      </c>
      <c r="E73" s="1878"/>
      <c r="F73" s="1879"/>
      <c r="G73" s="1879"/>
      <c r="H73" s="134"/>
      <c r="I73" s="2272"/>
      <c r="J73" s="1286"/>
      <c r="K73" s="1286"/>
      <c r="L73" s="1286"/>
      <c r="M73" s="1286"/>
      <c r="N73" s="1286"/>
      <c r="O73" s="1286"/>
      <c r="P73" s="1286"/>
      <c r="Q73" s="1286"/>
      <c r="R73" s="1286"/>
      <c r="S73" s="1286"/>
      <c r="T73" s="1286"/>
      <c r="U73" s="1286"/>
      <c r="V73" s="1286"/>
      <c r="W73" s="1286"/>
      <c r="X73" s="1286"/>
      <c r="Y73" s="1286"/>
      <c r="Z73" s="1286"/>
      <c r="AA73" s="2271"/>
      <c r="AB73" s="2271"/>
      <c r="AC73" s="2271"/>
      <c r="AD73" s="2271"/>
      <c r="AE73" s="2271"/>
      <c r="AF73" s="2271"/>
      <c r="AG73" s="2271"/>
      <c r="AH73" s="2271"/>
      <c r="AI73" s="2271"/>
    </row>
    <row r="74" spans="1:35" s="2270" customFormat="1" ht="14.25">
      <c r="A74" s="135">
        <v>2</v>
      </c>
      <c r="B74" s="89" t="s">
        <v>1889</v>
      </c>
      <c r="C74" s="124">
        <f>C75+C79</f>
        <v>0</v>
      </c>
      <c r="D74" s="117" t="s">
        <v>41</v>
      </c>
      <c r="E74" s="1878"/>
      <c r="F74" s="1879"/>
      <c r="G74" s="1879"/>
      <c r="H74" s="134"/>
      <c r="I74" s="2272"/>
      <c r="J74" s="1286"/>
      <c r="K74" s="1286"/>
      <c r="L74" s="1286"/>
      <c r="M74" s="1286"/>
      <c r="N74" s="1286"/>
      <c r="O74" s="1286"/>
      <c r="P74" s="1286"/>
      <c r="Q74" s="1286"/>
      <c r="R74" s="1286"/>
      <c r="S74" s="1286"/>
      <c r="T74" s="1286"/>
      <c r="U74" s="1286"/>
      <c r="V74" s="1286"/>
      <c r="W74" s="1286"/>
      <c r="X74" s="1286"/>
      <c r="Y74" s="1286"/>
      <c r="Z74" s="1286"/>
      <c r="AA74" s="2271"/>
      <c r="AB74" s="2271"/>
      <c r="AC74" s="2271"/>
      <c r="AD74" s="2271"/>
      <c r="AE74" s="2271"/>
      <c r="AF74" s="2271"/>
      <c r="AG74" s="2271"/>
      <c r="AH74" s="2271"/>
      <c r="AI74" s="2271"/>
    </row>
    <row r="75" spans="1:35" s="2270" customFormat="1" ht="14.25">
      <c r="A75" s="136" t="s">
        <v>73</v>
      </c>
      <c r="B75" s="115" t="s">
        <v>1890</v>
      </c>
      <c r="C75" s="117">
        <f>ROUND(IF(G78="2016年5月1日后购买",C76/(1+'数据-取费表'!F30)+C77+C78,C76+C77+C78),0)</f>
        <v>0</v>
      </c>
      <c r="D75" s="117" t="s">
        <v>41</v>
      </c>
      <c r="E75" s="1878"/>
      <c r="F75" s="1879"/>
      <c r="G75" s="1879"/>
      <c r="H75" s="134"/>
      <c r="I75" s="2272"/>
      <c r="J75" s="1286"/>
      <c r="K75" s="1286"/>
      <c r="L75" s="1286"/>
      <c r="M75" s="1286"/>
      <c r="N75" s="1286"/>
      <c r="O75" s="1286"/>
      <c r="P75" s="1286"/>
      <c r="Q75" s="1286"/>
      <c r="R75" s="1286"/>
      <c r="S75" s="1286"/>
      <c r="T75" s="1286"/>
      <c r="U75" s="1286"/>
      <c r="V75" s="1286"/>
      <c r="W75" s="1286"/>
      <c r="X75" s="1286"/>
      <c r="Y75" s="1286"/>
      <c r="Z75" s="1286"/>
      <c r="AA75" s="2271"/>
      <c r="AB75" s="2271"/>
      <c r="AC75" s="2271"/>
      <c r="AD75" s="2271"/>
      <c r="AE75" s="2271"/>
      <c r="AF75" s="2271"/>
      <c r="AG75" s="2271"/>
      <c r="AH75" s="2271"/>
      <c r="AI75" s="2271"/>
    </row>
    <row r="76" spans="1:35" s="2270" customFormat="1" ht="14.25">
      <c r="A76" s="136" t="s">
        <v>74</v>
      </c>
      <c r="B76" s="115" t="s">
        <v>1891</v>
      </c>
      <c r="C76" s="137"/>
      <c r="D76" s="117" t="s">
        <v>41</v>
      </c>
      <c r="E76" s="138" t="s">
        <v>1892</v>
      </c>
      <c r="F76" s="2273" t="s">
        <v>1893</v>
      </c>
      <c r="G76" s="138" t="s">
        <v>1894</v>
      </c>
      <c r="H76" s="139"/>
      <c r="I76" s="9"/>
      <c r="J76" s="1286"/>
      <c r="K76" s="1286"/>
      <c r="L76" s="1286"/>
      <c r="M76" s="1286"/>
      <c r="N76" s="1286"/>
      <c r="O76" s="1286"/>
      <c r="P76" s="1286"/>
      <c r="Q76" s="1286"/>
      <c r="R76" s="1286"/>
      <c r="S76" s="1286"/>
      <c r="T76" s="1286"/>
      <c r="U76" s="1286"/>
      <c r="V76" s="1286"/>
      <c r="W76" s="1286"/>
      <c r="X76" s="1286"/>
      <c r="Y76" s="1286"/>
      <c r="Z76" s="1286"/>
      <c r="AA76" s="2271"/>
      <c r="AB76" s="2271"/>
      <c r="AC76" s="2271"/>
      <c r="AD76" s="2271"/>
      <c r="AE76" s="2271"/>
      <c r="AF76" s="2271"/>
      <c r="AG76" s="2271"/>
      <c r="AH76" s="2271"/>
      <c r="AI76" s="2271"/>
    </row>
    <row r="77" spans="1:35" s="2270" customFormat="1" ht="24.75" customHeight="1">
      <c r="A77" s="136" t="s">
        <v>75</v>
      </c>
      <c r="B77" s="140" t="s">
        <v>1895</v>
      </c>
      <c r="C77" s="117">
        <f>IF(F76="购房发票",ROUND(C76*H76*D77,0),0)</f>
        <v>0</v>
      </c>
      <c r="D77" s="141">
        <v>0.05</v>
      </c>
      <c r="E77" s="2955" t="s">
        <v>1896</v>
      </c>
      <c r="F77" s="2954"/>
      <c r="G77" s="2954"/>
      <c r="H77" s="2969"/>
      <c r="I77" s="2272"/>
      <c r="J77" s="1286"/>
      <c r="K77" s="1286"/>
      <c r="L77" s="1286"/>
      <c r="M77" s="1286"/>
      <c r="N77" s="1286"/>
      <c r="O77" s="1286"/>
      <c r="P77" s="1286"/>
      <c r="Q77" s="1286"/>
      <c r="R77" s="1286"/>
      <c r="S77" s="1286"/>
      <c r="T77" s="1286"/>
      <c r="U77" s="1286"/>
      <c r="V77" s="1286"/>
      <c r="W77" s="1286"/>
      <c r="X77" s="1286"/>
      <c r="Y77" s="1286"/>
      <c r="Z77" s="1286"/>
      <c r="AA77" s="2271"/>
      <c r="AB77" s="2271"/>
      <c r="AC77" s="2271"/>
      <c r="AD77" s="2271"/>
      <c r="AE77" s="2271"/>
      <c r="AF77" s="2271"/>
      <c r="AG77" s="2271"/>
      <c r="AH77" s="2271"/>
      <c r="AI77" s="2271"/>
    </row>
    <row r="78" spans="1:35" s="2270" customFormat="1" ht="24.75" customHeight="1">
      <c r="A78" s="136" t="s">
        <v>76</v>
      </c>
      <c r="B78" s="115" t="s">
        <v>1897</v>
      </c>
      <c r="C78" s="117">
        <f>ROUND(IF(G78="个人住宅",0,IF(G78="2016年5月1日前购买",C76*D78,C76*D78/(1+'数据-取费表'!F30))),0)</f>
        <v>0</v>
      </c>
      <c r="D78" s="142">
        <f>'数据-取费表'!E36+'数据-取费表'!E37</f>
        <v>3.0499999999999999E-2</v>
      </c>
      <c r="E78" s="12" t="s">
        <v>1898</v>
      </c>
      <c r="F78" s="143"/>
      <c r="G78" s="2274" t="s">
        <v>1899</v>
      </c>
      <c r="H78" s="1880" t="str">
        <f>IF(G78="个人买卖住房","免征印花税"," ")</f>
        <v xml:space="preserve"> </v>
      </c>
      <c r="I78" s="2272"/>
      <c r="J78" s="1286"/>
      <c r="K78" s="1286"/>
      <c r="L78" s="1286"/>
      <c r="M78" s="1286"/>
      <c r="N78" s="1286"/>
      <c r="O78" s="1286"/>
      <c r="P78" s="1286"/>
      <c r="Q78" s="1286"/>
      <c r="R78" s="1286"/>
      <c r="S78" s="1286"/>
      <c r="T78" s="1286"/>
      <c r="U78" s="1286"/>
      <c r="V78" s="1286"/>
      <c r="W78" s="1286"/>
      <c r="X78" s="1286"/>
      <c r="Y78" s="1286"/>
      <c r="Z78" s="1286"/>
      <c r="AA78" s="2271"/>
      <c r="AB78" s="2271"/>
      <c r="AC78" s="2271"/>
      <c r="AD78" s="2271"/>
      <c r="AE78" s="2271"/>
      <c r="AF78" s="2271"/>
      <c r="AG78" s="2271"/>
      <c r="AH78" s="2271"/>
      <c r="AI78" s="2271"/>
    </row>
    <row r="79" spans="1:35" s="2270" customFormat="1" ht="24.75" customHeight="1">
      <c r="A79" s="136" t="s">
        <v>77</v>
      </c>
      <c r="B79" s="115" t="s">
        <v>1900</v>
      </c>
      <c r="C79" s="144">
        <f>ROUND(D46*D79/(1+'数据-取费表'!F30),0)</f>
        <v>0</v>
      </c>
      <c r="D79" s="145">
        <f>'数据-取费表'!E31</f>
        <v>6.000000000000001E-3</v>
      </c>
      <c r="E79" s="2946" t="s">
        <v>1901</v>
      </c>
      <c r="F79" s="2947"/>
      <c r="G79" s="2947"/>
      <c r="H79" s="2948"/>
      <c r="I79" s="2275"/>
      <c r="J79" s="1286"/>
      <c r="K79" s="1286"/>
      <c r="L79" s="1286"/>
      <c r="M79" s="1286"/>
      <c r="N79" s="1286"/>
      <c r="O79" s="1286"/>
      <c r="P79" s="1286"/>
      <c r="Q79" s="1286"/>
      <c r="R79" s="1286"/>
      <c r="S79" s="1286"/>
      <c r="T79" s="1286"/>
      <c r="U79" s="1286"/>
      <c r="V79" s="1286"/>
      <c r="W79" s="1286"/>
      <c r="X79" s="1286"/>
      <c r="Y79" s="1286"/>
      <c r="Z79" s="1286"/>
      <c r="AA79" s="2271"/>
      <c r="AB79" s="2271"/>
      <c r="AC79" s="2271"/>
      <c r="AD79" s="2271"/>
      <c r="AE79" s="2271"/>
      <c r="AF79" s="2271"/>
      <c r="AG79" s="2271"/>
      <c r="AH79" s="2271"/>
      <c r="AI79" s="2271"/>
    </row>
    <row r="80" spans="1:35" s="2270" customFormat="1" ht="14.25">
      <c r="A80" s="146" t="s">
        <v>42</v>
      </c>
      <c r="B80" s="121" t="s">
        <v>1902</v>
      </c>
      <c r="C80" s="124">
        <f>C73-C74</f>
        <v>0</v>
      </c>
      <c r="D80" s="117" t="s">
        <v>41</v>
      </c>
      <c r="E80" s="1878"/>
      <c r="F80" s="1879"/>
      <c r="G80" s="1879"/>
      <c r="H80" s="134"/>
      <c r="I80" s="2272"/>
      <c r="J80" s="1286"/>
      <c r="K80" s="1286"/>
      <c r="L80" s="1286"/>
      <c r="M80" s="1286"/>
      <c r="N80" s="1286"/>
      <c r="O80" s="1286"/>
      <c r="P80" s="1286"/>
      <c r="Q80" s="1286"/>
      <c r="R80" s="1286"/>
      <c r="S80" s="1286"/>
      <c r="T80" s="1286"/>
      <c r="U80" s="1286"/>
      <c r="V80" s="1286"/>
      <c r="W80" s="1286"/>
      <c r="X80" s="1286"/>
      <c r="Y80" s="1286"/>
      <c r="Z80" s="1286"/>
      <c r="AA80" s="2271"/>
      <c r="AB80" s="2271"/>
      <c r="AC80" s="2271"/>
      <c r="AD80" s="2271"/>
      <c r="AE80" s="2271"/>
      <c r="AF80" s="2271"/>
      <c r="AG80" s="2271"/>
      <c r="AH80" s="2271"/>
      <c r="AI80" s="2271"/>
    </row>
    <row r="81" spans="1:35" s="2270" customFormat="1" ht="14.25">
      <c r="A81" s="146" t="s">
        <v>43</v>
      </c>
      <c r="B81" s="121" t="s">
        <v>1903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86"/>
      <c r="K81" s="1286"/>
      <c r="L81" s="1286"/>
      <c r="M81" s="1286"/>
      <c r="N81" s="1286"/>
      <c r="O81" s="1286"/>
      <c r="P81" s="1286"/>
      <c r="Q81" s="1286"/>
      <c r="R81" s="1286"/>
      <c r="S81" s="1286"/>
      <c r="T81" s="1286"/>
      <c r="U81" s="1286"/>
      <c r="V81" s="1286"/>
      <c r="W81" s="1286"/>
      <c r="X81" s="1286"/>
      <c r="Y81" s="1286"/>
      <c r="Z81" s="1286"/>
      <c r="AA81" s="2271"/>
      <c r="AB81" s="2271"/>
      <c r="AC81" s="2271"/>
      <c r="AD81" s="2271"/>
      <c r="AE81" s="2271"/>
      <c r="AF81" s="2271"/>
      <c r="AG81" s="2271"/>
      <c r="AH81" s="2271"/>
      <c r="AI81" s="2271"/>
    </row>
    <row r="82" spans="1:35" s="2270" customFormat="1" ht="15" thickBot="1">
      <c r="A82" s="148" t="s">
        <v>44</v>
      </c>
      <c r="B82" s="126" t="s">
        <v>1904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86"/>
      <c r="K82" s="1286"/>
      <c r="L82" s="1286"/>
      <c r="M82" s="1286"/>
      <c r="N82" s="1286"/>
      <c r="O82" s="1286"/>
      <c r="P82" s="1286"/>
      <c r="Q82" s="1286"/>
      <c r="R82" s="1286"/>
      <c r="S82" s="1286"/>
      <c r="T82" s="1286"/>
      <c r="U82" s="1286"/>
      <c r="V82" s="1286"/>
      <c r="W82" s="1286"/>
      <c r="X82" s="1286"/>
      <c r="Y82" s="1286"/>
      <c r="Z82" s="1286"/>
      <c r="AA82" s="2271"/>
      <c r="AB82" s="2271"/>
      <c r="AC82" s="2271"/>
      <c r="AD82" s="2271"/>
      <c r="AE82" s="2271"/>
      <c r="AF82" s="2271"/>
      <c r="AG82" s="2271"/>
      <c r="AH82" s="2271"/>
      <c r="AI82" s="2271"/>
    </row>
    <row r="83" spans="1:35" s="2270" customFormat="1" ht="7.5" customHeight="1">
      <c r="A83" s="717"/>
      <c r="B83" s="718"/>
      <c r="C83" s="9"/>
      <c r="D83" s="9"/>
      <c r="E83" s="718"/>
      <c r="F83" s="718"/>
      <c r="G83" s="718"/>
      <c r="H83" s="719"/>
      <c r="I83" s="2275"/>
      <c r="J83" s="1286"/>
      <c r="K83" s="1286"/>
      <c r="L83" s="1286"/>
      <c r="M83" s="1286"/>
      <c r="N83" s="1286"/>
      <c r="O83" s="1286"/>
      <c r="P83" s="1286"/>
      <c r="Q83" s="1286"/>
      <c r="R83" s="1286"/>
      <c r="S83" s="1286"/>
      <c r="T83" s="1286"/>
      <c r="U83" s="1286"/>
      <c r="V83" s="1286"/>
      <c r="W83" s="1286"/>
      <c r="X83" s="1286"/>
      <c r="Y83" s="1286"/>
      <c r="Z83" s="1286"/>
      <c r="AA83" s="2271"/>
      <c r="AB83" s="2271"/>
      <c r="AC83" s="2271"/>
      <c r="AD83" s="2271"/>
      <c r="AE83" s="2271"/>
      <c r="AF83" s="2271"/>
      <c r="AG83" s="2271"/>
      <c r="AH83" s="2271"/>
      <c r="AI83" s="2271"/>
    </row>
    <row r="84" spans="1:35" s="2270" customFormat="1" ht="15" thickBot="1">
      <c r="A84" s="2978" t="s">
        <v>1905</v>
      </c>
      <c r="B84" s="2979"/>
      <c r="C84" s="2979"/>
      <c r="D84" s="2979"/>
      <c r="E84" s="2979"/>
      <c r="F84" s="2979"/>
      <c r="G84" s="2979"/>
      <c r="H84" s="2979"/>
      <c r="I84" s="9"/>
      <c r="J84" s="1286"/>
      <c r="K84" s="1286"/>
      <c r="L84" s="1286"/>
      <c r="M84" s="1286"/>
      <c r="N84" s="1286"/>
      <c r="O84" s="1286"/>
      <c r="P84" s="1286"/>
      <c r="Q84" s="1286"/>
      <c r="R84" s="1286"/>
      <c r="S84" s="1286"/>
      <c r="T84" s="1286"/>
      <c r="U84" s="1286"/>
      <c r="V84" s="1286"/>
      <c r="W84" s="1286"/>
      <c r="X84" s="1286"/>
      <c r="Y84" s="1286"/>
      <c r="Z84" s="1286"/>
      <c r="AA84" s="2271"/>
      <c r="AB84" s="2271"/>
      <c r="AC84" s="2271"/>
      <c r="AD84" s="2271"/>
      <c r="AE84" s="2271"/>
      <c r="AF84" s="2271"/>
      <c r="AG84" s="2271"/>
      <c r="AH84" s="2271"/>
      <c r="AI84" s="2271"/>
    </row>
    <row r="85" spans="1:35" s="2270" customFormat="1" ht="14.25">
      <c r="A85" s="2974" t="s">
        <v>1866</v>
      </c>
      <c r="B85" s="2975"/>
      <c r="C85" s="1875"/>
      <c r="D85" s="1875" t="s">
        <v>1867</v>
      </c>
      <c r="E85" s="130" t="s">
        <v>1868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1"/>
      <c r="AB85" s="2271"/>
      <c r="AC85" s="2271"/>
      <c r="AD85" s="2271"/>
      <c r="AE85" s="2271"/>
      <c r="AF85" s="2271"/>
      <c r="AG85" s="2271"/>
      <c r="AH85" s="2271"/>
      <c r="AI85" s="2271"/>
    </row>
    <row r="86" spans="1:35" s="2270" customFormat="1" ht="14.25">
      <c r="A86" s="133">
        <v>1</v>
      </c>
      <c r="B86" s="121" t="s">
        <v>1887</v>
      </c>
      <c r="C86" s="124">
        <f>ROUND(D46/(1+'数据-取费表'!F30),0)</f>
        <v>0</v>
      </c>
      <c r="D86" s="117" t="s">
        <v>41</v>
      </c>
      <c r="E86" s="1878"/>
      <c r="F86" s="1879"/>
      <c r="G86" s="1879"/>
      <c r="H86" s="155"/>
      <c r="I86" s="9"/>
      <c r="J86" s="1286"/>
      <c r="K86" s="1286"/>
      <c r="L86" s="1286"/>
      <c r="M86" s="1286"/>
      <c r="N86" s="1286"/>
      <c r="O86" s="1286"/>
      <c r="P86" s="1286"/>
      <c r="Q86" s="1286"/>
      <c r="R86" s="1286"/>
      <c r="S86" s="1286"/>
      <c r="T86" s="1286"/>
      <c r="U86" s="1286"/>
      <c r="V86" s="1286"/>
      <c r="W86" s="1286"/>
      <c r="X86" s="1286"/>
      <c r="Y86" s="1286"/>
      <c r="Z86" s="1286"/>
      <c r="AA86" s="2271"/>
      <c r="AB86" s="2271"/>
      <c r="AC86" s="2271"/>
      <c r="AD86" s="2271"/>
      <c r="AE86" s="2271"/>
      <c r="AF86" s="2271"/>
      <c r="AG86" s="2271"/>
      <c r="AH86" s="2271"/>
      <c r="AI86" s="2271"/>
    </row>
    <row r="87" spans="1:35" s="2270" customFormat="1" ht="14.25">
      <c r="A87" s="135">
        <v>2</v>
      </c>
      <c r="B87" s="89" t="s">
        <v>1889</v>
      </c>
      <c r="C87" s="124">
        <f>IF(H89="仅含出让金",C88+C91+C92+C93+C94+C95,C88+C92+C93+C94+C95)</f>
        <v>0</v>
      </c>
      <c r="D87" s="156"/>
      <c r="E87" s="1878"/>
      <c r="F87" s="1879"/>
      <c r="G87" s="1879"/>
      <c r="H87" s="155"/>
      <c r="I87" s="9"/>
      <c r="J87" s="1286"/>
      <c r="K87" s="1286"/>
      <c r="L87" s="1286"/>
      <c r="M87" s="1286"/>
      <c r="N87" s="1286"/>
      <c r="O87" s="1286"/>
      <c r="P87" s="1286"/>
      <c r="Q87" s="1286"/>
      <c r="R87" s="1286"/>
      <c r="S87" s="1286"/>
      <c r="T87" s="1286"/>
      <c r="U87" s="1286"/>
      <c r="V87" s="1286"/>
      <c r="W87" s="1286"/>
      <c r="X87" s="1286"/>
      <c r="Y87" s="1286"/>
      <c r="Z87" s="1286"/>
      <c r="AA87" s="2271"/>
      <c r="AB87" s="2271"/>
      <c r="AC87" s="2271"/>
      <c r="AD87" s="2271"/>
      <c r="AE87" s="2271"/>
      <c r="AF87" s="2271"/>
      <c r="AG87" s="2271"/>
      <c r="AH87" s="2271"/>
      <c r="AI87" s="2271"/>
    </row>
    <row r="88" spans="1:35" s="2270" customFormat="1" ht="14.25">
      <c r="A88" s="136" t="s">
        <v>73</v>
      </c>
      <c r="B88" s="115" t="s">
        <v>1906</v>
      </c>
      <c r="C88" s="144">
        <f>C89+C90</f>
        <v>0</v>
      </c>
      <c r="D88" s="145"/>
      <c r="E88" s="1871"/>
      <c r="F88" s="1872"/>
      <c r="G88" s="1872"/>
      <c r="H88" s="1874"/>
      <c r="I88" s="9"/>
      <c r="J88" s="1286"/>
      <c r="K88" s="1286"/>
      <c r="L88" s="1286"/>
      <c r="M88" s="1286"/>
      <c r="N88" s="1286"/>
      <c r="O88" s="1286"/>
      <c r="P88" s="1286"/>
      <c r="Q88" s="1286"/>
      <c r="R88" s="1286"/>
      <c r="S88" s="1286"/>
      <c r="T88" s="1286"/>
      <c r="U88" s="1286"/>
      <c r="V88" s="1286"/>
      <c r="W88" s="1286"/>
      <c r="X88" s="1286"/>
      <c r="Y88" s="1286"/>
      <c r="Z88" s="1286"/>
      <c r="AA88" s="2271"/>
      <c r="AB88" s="2271"/>
      <c r="AC88" s="2271"/>
      <c r="AD88" s="2271"/>
      <c r="AE88" s="2271"/>
      <c r="AF88" s="2271"/>
      <c r="AG88" s="2271"/>
      <c r="AH88" s="2271"/>
      <c r="AI88" s="2271"/>
    </row>
    <row r="89" spans="1:35" s="2270" customFormat="1" ht="14.25">
      <c r="A89" s="136" t="s">
        <v>74</v>
      </c>
      <c r="B89" s="115" t="s">
        <v>1907</v>
      </c>
      <c r="C89" s="157"/>
      <c r="D89" s="145"/>
      <c r="E89" s="158" t="s">
        <v>1908</v>
      </c>
      <c r="F89" s="1872"/>
      <c r="G89" s="159" t="s">
        <v>1909</v>
      </c>
      <c r="H89" s="2276"/>
      <c r="I89" s="9"/>
      <c r="J89" s="1286"/>
      <c r="K89" s="1286"/>
      <c r="L89" s="1286"/>
      <c r="M89" s="1286"/>
      <c r="N89" s="1286"/>
      <c r="O89" s="1286"/>
      <c r="P89" s="1286"/>
      <c r="Q89" s="1286"/>
      <c r="R89" s="1286"/>
      <c r="S89" s="1286"/>
      <c r="T89" s="1286"/>
      <c r="U89" s="1286"/>
      <c r="V89" s="1286"/>
      <c r="W89" s="1286"/>
      <c r="X89" s="1286"/>
      <c r="Y89" s="1286"/>
      <c r="Z89" s="1286"/>
      <c r="AA89" s="2271"/>
      <c r="AB89" s="2271"/>
      <c r="AC89" s="2271"/>
      <c r="AD89" s="2271"/>
      <c r="AE89" s="2271"/>
      <c r="AF89" s="2271"/>
      <c r="AG89" s="2271"/>
      <c r="AH89" s="2271"/>
      <c r="AI89" s="2271"/>
    </row>
    <row r="90" spans="1:35" s="2270" customFormat="1" ht="14.25">
      <c r="A90" s="136" t="s">
        <v>75</v>
      </c>
      <c r="B90" s="115" t="s">
        <v>1897</v>
      </c>
      <c r="C90" s="144">
        <f>ROUND(C89*D90,0)</f>
        <v>0</v>
      </c>
      <c r="D90" s="145">
        <f>'数据-取费表'!E36+'数据-取费表'!E37</f>
        <v>3.0499999999999999E-2</v>
      </c>
      <c r="E90" s="158" t="s">
        <v>1910</v>
      </c>
      <c r="F90" s="1872"/>
      <c r="G90" s="1872"/>
      <c r="H90" s="1874"/>
      <c r="I90" s="9"/>
      <c r="J90" s="1286"/>
      <c r="K90" s="1286"/>
      <c r="L90" s="1286"/>
      <c r="M90" s="1286"/>
      <c r="N90" s="1286"/>
      <c r="O90" s="1286"/>
      <c r="P90" s="1286"/>
      <c r="Q90" s="1286"/>
      <c r="R90" s="1286"/>
      <c r="S90" s="1286"/>
      <c r="T90" s="1286"/>
      <c r="U90" s="1286"/>
      <c r="V90" s="1286"/>
      <c r="W90" s="1286"/>
      <c r="X90" s="1286"/>
      <c r="Y90" s="1286"/>
      <c r="Z90" s="1286"/>
      <c r="AA90" s="2271"/>
      <c r="AB90" s="2271"/>
      <c r="AC90" s="2271"/>
      <c r="AD90" s="2271"/>
      <c r="AE90" s="2271"/>
      <c r="AF90" s="2271"/>
      <c r="AG90" s="2271"/>
      <c r="AH90" s="2271"/>
      <c r="AI90" s="2271"/>
    </row>
    <row r="91" spans="1:35" s="2270" customFormat="1" ht="14.25">
      <c r="A91" s="136" t="s">
        <v>77</v>
      </c>
      <c r="B91" s="115" t="s">
        <v>1911</v>
      </c>
      <c r="C91" s="157"/>
      <c r="D91" s="145"/>
      <c r="E91" s="158" t="str">
        <f>IF(H89="-","土地取得成本中已包含该笔费用"," ")</f>
        <v xml:space="preserve"> </v>
      </c>
      <c r="F91" s="1872"/>
      <c r="G91" s="1872"/>
      <c r="H91" s="1874"/>
      <c r="I91" s="9"/>
      <c r="J91" s="1286"/>
      <c r="K91" s="1286"/>
      <c r="L91" s="1286"/>
      <c r="M91" s="1286"/>
      <c r="N91" s="1286"/>
      <c r="O91" s="1286"/>
      <c r="P91" s="1286"/>
      <c r="Q91" s="1286"/>
      <c r="R91" s="1286"/>
      <c r="S91" s="1286"/>
      <c r="T91" s="1286"/>
      <c r="U91" s="1286"/>
      <c r="V91" s="1286"/>
      <c r="W91" s="1286"/>
      <c r="X91" s="1286"/>
      <c r="Y91" s="1286"/>
      <c r="Z91" s="1286"/>
      <c r="AA91" s="2271"/>
      <c r="AB91" s="2271"/>
      <c r="AC91" s="2271"/>
      <c r="AD91" s="2271"/>
      <c r="AE91" s="2271"/>
      <c r="AF91" s="2271"/>
      <c r="AG91" s="2271"/>
      <c r="AH91" s="2271"/>
      <c r="AI91" s="2271"/>
    </row>
    <row r="92" spans="1:35" s="2270" customFormat="1" ht="30.75" customHeight="1">
      <c r="A92" s="136" t="s">
        <v>78</v>
      </c>
      <c r="B92" s="115" t="s">
        <v>1912</v>
      </c>
      <c r="C92" s="144">
        <f>IF(H92="——",成本法!C33,I92)</f>
        <v>0</v>
      </c>
      <c r="D92" s="145"/>
      <c r="E92" s="2946" t="s">
        <v>1913</v>
      </c>
      <c r="F92" s="2947"/>
      <c r="G92" s="2947"/>
      <c r="H92" s="2277" t="s">
        <v>1914</v>
      </c>
      <c r="I92" s="2278"/>
      <c r="J92" s="1286"/>
      <c r="K92" s="1286"/>
      <c r="L92" s="1286"/>
      <c r="M92" s="1286"/>
      <c r="N92" s="1286"/>
      <c r="O92" s="1286"/>
      <c r="P92" s="1286"/>
      <c r="Q92" s="1286"/>
      <c r="R92" s="1286"/>
      <c r="S92" s="1286"/>
      <c r="T92" s="1286"/>
      <c r="U92" s="1286"/>
      <c r="V92" s="1286"/>
      <c r="W92" s="1286"/>
      <c r="X92" s="1286"/>
      <c r="Y92" s="1286"/>
      <c r="Z92" s="1286"/>
      <c r="AA92" s="2271"/>
      <c r="AB92" s="2271"/>
      <c r="AC92" s="2271"/>
      <c r="AD92" s="2271"/>
      <c r="AE92" s="2271"/>
      <c r="AF92" s="2271"/>
      <c r="AG92" s="2271"/>
      <c r="AH92" s="2271"/>
      <c r="AI92" s="2271"/>
    </row>
    <row r="93" spans="1:35" s="2270" customFormat="1" ht="25.5" customHeight="1">
      <c r="A93" s="136" t="s">
        <v>79</v>
      </c>
      <c r="B93" s="115" t="s">
        <v>1915</v>
      </c>
      <c r="C93" s="144">
        <f>ROUND((C88+C91+C92)*D93,0)</f>
        <v>0</v>
      </c>
      <c r="D93" s="145">
        <v>0.1</v>
      </c>
      <c r="E93" s="2946" t="s">
        <v>1916</v>
      </c>
      <c r="F93" s="2947"/>
      <c r="G93" s="2947"/>
      <c r="H93" s="2948"/>
      <c r="I93" s="9"/>
      <c r="J93" s="1286"/>
      <c r="K93" s="1286"/>
      <c r="L93" s="1286"/>
      <c r="M93" s="1286"/>
      <c r="N93" s="1286"/>
      <c r="O93" s="1286"/>
      <c r="P93" s="1286"/>
      <c r="Q93" s="1286"/>
      <c r="R93" s="1286"/>
      <c r="S93" s="1286"/>
      <c r="T93" s="1286"/>
      <c r="U93" s="1286"/>
      <c r="V93" s="1286"/>
      <c r="W93" s="1286"/>
      <c r="X93" s="1286"/>
      <c r="Y93" s="1286"/>
      <c r="Z93" s="1286"/>
      <c r="AA93" s="2271"/>
      <c r="AB93" s="2271"/>
      <c r="AC93" s="2271"/>
      <c r="AD93" s="2271"/>
      <c r="AE93" s="2271"/>
      <c r="AF93" s="2271"/>
      <c r="AG93" s="2271"/>
      <c r="AH93" s="2271"/>
      <c r="AI93" s="2271"/>
    </row>
    <row r="94" spans="1:35" s="2270" customFormat="1" ht="25.5" customHeight="1">
      <c r="A94" s="136" t="s">
        <v>80</v>
      </c>
      <c r="B94" s="115" t="s">
        <v>1900</v>
      </c>
      <c r="C94" s="144">
        <f>ROUND(D46*D94/(1+'数据-取费表'!F30),0)</f>
        <v>0</v>
      </c>
      <c r="D94" s="145">
        <f>'数据-取费表'!E31</f>
        <v>6.000000000000001E-3</v>
      </c>
      <c r="E94" s="2946" t="s">
        <v>1901</v>
      </c>
      <c r="F94" s="2947"/>
      <c r="G94" s="2947"/>
      <c r="H94" s="2948"/>
      <c r="I94" s="9"/>
      <c r="J94" s="1286"/>
      <c r="K94" s="1286"/>
      <c r="L94" s="1286"/>
      <c r="M94" s="1286"/>
      <c r="N94" s="1286"/>
      <c r="O94" s="1286"/>
      <c r="P94" s="1286"/>
      <c r="Q94" s="1286"/>
      <c r="R94" s="1286"/>
      <c r="S94" s="1286"/>
      <c r="T94" s="1286"/>
      <c r="U94" s="1286"/>
      <c r="V94" s="1286"/>
      <c r="W94" s="1286"/>
      <c r="X94" s="1286"/>
      <c r="Y94" s="1286"/>
      <c r="Z94" s="1286"/>
      <c r="AA94" s="2271"/>
      <c r="AB94" s="2271"/>
      <c r="AC94" s="2271"/>
      <c r="AD94" s="2271"/>
      <c r="AE94" s="2271"/>
      <c r="AF94" s="2271"/>
      <c r="AG94" s="2271"/>
      <c r="AH94" s="2271"/>
      <c r="AI94" s="2271"/>
    </row>
    <row r="95" spans="1:35" s="2270" customFormat="1" ht="25.5" customHeight="1">
      <c r="A95" s="136" t="s">
        <v>81</v>
      </c>
      <c r="B95" s="115" t="s">
        <v>1917</v>
      </c>
      <c r="C95" s="144">
        <f>ROUND((C88+C91+C92)*D95,0)</f>
        <v>0</v>
      </c>
      <c r="D95" s="145">
        <v>0.2</v>
      </c>
      <c r="E95" s="2946" t="s">
        <v>1918</v>
      </c>
      <c r="F95" s="2947"/>
      <c r="G95" s="2947"/>
      <c r="H95" s="2948"/>
      <c r="I95" s="9"/>
      <c r="J95" s="1286"/>
      <c r="K95" s="1286"/>
      <c r="L95" s="1286"/>
      <c r="M95" s="1286"/>
      <c r="N95" s="1286"/>
      <c r="O95" s="1286"/>
      <c r="P95" s="1286"/>
      <c r="Q95" s="1286"/>
      <c r="R95" s="1286"/>
      <c r="S95" s="1286"/>
      <c r="T95" s="1286"/>
      <c r="U95" s="1286"/>
      <c r="V95" s="1286"/>
      <c r="W95" s="1286"/>
      <c r="X95" s="1286"/>
      <c r="Y95" s="1286"/>
      <c r="Z95" s="1286"/>
      <c r="AA95" s="2271"/>
      <c r="AB95" s="2271"/>
      <c r="AC95" s="2271"/>
      <c r="AD95" s="2271"/>
      <c r="AE95" s="2271"/>
      <c r="AF95" s="2271"/>
      <c r="AG95" s="2271"/>
      <c r="AH95" s="2271"/>
      <c r="AI95" s="2271"/>
    </row>
    <row r="96" spans="1:35" s="2270" customFormat="1" ht="14.25">
      <c r="A96" s="146" t="s">
        <v>42</v>
      </c>
      <c r="B96" s="121" t="s">
        <v>1902</v>
      </c>
      <c r="C96" s="124">
        <f>ROUND(C86-C87,0)</f>
        <v>0</v>
      </c>
      <c r="D96" s="117" t="s">
        <v>41</v>
      </c>
      <c r="E96" s="1878"/>
      <c r="F96" s="1879"/>
      <c r="G96" s="1879"/>
      <c r="H96" s="155"/>
      <c r="I96" s="9"/>
      <c r="J96" s="1286"/>
      <c r="K96" s="1286"/>
      <c r="L96" s="1286"/>
      <c r="M96" s="1286"/>
      <c r="N96" s="1286"/>
      <c r="O96" s="1286"/>
      <c r="P96" s="1286"/>
      <c r="Q96" s="1286"/>
      <c r="R96" s="1286"/>
      <c r="S96" s="1286"/>
      <c r="T96" s="1286"/>
      <c r="U96" s="1286"/>
      <c r="V96" s="1286"/>
      <c r="W96" s="1286"/>
      <c r="X96" s="1286"/>
      <c r="Y96" s="1286"/>
      <c r="Z96" s="1286"/>
      <c r="AA96" s="2271"/>
      <c r="AB96" s="2271"/>
      <c r="AC96" s="2271"/>
      <c r="AD96" s="2271"/>
      <c r="AE96" s="2271"/>
      <c r="AF96" s="2271"/>
      <c r="AG96" s="2271"/>
      <c r="AH96" s="2271"/>
      <c r="AI96" s="2271"/>
    </row>
    <row r="97" spans="1:35" s="2270" customFormat="1" ht="14.25">
      <c r="A97" s="146" t="s">
        <v>43</v>
      </c>
      <c r="B97" s="121" t="s">
        <v>1903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6"/>
      <c r="K97" s="1286"/>
      <c r="L97" s="1286"/>
      <c r="M97" s="1286"/>
      <c r="N97" s="1286"/>
      <c r="O97" s="1286"/>
      <c r="P97" s="1286"/>
      <c r="Q97" s="1286"/>
      <c r="R97" s="1286"/>
      <c r="S97" s="1286"/>
      <c r="T97" s="1286"/>
      <c r="U97" s="1286"/>
      <c r="V97" s="1286"/>
      <c r="W97" s="1286"/>
      <c r="X97" s="1286"/>
      <c r="Y97" s="1286"/>
      <c r="Z97" s="1286"/>
      <c r="AA97" s="2271"/>
      <c r="AB97" s="2271"/>
      <c r="AC97" s="2271"/>
      <c r="AD97" s="2271"/>
      <c r="AE97" s="2271"/>
      <c r="AF97" s="2271"/>
      <c r="AG97" s="2271"/>
      <c r="AH97" s="2271"/>
      <c r="AI97" s="2271"/>
    </row>
    <row r="98" spans="1:35" s="2270" customFormat="1" ht="15" thickBot="1">
      <c r="A98" s="148" t="s">
        <v>44</v>
      </c>
      <c r="B98" s="126" t="s">
        <v>1904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1"/>
      <c r="AB98" s="2271"/>
      <c r="AC98" s="2271"/>
      <c r="AD98" s="2271"/>
      <c r="AE98" s="2271"/>
      <c r="AF98" s="2271"/>
      <c r="AG98" s="2271"/>
      <c r="AH98" s="2271"/>
      <c r="AI98" s="2271"/>
    </row>
    <row r="99" spans="1:35" ht="21.75" customHeight="1" thickBot="1">
      <c r="A99" s="2240" t="s">
        <v>1919</v>
      </c>
      <c r="B99" s="2184"/>
      <c r="C99" s="2184"/>
      <c r="D99" s="2184"/>
      <c r="E99" s="1022"/>
      <c r="F99" s="1022"/>
      <c r="G99" s="1022"/>
      <c r="H99" s="2237"/>
      <c r="I99" s="2184"/>
    </row>
    <row r="100" spans="1:35" ht="15.75">
      <c r="A100" s="3001" t="s">
        <v>1920</v>
      </c>
      <c r="B100" s="3002"/>
      <c r="C100" s="3002"/>
      <c r="D100" s="3003"/>
      <c r="E100" s="2184"/>
      <c r="F100" s="3012" t="s">
        <v>1921</v>
      </c>
      <c r="G100" s="3013"/>
      <c r="H100" s="3013"/>
      <c r="I100" s="3014"/>
    </row>
    <row r="101" spans="1:35" ht="15.75">
      <c r="A101" s="3015" t="s">
        <v>1922</v>
      </c>
      <c r="B101" s="3016"/>
      <c r="C101" s="720">
        <f>C4</f>
        <v>0</v>
      </c>
      <c r="D101" s="721">
        <f>D4</f>
        <v>0</v>
      </c>
      <c r="E101" s="2184"/>
      <c r="F101" s="2911" t="s">
        <v>1923</v>
      </c>
      <c r="G101" s="2912"/>
      <c r="H101" s="3037" t="s">
        <v>1924</v>
      </c>
      <c r="I101" s="2910"/>
    </row>
    <row r="102" spans="1:35" ht="15.75">
      <c r="A102" s="3038" t="s">
        <v>1984</v>
      </c>
      <c r="B102" s="2279" t="str">
        <f>IF(H19="元","总价（元）","总价（万元）")</f>
        <v>总价（元）</v>
      </c>
      <c r="C102" s="720" t="e">
        <f ca="1">C19</f>
        <v>#REF!</v>
      </c>
      <c r="D102" s="721" t="e">
        <f ca="1">D19</f>
        <v>#REF!</v>
      </c>
      <c r="E102" s="2184"/>
      <c r="F102" s="3039"/>
      <c r="G102" s="3040"/>
      <c r="H102" s="2909">
        <f>典型户型修正!B25</f>
        <v>0</v>
      </c>
      <c r="I102" s="2910"/>
    </row>
    <row r="103" spans="1:35" ht="15.75">
      <c r="A103" s="3038"/>
      <c r="B103" s="2279" t="s">
        <v>1926</v>
      </c>
      <c r="C103" s="722" t="e">
        <f ca="1">C20</f>
        <v>#REF!</v>
      </c>
      <c r="D103" s="723" t="e">
        <f ca="1">D20</f>
        <v>#REF!</v>
      </c>
      <c r="E103" s="2184"/>
      <c r="F103" s="2938" t="s">
        <v>1927</v>
      </c>
      <c r="G103" s="2939"/>
      <c r="H103" s="2280" t="str">
        <f>C109</f>
        <v>总价（元）</v>
      </c>
      <c r="I103" s="1852">
        <f>H124</f>
        <v>0</v>
      </c>
    </row>
    <row r="104" spans="1:35" ht="15">
      <c r="A104" s="3038" t="s">
        <v>1985</v>
      </c>
      <c r="B104" s="2281" t="str">
        <f>B102</f>
        <v>总价（元）</v>
      </c>
      <c r="C104" s="1190" t="e">
        <f ca="1">ROUND(IF('数据-取费表'!B4="总价",G19,IF(H19="元",G20*'数据-取费表'!E5,G20*'数据-取费表'!E5/10000)),0)</f>
        <v>#REF!</v>
      </c>
      <c r="D104" s="725"/>
      <c r="E104" s="2184"/>
      <c r="F104" s="2938"/>
      <c r="G104" s="2939"/>
      <c r="H104" s="2280" t="s">
        <v>1926</v>
      </c>
      <c r="I104" s="1050" t="e">
        <f>I124</f>
        <v>#DIV/0!</v>
      </c>
    </row>
    <row r="105" spans="1:35" ht="15.75">
      <c r="A105" s="3038"/>
      <c r="B105" s="2279" t="s">
        <v>1926</v>
      </c>
      <c r="C105" s="1191" t="e">
        <f ca="1">ROUND(IF('数据-取费表'!B4="楼面单价",G20,IF(H19="元",G19/'数据-取费表'!E5,G19*10000/'数据-取费表'!E5)),0)</f>
        <v>#REF!</v>
      </c>
      <c r="D105" s="725"/>
      <c r="E105" s="2184"/>
      <c r="F105" s="3010"/>
      <c r="G105" s="3011"/>
      <c r="H105" s="2995"/>
      <c r="I105" s="2996"/>
    </row>
    <row r="106" spans="1:35" ht="15.75">
      <c r="A106" s="3031" t="s">
        <v>1986</v>
      </c>
      <c r="B106" s="2319" t="str">
        <f>B102</f>
        <v>总价（元）</v>
      </c>
      <c r="C106" s="724">
        <f>H124</f>
        <v>0</v>
      </c>
      <c r="D106" s="1189"/>
      <c r="E106" s="2184"/>
      <c r="F106" s="2999" t="s">
        <v>1930</v>
      </c>
      <c r="G106" s="3000"/>
      <c r="H106" s="2283" t="str">
        <f>C111</f>
        <v>总额（元）</v>
      </c>
      <c r="I106" s="1852">
        <f>SUMIF(I107:I109,"&lt;9E307")</f>
        <v>0</v>
      </c>
    </row>
    <row r="107" spans="1:35" ht="15.75" thickBot="1">
      <c r="A107" s="2994"/>
      <c r="B107" s="2282" t="s">
        <v>1926</v>
      </c>
      <c r="C107" s="726" t="e">
        <f>I124</f>
        <v>#DIV/0!</v>
      </c>
      <c r="D107" s="727"/>
      <c r="E107" s="2184"/>
      <c r="F107" s="2927" t="s">
        <v>1932</v>
      </c>
      <c r="G107" s="2928"/>
      <c r="H107" s="2283" t="str">
        <f>C112</f>
        <v>总额（元）</v>
      </c>
      <c r="I107" s="1050">
        <f>IF(D37="同一抵押权人同一抵押物续贷",C37&amp;"（未扣减，详见特别提示）",C37)</f>
        <v>0</v>
      </c>
      <c r="K107" s="2194" t="str">
        <f>IF(D126=0,"本次评估不存在"&amp;A126,"本次评估"&amp;A126&amp;"为"&amp;D126&amp;"元人民币。")</f>
        <v>本次评估不存在——</v>
      </c>
    </row>
    <row r="108" spans="1:35" ht="15">
      <c r="A108" s="3034" t="s">
        <v>1929</v>
      </c>
      <c r="B108" s="3035"/>
      <c r="C108" s="3035"/>
      <c r="D108" s="3036"/>
      <c r="E108" s="2184"/>
      <c r="F108" s="2927" t="s">
        <v>1933</v>
      </c>
      <c r="G108" s="2928"/>
      <c r="H108" s="2283" t="str">
        <f>C113</f>
        <v>总额（元）</v>
      </c>
      <c r="I108" s="1050">
        <f>C38</f>
        <v>0</v>
      </c>
      <c r="K108" s="2284"/>
    </row>
    <row r="109" spans="1:35" ht="15">
      <c r="A109" s="2925" t="s">
        <v>1987</v>
      </c>
      <c r="B109" s="2926"/>
      <c r="C109" s="2280" t="str">
        <f>B102</f>
        <v>总价（元）</v>
      </c>
      <c r="D109" s="1051">
        <f>H124</f>
        <v>0</v>
      </c>
      <c r="E109" s="2184"/>
      <c r="F109" s="2927" t="s">
        <v>1935</v>
      </c>
      <c r="G109" s="2928"/>
      <c r="H109" s="2283" t="str">
        <f>C114</f>
        <v>总额（元）</v>
      </c>
      <c r="I109" s="1050">
        <f>C39</f>
        <v>0</v>
      </c>
    </row>
    <row r="110" spans="1:35" ht="15.75">
      <c r="A110" s="2925"/>
      <c r="B110" s="2926"/>
      <c r="C110" s="2280" t="s">
        <v>1926</v>
      </c>
      <c r="D110" s="1052" t="e">
        <f>I124</f>
        <v>#DIV/0!</v>
      </c>
      <c r="E110" s="2184"/>
      <c r="F110" s="3010"/>
      <c r="G110" s="3011"/>
      <c r="H110" s="2997"/>
      <c r="I110" s="2998"/>
    </row>
    <row r="111" spans="1:35" ht="28.5" customHeight="1">
      <c r="A111" s="2932" t="s">
        <v>1934</v>
      </c>
      <c r="B111" s="2933"/>
      <c r="C111" s="2283" t="str">
        <f>IF(H19="元","总额（元）","总额（万元）")</f>
        <v>总额（元）</v>
      </c>
      <c r="D111" s="1051">
        <f>IF(D37="正常操作",I107+I108+I109,I108+I109)</f>
        <v>0</v>
      </c>
      <c r="E111" s="2184"/>
      <c r="F111" s="2913" t="str">
        <f>IF(项目基本情况!F5="已注销","——","3.房地产抵押价值")</f>
        <v>3.房地产抵押价值</v>
      </c>
      <c r="G111" s="2914"/>
      <c r="H111" s="2320" t="str">
        <f>C115</f>
        <v>总价（元）</v>
      </c>
      <c r="I111" s="1852">
        <f>IF(F111="——","——",I103-I106)</f>
        <v>0</v>
      </c>
    </row>
    <row r="112" spans="1:35" ht="15">
      <c r="A112" s="2927" t="s">
        <v>1932</v>
      </c>
      <c r="B112" s="2928"/>
      <c r="C112" s="2283" t="str">
        <f>C111</f>
        <v>总额（元）</v>
      </c>
      <c r="D112" s="637">
        <f>IF(D37="同一抵押权人同一抵押物续贷",C37&amp;"（未扣减，详见特别提示）",C37)</f>
        <v>0</v>
      </c>
      <c r="E112" s="2184"/>
      <c r="F112" s="3029"/>
      <c r="G112" s="3030"/>
      <c r="H112" s="2280" t="s">
        <v>1926</v>
      </c>
      <c r="I112" s="2286" t="e">
        <f>D116</f>
        <v>#DIV/0!</v>
      </c>
    </row>
    <row r="113" spans="1:26" ht="15.75">
      <c r="A113" s="2927" t="s">
        <v>1933</v>
      </c>
      <c r="B113" s="2928"/>
      <c r="C113" s="2283" t="str">
        <f>C111</f>
        <v>总额（元）</v>
      </c>
      <c r="D113" s="637">
        <f>C38</f>
        <v>0</v>
      </c>
      <c r="E113" s="2184"/>
      <c r="F113" s="2913" t="str">
        <f>IF(项目基本情况!F5="已注销及未注销","4.抵押担保权已注销时的房地产抵押价值",IF(项目基本情况!F5="已注销","3.抵押担保权已注销时的房地产抵押价值","——"))</f>
        <v>——</v>
      </c>
      <c r="G113" s="2914"/>
      <c r="H113" s="2320" t="str">
        <f>C117</f>
        <v>总价（元）</v>
      </c>
      <c r="I113" s="1852" t="str">
        <f>IF(F113="——","——",I103-I108-I109)</f>
        <v>——</v>
      </c>
    </row>
    <row r="114" spans="1:26" ht="15">
      <c r="A114" s="2927" t="s">
        <v>1935</v>
      </c>
      <c r="B114" s="2928"/>
      <c r="C114" s="2283" t="str">
        <f>C111</f>
        <v>总额（元）</v>
      </c>
      <c r="D114" s="637">
        <f>C39</f>
        <v>0</v>
      </c>
      <c r="E114" s="2184"/>
      <c r="F114" s="3029"/>
      <c r="G114" s="3030"/>
      <c r="H114" s="2280" t="s">
        <v>1926</v>
      </c>
      <c r="I114" s="1050" t="str">
        <f>D118</f>
        <v>——</v>
      </c>
    </row>
    <row r="115" spans="1:26" ht="15.75">
      <c r="A115" s="2925" t="str">
        <f>IF(项目基本情况!F5="已注销","——","3.房地产抵押价值")</f>
        <v>3.房地产抵押价值</v>
      </c>
      <c r="B115" s="2926"/>
      <c r="C115" s="2280" t="str">
        <f>B102</f>
        <v>总价（元）</v>
      </c>
      <c r="D115" s="1051">
        <f>IF(A115="——","——",D109-D111)</f>
        <v>0</v>
      </c>
      <c r="E115" s="2184"/>
      <c r="F115" s="2913" t="str">
        <f>IF(项目基本情况!G5="抵押净值",IF(OR(项目基本情况!F5="已注销",项目基本情况!F5="房地产抵押价值"),"4.抵押净值","5.抵押净值"),"——")</f>
        <v>——</v>
      </c>
      <c r="G115" s="2914"/>
      <c r="H115" s="2280" t="str">
        <f>C119</f>
        <v>总价（元）</v>
      </c>
      <c r="I115" s="1852" t="str">
        <f>IF(F115="——","——",N60)</f>
        <v>——</v>
      </c>
    </row>
    <row r="116" spans="1:26" ht="15.75" thickBot="1">
      <c r="A116" s="2925"/>
      <c r="B116" s="2926"/>
      <c r="C116" s="2280" t="s">
        <v>1988</v>
      </c>
      <c r="D116" s="1052" t="e">
        <f>ROUND(IF(D115=D109,D110,IF(H19="元",D115/B124,D115*10000/B124)),0)</f>
        <v>#DIV/0!</v>
      </c>
      <c r="E116" s="2184"/>
      <c r="F116" s="2915"/>
      <c r="G116" s="2916"/>
      <c r="H116" s="2288" t="s">
        <v>1988</v>
      </c>
      <c r="I116" s="1854" t="str">
        <f>D120</f>
        <v>——</v>
      </c>
    </row>
    <row r="117" spans="1:26" ht="15.75">
      <c r="A117" s="2925" t="str">
        <f>IF(项目基本情况!F5="已注销及未注销","4.抵押担保权已注销时的房地产抵押价值",IF(项目基本情况!F5="已注销","3.抵押担保权已注销时的房地产抵押价值","——"))</f>
        <v>——</v>
      </c>
      <c r="B117" s="2926"/>
      <c r="C117" s="2280" t="str">
        <f>B102</f>
        <v>总价（元）</v>
      </c>
      <c r="D117" s="1051" t="str">
        <f>IF(A117="——","——",D109-D113-D114)</f>
        <v>——</v>
      </c>
      <c r="E117" s="2184"/>
      <c r="F117" s="3025"/>
      <c r="G117" s="3025"/>
      <c r="H117" s="2981"/>
      <c r="I117" s="2981"/>
      <c r="N117" s="55"/>
      <c r="O117" s="55"/>
    </row>
    <row r="118" spans="1:26" s="1835" customFormat="1" ht="15">
      <c r="A118" s="2925"/>
      <c r="B118" s="2926"/>
      <c r="C118" s="2280" t="s">
        <v>1988</v>
      </c>
      <c r="D118" s="1052" t="str">
        <f>IF(A117="——","——",IF(H19="元",ROUND(D117/B124,0),ROUND(D117*10000/B124,0)))</f>
        <v>——</v>
      </c>
      <c r="E118" s="2184"/>
      <c r="F118" s="3033" t="str">
        <f>IF(B32="总价","（以上估价结果中楼面单价为总价除以建筑面积得出）","（以上估价结果中总价为楼面单价乘以建筑面积得出）")</f>
        <v>（以上估价结果中总价为楼面单价乘以建筑面积得出）</v>
      </c>
      <c r="G118" s="3033"/>
      <c r="H118" s="3033"/>
      <c r="I118" s="3033"/>
      <c r="J118" s="798"/>
      <c r="K118" s="798"/>
      <c r="L118" s="798"/>
      <c r="M118" s="798"/>
      <c r="N118" s="55"/>
      <c r="O118" s="55"/>
      <c r="P118" s="798"/>
      <c r="Q118" s="798"/>
      <c r="R118" s="798"/>
      <c r="S118" s="798"/>
      <c r="T118" s="798"/>
      <c r="U118" s="798"/>
      <c r="V118" s="798"/>
      <c r="W118" s="798"/>
      <c r="X118" s="798"/>
      <c r="Y118" s="798"/>
      <c r="Z118" s="798"/>
    </row>
    <row r="119" spans="1:26" s="1835" customFormat="1" ht="15">
      <c r="A119" s="2925" t="str">
        <f>IF(项目基本情况!G5="抵押净值",IF(OR(项目基本情况!F5="已注销",项目基本情况!F5="房地产抵押价值"),"4.抵押净值","5.抵押净值"),"——")</f>
        <v>——</v>
      </c>
      <c r="B119" s="2926"/>
      <c r="C119" s="2280" t="str">
        <f>B102</f>
        <v>总价（元）</v>
      </c>
      <c r="D119" s="1051" t="str">
        <f>IF(A119="——","——",N60)</f>
        <v>——</v>
      </c>
      <c r="E119" s="2184"/>
      <c r="F119" s="2321"/>
      <c r="G119" s="2321"/>
      <c r="H119" s="2321"/>
      <c r="I119" s="2321"/>
      <c r="J119" s="798"/>
      <c r="K119" s="798"/>
      <c r="L119" s="798"/>
      <c r="M119" s="798"/>
      <c r="N119" s="55"/>
      <c r="O119" s="55"/>
      <c r="P119" s="798"/>
      <c r="Q119" s="798"/>
      <c r="R119" s="798"/>
      <c r="S119" s="798"/>
      <c r="T119" s="798"/>
      <c r="U119" s="798"/>
      <c r="V119" s="798"/>
      <c r="W119" s="798"/>
      <c r="X119" s="798"/>
      <c r="Y119" s="798"/>
      <c r="Z119" s="798"/>
    </row>
    <row r="120" spans="1:26" s="1835" customFormat="1" ht="15.75" thickBot="1">
      <c r="A120" s="2930"/>
      <c r="B120" s="2931"/>
      <c r="C120" s="2288" t="s">
        <v>1988</v>
      </c>
      <c r="D120" s="1053" t="str">
        <f>IF(D119=D109,D110,IF(A119="——","——",N62))</f>
        <v>——</v>
      </c>
      <c r="E120" s="2184"/>
      <c r="F120" s="2321"/>
      <c r="G120" s="2321"/>
      <c r="H120" s="2321"/>
      <c r="I120" s="2321"/>
      <c r="J120" s="798"/>
      <c r="K120" s="798"/>
      <c r="L120" s="798"/>
      <c r="M120" s="798"/>
      <c r="N120" s="55"/>
      <c r="O120" s="55"/>
      <c r="P120" s="798"/>
      <c r="Q120" s="798"/>
      <c r="R120" s="798"/>
      <c r="S120" s="798"/>
      <c r="T120" s="798"/>
      <c r="U120" s="798"/>
      <c r="V120" s="798"/>
      <c r="W120" s="798"/>
      <c r="X120" s="798"/>
      <c r="Y120" s="798"/>
      <c r="Z120" s="798"/>
    </row>
    <row r="121" spans="1:26" s="1835" customFormat="1" ht="15">
      <c r="A121" s="2982" t="s">
        <v>1989</v>
      </c>
      <c r="B121" s="2983"/>
      <c r="C121" s="2983"/>
      <c r="D121" s="2983"/>
      <c r="E121" s="2983"/>
      <c r="F121" s="2983"/>
      <c r="G121" s="2983"/>
      <c r="H121" s="2983"/>
      <c r="I121" s="2983"/>
      <c r="J121" s="798"/>
      <c r="K121" s="798"/>
      <c r="L121" s="798"/>
      <c r="M121" s="798"/>
      <c r="N121" s="798"/>
      <c r="O121" s="798"/>
      <c r="P121" s="798"/>
      <c r="Q121" s="798"/>
      <c r="R121" s="798"/>
      <c r="S121" s="798"/>
      <c r="T121" s="798"/>
      <c r="U121" s="798"/>
      <c r="V121" s="798"/>
      <c r="W121" s="798"/>
      <c r="X121" s="798"/>
      <c r="Y121" s="798"/>
      <c r="Z121" s="798"/>
    </row>
    <row r="122" spans="1:26" s="1835" customFormat="1" ht="14.25">
      <c r="A122" s="2906" t="s">
        <v>1937</v>
      </c>
      <c r="B122" s="2936" t="s">
        <v>1990</v>
      </c>
      <c r="C122" s="2936" t="s">
        <v>1991</v>
      </c>
      <c r="D122" s="3008" t="s">
        <v>1940</v>
      </c>
      <c r="E122" s="3009"/>
      <c r="F122" s="2907" t="s">
        <v>1992</v>
      </c>
      <c r="G122" s="2907"/>
      <c r="H122" s="2907" t="s">
        <v>1941</v>
      </c>
      <c r="I122" s="3007"/>
      <c r="J122" s="798"/>
      <c r="K122" s="798"/>
      <c r="L122" s="798"/>
      <c r="M122" s="798"/>
      <c r="N122" s="798"/>
      <c r="O122" s="798"/>
      <c r="P122" s="798"/>
      <c r="Q122" s="798"/>
      <c r="R122" s="798"/>
      <c r="S122" s="798"/>
      <c r="T122" s="798"/>
      <c r="U122" s="798"/>
      <c r="V122" s="798"/>
      <c r="W122" s="798"/>
      <c r="X122" s="798"/>
      <c r="Y122" s="798"/>
      <c r="Z122" s="798"/>
    </row>
    <row r="123" spans="1:26" s="1835" customFormat="1" ht="14.25">
      <c r="A123" s="2906"/>
      <c r="B123" s="2937"/>
      <c r="C123" s="2937"/>
      <c r="D123" s="1877" t="s">
        <v>1942</v>
      </c>
      <c r="E123" s="1877" t="s">
        <v>1943</v>
      </c>
      <c r="F123" s="1877" t="s">
        <v>1942</v>
      </c>
      <c r="G123" s="1877" t="s">
        <v>1944</v>
      </c>
      <c r="H123" s="1877" t="s">
        <v>1942</v>
      </c>
      <c r="I123" s="637" t="s">
        <v>1944</v>
      </c>
      <c r="J123" s="798"/>
      <c r="K123" s="798"/>
      <c r="L123" s="798"/>
      <c r="M123" s="798"/>
      <c r="N123" s="798"/>
      <c r="O123" s="798"/>
      <c r="P123" s="798"/>
      <c r="Q123" s="798"/>
      <c r="R123" s="798"/>
      <c r="S123" s="798"/>
      <c r="T123" s="798"/>
      <c r="U123" s="798"/>
      <c r="V123" s="798"/>
      <c r="W123" s="798"/>
      <c r="X123" s="798"/>
      <c r="Y123" s="798"/>
      <c r="Z123" s="798"/>
    </row>
    <row r="124" spans="1:26" s="1835" customFormat="1" ht="14.25">
      <c r="A124" s="2170" t="str">
        <f>项目基本情况!I1</f>
        <v>北京市房地产</v>
      </c>
      <c r="B124" s="1877">
        <f>典型户型修正!B25</f>
        <v>0</v>
      </c>
      <c r="C124" s="400"/>
      <c r="D124" s="1877">
        <f>C35</f>
        <v>0</v>
      </c>
      <c r="E124" s="1877" t="e">
        <f>ROUND(IF(H19="元",D124/B124,D124*10000/B124),0)</f>
        <v>#DIV/0!</v>
      </c>
      <c r="F124" s="1877">
        <f>C36</f>
        <v>0</v>
      </c>
      <c r="G124" s="1877" t="e">
        <f>ROUND(IF(H19="元",F124/B124,F124*10000/B124),0)</f>
        <v>#DIV/0!</v>
      </c>
      <c r="H124" s="187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5" customFormat="1" ht="14.25">
      <c r="A125" s="2906" t="s">
        <v>1945</v>
      </c>
      <c r="B125" s="2907"/>
      <c r="C125" s="2907"/>
      <c r="D125" s="2940" t="str">
        <f>IF(H19="元",NUMBERSTRING(INT(D124),2)&amp;"元整",NUMBERSTRING(INT(D124*10000),2)&amp;"元整")</f>
        <v>零元整</v>
      </c>
      <c r="E125" s="2987"/>
      <c r="F125" s="2940" t="str">
        <f>IF(H19="元",NUMBERSTRING(INT(F124),2)&amp;"元整",NUMBERSTRING(INT(F124*10000),2)&amp;"元整")</f>
        <v>零元整</v>
      </c>
      <c r="G125" s="2987"/>
      <c r="H125" s="2940" t="str">
        <f>IF(H19="元",NUMBERSTRING(INT(H124),2)&amp;"元整",NUMBERSTRING(INT(H124*10000),2)&amp;"元整")</f>
        <v>零元整</v>
      </c>
      <c r="I125" s="2941"/>
      <c r="J125" s="798"/>
      <c r="K125" s="798"/>
      <c r="L125" s="798"/>
      <c r="M125" s="798"/>
      <c r="N125" s="798"/>
      <c r="O125" s="798"/>
      <c r="P125" s="798"/>
      <c r="Q125" s="798"/>
      <c r="R125" s="798"/>
      <c r="S125" s="798"/>
      <c r="T125" s="798"/>
      <c r="U125" s="798"/>
      <c r="V125" s="798"/>
      <c r="W125" s="798"/>
      <c r="X125" s="798"/>
      <c r="Y125" s="798"/>
      <c r="Z125" s="798"/>
    </row>
    <row r="126" spans="1:26" s="1835" customFormat="1" ht="15">
      <c r="A126" s="2988" t="str">
        <f>IF(项目基本情况!D5="房地产市场价值","——",MID(A111,3,LEN(A111)-2))</f>
        <v>——</v>
      </c>
      <c r="B126" s="2918"/>
      <c r="C126" s="2989"/>
      <c r="D126" s="2917">
        <f>I106</f>
        <v>0</v>
      </c>
      <c r="E126" s="2918"/>
      <c r="F126" s="2918"/>
      <c r="G126" s="2918"/>
      <c r="H126" s="2918"/>
      <c r="I126" s="2919"/>
      <c r="J126" s="798"/>
      <c r="K126" s="798"/>
      <c r="L126" s="798"/>
      <c r="M126" s="798"/>
      <c r="N126" s="798"/>
      <c r="O126" s="798"/>
      <c r="P126" s="798"/>
      <c r="Q126" s="798"/>
      <c r="R126" s="798"/>
      <c r="S126" s="798"/>
      <c r="T126" s="798"/>
      <c r="U126" s="798"/>
      <c r="V126" s="798"/>
      <c r="W126" s="798"/>
      <c r="X126" s="798"/>
      <c r="Y126" s="798"/>
      <c r="Z126" s="798"/>
    </row>
    <row r="127" spans="1:26" s="1835" customFormat="1" ht="14.25">
      <c r="A127" s="2990" t="s">
        <v>1945</v>
      </c>
      <c r="B127" s="2991"/>
      <c r="C127" s="2992"/>
      <c r="D127" s="2920">
        <f>H110</f>
        <v>0</v>
      </c>
      <c r="E127" s="2921"/>
      <c r="F127" s="2921"/>
      <c r="G127" s="2921"/>
      <c r="H127" s="2921"/>
      <c r="I127" s="2922"/>
      <c r="J127" s="798"/>
      <c r="K127" s="798"/>
      <c r="L127" s="798"/>
      <c r="M127" s="798"/>
      <c r="N127" s="798"/>
      <c r="O127" s="798"/>
      <c r="P127" s="798"/>
      <c r="Q127" s="798"/>
      <c r="R127" s="798"/>
      <c r="S127" s="798"/>
      <c r="T127" s="798"/>
      <c r="U127" s="798"/>
      <c r="V127" s="798"/>
      <c r="W127" s="798"/>
      <c r="X127" s="798"/>
      <c r="Y127" s="798"/>
      <c r="Z127" s="798"/>
    </row>
    <row r="128" spans="1:26" s="1835" customFormat="1" ht="15">
      <c r="A128" s="2923" t="str">
        <f>IF(项目基本情况!D5="房地产市场价值","——",MID(A115,3,LEN(A115)-2))</f>
        <v>——</v>
      </c>
      <c r="B128" s="2924"/>
      <c r="C128" s="2924"/>
      <c r="D128" s="2917">
        <f>I111</f>
        <v>0</v>
      </c>
      <c r="E128" s="2918"/>
      <c r="F128" s="2918"/>
      <c r="G128" s="2918"/>
      <c r="H128" s="2918"/>
      <c r="I128" s="2919"/>
      <c r="J128" s="798"/>
      <c r="K128" s="798"/>
      <c r="L128" s="798"/>
      <c r="M128" s="798"/>
      <c r="N128" s="798"/>
      <c r="O128" s="798"/>
      <c r="P128" s="798"/>
      <c r="Q128" s="798"/>
      <c r="R128" s="798"/>
      <c r="S128" s="798"/>
      <c r="T128" s="798"/>
      <c r="U128" s="798"/>
      <c r="V128" s="798"/>
      <c r="W128" s="798"/>
      <c r="X128" s="798"/>
      <c r="Y128" s="798"/>
      <c r="Z128" s="798"/>
    </row>
    <row r="129" spans="1:26" s="1835" customFormat="1" ht="14.25">
      <c r="A129" s="2906" t="s">
        <v>1945</v>
      </c>
      <c r="B129" s="2907"/>
      <c r="C129" s="2907"/>
      <c r="D129" s="2920" t="e">
        <f>I112</f>
        <v>#DIV/0!</v>
      </c>
      <c r="E129" s="2921"/>
      <c r="F129" s="2921"/>
      <c r="G129" s="2921"/>
      <c r="H129" s="2921"/>
      <c r="I129" s="2922"/>
      <c r="J129" s="798"/>
      <c r="K129" s="798"/>
      <c r="L129" s="798"/>
      <c r="M129" s="798"/>
      <c r="N129" s="798"/>
      <c r="O129" s="798"/>
      <c r="P129" s="798"/>
      <c r="Q129" s="798"/>
      <c r="R129" s="798"/>
      <c r="S129" s="798"/>
      <c r="T129" s="798"/>
      <c r="U129" s="798"/>
      <c r="V129" s="798"/>
      <c r="W129" s="798"/>
      <c r="X129" s="798"/>
      <c r="Y129" s="798"/>
      <c r="Z129" s="798"/>
    </row>
    <row r="130" spans="1:26" s="1835" customFormat="1" ht="15.75" thickBot="1">
      <c r="A130" s="2923" t="str">
        <f>IF(项目基本情况!D5="房地产市场价值","——",MID(A117,3,LEN(A117)-2))</f>
        <v>——</v>
      </c>
      <c r="B130" s="2924"/>
      <c r="C130" s="2924"/>
      <c r="D130" s="3022" t="str">
        <f>I113</f>
        <v>——</v>
      </c>
      <c r="E130" s="3023"/>
      <c r="F130" s="3023"/>
      <c r="G130" s="3023"/>
      <c r="H130" s="3023"/>
      <c r="I130" s="3024"/>
      <c r="J130" s="798"/>
      <c r="K130" s="798"/>
      <c r="L130" s="798"/>
      <c r="M130" s="798"/>
      <c r="N130" s="798"/>
      <c r="O130" s="798"/>
      <c r="P130" s="798"/>
      <c r="Q130" s="798"/>
      <c r="R130" s="798"/>
      <c r="S130" s="798"/>
      <c r="T130" s="798"/>
      <c r="U130" s="798"/>
      <c r="V130" s="798"/>
      <c r="W130" s="798"/>
      <c r="X130" s="798"/>
      <c r="Y130" s="798"/>
      <c r="Z130" s="798"/>
    </row>
    <row r="131" spans="1:26" s="1835" customFormat="1" ht="15.75" thickTop="1" thickBot="1">
      <c r="A131" s="2906" t="s">
        <v>1945</v>
      </c>
      <c r="B131" s="2907"/>
      <c r="C131" s="2908"/>
      <c r="D131" s="2980" t="str">
        <f>I114</f>
        <v>——</v>
      </c>
      <c r="E131" s="2980"/>
      <c r="F131" s="2980"/>
      <c r="G131" s="2980"/>
      <c r="H131" s="2980"/>
      <c r="I131" s="2980"/>
      <c r="J131" s="798"/>
      <c r="K131" s="798"/>
      <c r="L131" s="798"/>
      <c r="M131" s="798"/>
      <c r="N131" s="798"/>
      <c r="O131" s="798"/>
      <c r="P131" s="798"/>
      <c r="Q131" s="798"/>
      <c r="R131" s="798"/>
      <c r="S131" s="798"/>
      <c r="T131" s="798"/>
      <c r="U131" s="798"/>
      <c r="V131" s="798"/>
      <c r="W131" s="798"/>
      <c r="X131" s="798"/>
      <c r="Y131" s="798"/>
      <c r="Z131" s="798"/>
    </row>
    <row r="132" spans="1:26" s="1835" customFormat="1" ht="16.5" thickTop="1" thickBot="1">
      <c r="A132" s="2923" t="str">
        <f>IF(项目基本情况!D5="房地产市场价值","——",MID(F115,3,LEN(F115)-2))</f>
        <v>——</v>
      </c>
      <c r="B132" s="2924"/>
      <c r="C132" s="2917"/>
      <c r="D132" s="2929" t="str">
        <f>I115</f>
        <v>——</v>
      </c>
      <c r="E132" s="2929"/>
      <c r="F132" s="2929"/>
      <c r="G132" s="2929"/>
      <c r="H132" s="2929"/>
      <c r="I132" s="2929"/>
      <c r="J132" s="798"/>
      <c r="K132" s="798"/>
      <c r="L132" s="798"/>
      <c r="M132" s="798"/>
      <c r="N132" s="798"/>
      <c r="O132" s="798"/>
      <c r="P132" s="798"/>
      <c r="Q132" s="798"/>
      <c r="R132" s="798"/>
      <c r="S132" s="798"/>
      <c r="T132" s="798"/>
      <c r="U132" s="798"/>
      <c r="V132" s="798"/>
      <c r="W132" s="798"/>
      <c r="X132" s="798"/>
      <c r="Y132" s="798"/>
      <c r="Z132" s="798"/>
    </row>
    <row r="133" spans="1:26" s="1835" customFormat="1" ht="15.75" thickTop="1" thickBot="1">
      <c r="A133" s="2934" t="s">
        <v>1945</v>
      </c>
      <c r="B133" s="2935"/>
      <c r="C133" s="2935"/>
      <c r="D133" s="2942">
        <f>H117</f>
        <v>0</v>
      </c>
      <c r="E133" s="2943"/>
      <c r="F133" s="2943"/>
      <c r="G133" s="2943"/>
      <c r="H133" s="2943"/>
      <c r="I133" s="2944"/>
      <c r="J133" s="798"/>
      <c r="K133" s="798"/>
      <c r="L133" s="798"/>
      <c r="M133" s="798"/>
      <c r="N133" s="798"/>
      <c r="O133" s="798"/>
      <c r="P133" s="798"/>
      <c r="Q133" s="798"/>
      <c r="R133" s="798"/>
      <c r="S133" s="798"/>
      <c r="T133" s="798"/>
      <c r="U133" s="798"/>
      <c r="V133" s="798"/>
      <c r="W133" s="798"/>
      <c r="X133" s="798"/>
      <c r="Y133" s="798"/>
      <c r="Z133" s="798"/>
    </row>
    <row r="134" spans="1:26" s="1835"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8"/>
      <c r="K134" s="798"/>
      <c r="L134" s="798"/>
      <c r="M134" s="798"/>
      <c r="N134" s="798"/>
      <c r="O134" s="798"/>
      <c r="P134" s="798"/>
      <c r="Q134" s="798"/>
      <c r="R134" s="798"/>
      <c r="S134" s="798"/>
      <c r="T134" s="798"/>
      <c r="U134" s="798"/>
      <c r="V134" s="798"/>
      <c r="W134" s="798"/>
      <c r="X134" s="798"/>
      <c r="Y134" s="798"/>
      <c r="Z134" s="798"/>
    </row>
    <row r="135" spans="1:26" s="1835" customFormat="1" ht="13.5" thickBot="1">
      <c r="A135" s="2904" t="str">
        <f>IF(B32="总价","（以上估价结果中楼面单价为总价除以建筑面积得出）","（以上估价结果中总价为楼面单价乘以建筑面积得出）")</f>
        <v>（以上估价结果中总价为楼面单价乘以建筑面积得出）</v>
      </c>
      <c r="B135" s="2904"/>
      <c r="C135" s="2904"/>
      <c r="D135" s="2904"/>
      <c r="E135" s="2904"/>
      <c r="F135" s="2904"/>
      <c r="G135" s="2904"/>
      <c r="H135" s="2904"/>
      <c r="I135" s="2904"/>
      <c r="J135" s="798"/>
      <c r="K135" s="798"/>
      <c r="L135" s="798"/>
      <c r="M135" s="798"/>
      <c r="N135" s="798"/>
      <c r="O135" s="798"/>
      <c r="P135" s="798"/>
      <c r="Q135" s="798"/>
      <c r="R135" s="798"/>
      <c r="S135" s="798"/>
      <c r="T135" s="798"/>
      <c r="U135" s="798"/>
      <c r="V135" s="798"/>
      <c r="W135" s="798"/>
      <c r="X135" s="798"/>
      <c r="Y135" s="798"/>
      <c r="Z135" s="798"/>
    </row>
    <row r="136" spans="1:26" s="1835" customFormat="1" ht="21.75" customHeight="1">
      <c r="A136" s="2289" t="s">
        <v>1946</v>
      </c>
      <c r="B136" s="2290"/>
      <c r="C136" s="2291" t="s">
        <v>1947</v>
      </c>
      <c r="D136" s="2292"/>
      <c r="E136" s="2292"/>
      <c r="F136" s="2292"/>
      <c r="G136" s="2292"/>
      <c r="H136" s="2293"/>
      <c r="I136" s="2294"/>
      <c r="J136" s="798"/>
      <c r="K136" s="798"/>
      <c r="L136" s="798"/>
      <c r="M136" s="798"/>
      <c r="N136" s="798"/>
      <c r="O136" s="798"/>
      <c r="P136" s="798"/>
      <c r="Q136" s="798"/>
      <c r="R136" s="798"/>
      <c r="S136" s="798"/>
      <c r="T136" s="798"/>
      <c r="U136" s="798"/>
      <c r="V136" s="798"/>
      <c r="W136" s="798"/>
      <c r="X136" s="798"/>
      <c r="Y136" s="798"/>
      <c r="Z136" s="798"/>
    </row>
    <row r="137" spans="1:26" s="1835" customFormat="1" ht="21.75" customHeight="1">
      <c r="A137" s="2295">
        <v>1</v>
      </c>
      <c r="B137" s="2296"/>
      <c r="C137" s="2296"/>
      <c r="D137" s="2292"/>
      <c r="E137" s="2292"/>
      <c r="F137" s="2292"/>
      <c r="G137" s="2292"/>
      <c r="H137" s="2293"/>
      <c r="I137" s="2294"/>
      <c r="J137" s="798"/>
      <c r="K137" s="798"/>
      <c r="L137" s="798"/>
      <c r="M137" s="798"/>
      <c r="N137" s="798"/>
      <c r="O137" s="798"/>
      <c r="P137" s="798"/>
      <c r="Q137" s="798"/>
      <c r="R137" s="798"/>
      <c r="S137" s="798"/>
      <c r="T137" s="798"/>
      <c r="U137" s="798"/>
      <c r="V137" s="798"/>
      <c r="W137" s="798"/>
      <c r="X137" s="798"/>
      <c r="Y137" s="798"/>
      <c r="Z137" s="798"/>
    </row>
    <row r="138" spans="1:26" s="1835" customFormat="1" ht="21.75" customHeight="1">
      <c r="A138" s="2295">
        <v>2</v>
      </c>
      <c r="B138" s="2296"/>
      <c r="C138" s="2296"/>
      <c r="D138" s="2292"/>
      <c r="E138" s="2292"/>
      <c r="F138" s="2292"/>
      <c r="G138" s="2292"/>
      <c r="H138" s="2293"/>
      <c r="I138" s="2294"/>
      <c r="J138" s="798"/>
      <c r="K138" s="798"/>
      <c r="L138" s="798"/>
      <c r="M138" s="798"/>
      <c r="N138" s="798"/>
      <c r="O138" s="798"/>
      <c r="P138" s="798"/>
      <c r="Q138" s="798"/>
      <c r="R138" s="798"/>
      <c r="S138" s="798"/>
      <c r="T138" s="798"/>
      <c r="U138" s="798"/>
      <c r="V138" s="798"/>
      <c r="W138" s="798"/>
      <c r="X138" s="798"/>
      <c r="Y138" s="798"/>
      <c r="Z138" s="798"/>
    </row>
    <row r="139" spans="1:26" s="1835" customFormat="1" ht="21.75" customHeight="1">
      <c r="A139" s="2295">
        <v>3</v>
      </c>
      <c r="B139" s="2296"/>
      <c r="C139" s="2296"/>
      <c r="D139" s="2292"/>
      <c r="E139" s="229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5" customFormat="1" ht="21.75" customHeight="1">
      <c r="A140" s="2297"/>
      <c r="B140" s="2298"/>
      <c r="C140" s="2298"/>
      <c r="D140" s="2299"/>
      <c r="E140" s="2299"/>
      <c r="F140" s="2299"/>
      <c r="G140" s="2299"/>
      <c r="H140" s="2300"/>
      <c r="I140" s="2301"/>
      <c r="J140" s="798"/>
      <c r="K140" s="798"/>
      <c r="L140" s="798"/>
      <c r="M140" s="798"/>
      <c r="N140" s="798"/>
      <c r="O140" s="798"/>
      <c r="P140" s="798"/>
      <c r="Q140" s="798"/>
      <c r="R140" s="798"/>
      <c r="S140" s="798"/>
      <c r="T140" s="798"/>
      <c r="U140" s="798"/>
      <c r="V140" s="798"/>
      <c r="W140" s="798"/>
      <c r="X140" s="798"/>
      <c r="Y140" s="798"/>
      <c r="Z140" s="798"/>
    </row>
    <row r="141" spans="1:26" s="1835" customFormat="1" ht="21.75" customHeight="1">
      <c r="A141" s="2296"/>
      <c r="B141" s="2296"/>
      <c r="C141" s="2296"/>
      <c r="D141" s="2292"/>
      <c r="E141" s="2292"/>
      <c r="F141" s="2292"/>
      <c r="G141" s="2292"/>
      <c r="H141" s="2293"/>
      <c r="I141" s="798"/>
      <c r="J141" s="798"/>
      <c r="K141" s="798"/>
      <c r="L141" s="798"/>
      <c r="M141" s="798"/>
      <c r="N141" s="798"/>
      <c r="O141" s="798"/>
      <c r="P141" s="798"/>
      <c r="Q141" s="798"/>
      <c r="R141" s="798"/>
      <c r="S141" s="798"/>
      <c r="T141" s="798"/>
      <c r="U141" s="798"/>
      <c r="V141" s="798"/>
      <c r="W141" s="798"/>
      <c r="X141" s="798"/>
      <c r="Y141" s="798"/>
      <c r="Z141" s="798"/>
    </row>
    <row r="142" spans="1:26" s="1835" customFormat="1" ht="21.75" customHeight="1">
      <c r="A142" s="798"/>
      <c r="B142" s="798"/>
      <c r="C142" s="798"/>
      <c r="D142" s="798"/>
      <c r="E142" s="798"/>
      <c r="F142" s="2302" t="s">
        <v>1948</v>
      </c>
      <c r="G142" s="2303"/>
      <c r="H142" s="2303"/>
      <c r="I142" s="2304" t="s">
        <v>1949</v>
      </c>
      <c r="J142" s="798"/>
      <c r="K142" s="798"/>
      <c r="L142" s="798"/>
      <c r="M142" s="798"/>
      <c r="N142" s="798"/>
      <c r="O142" s="798"/>
      <c r="P142" s="798"/>
      <c r="Q142" s="798"/>
      <c r="R142" s="798"/>
      <c r="S142" s="798"/>
      <c r="T142" s="798"/>
      <c r="U142" s="798"/>
      <c r="V142" s="798"/>
      <c r="W142" s="798"/>
      <c r="X142" s="798"/>
      <c r="Y142" s="798"/>
      <c r="Z142" s="798"/>
    </row>
    <row r="143" spans="1:26" s="1835" customFormat="1" ht="21.75" customHeight="1">
      <c r="A143" s="798"/>
      <c r="B143" s="2305" t="s">
        <v>1950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5" customFormat="1" ht="21.75" customHeight="1">
      <c r="A145" s="798"/>
      <c r="B145" s="2303"/>
      <c r="C145" s="2303"/>
      <c r="D145" s="2303"/>
      <c r="E145" s="2303"/>
      <c r="F145" s="2303"/>
      <c r="G145" s="2303"/>
      <c r="H145" s="2303"/>
      <c r="I145" s="2304" t="s">
        <v>1951</v>
      </c>
      <c r="J145" s="798"/>
      <c r="K145" s="798"/>
      <c r="L145" s="798"/>
      <c r="M145" s="798"/>
      <c r="N145" s="798"/>
      <c r="O145" s="798"/>
      <c r="P145" s="798"/>
      <c r="Q145" s="798"/>
      <c r="R145" s="798"/>
      <c r="S145" s="798"/>
      <c r="T145" s="798"/>
      <c r="U145" s="798"/>
      <c r="V145" s="798"/>
      <c r="W145" s="798"/>
      <c r="X145" s="798"/>
      <c r="Y145" s="798"/>
      <c r="Z145" s="798"/>
    </row>
    <row r="146" spans="1:26" s="1835" customFormat="1" ht="21.75" customHeight="1">
      <c r="A146" s="798"/>
      <c r="B146" s="2305" t="s">
        <v>1952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5" customFormat="1" ht="21.75" customHeight="1">
      <c r="A147" s="798"/>
      <c r="B147" s="230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5" customFormat="1" ht="21.75" customHeight="1">
      <c r="A148" s="798"/>
      <c r="B148" s="2303"/>
      <c r="C148" s="2303"/>
      <c r="D148" s="2303"/>
      <c r="E148" s="2303"/>
      <c r="F148" s="2303"/>
      <c r="G148" s="2303"/>
      <c r="H148" s="2303"/>
      <c r="I148" s="2304" t="s">
        <v>1951</v>
      </c>
      <c r="J148" s="798"/>
      <c r="K148" s="798"/>
      <c r="L148" s="798"/>
      <c r="M148" s="798"/>
      <c r="N148" s="798"/>
      <c r="O148" s="798"/>
      <c r="P148" s="798"/>
      <c r="Q148" s="798"/>
      <c r="R148" s="798"/>
      <c r="S148" s="798"/>
      <c r="T148" s="798"/>
      <c r="U148" s="798"/>
      <c r="V148" s="798"/>
      <c r="W148" s="798"/>
      <c r="X148" s="798"/>
      <c r="Y148" s="798"/>
      <c r="Z148" s="798"/>
    </row>
    <row r="149" spans="1:26" s="1835" customFormat="1" ht="21.75" customHeight="1">
      <c r="A149" s="798"/>
      <c r="B149" s="2305"/>
      <c r="C149" s="2306"/>
      <c r="D149" s="2307"/>
      <c r="E149" s="2307"/>
      <c r="F149" s="230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5"/>
      <c r="C150" s="2306"/>
      <c r="D150" s="2307"/>
      <c r="E150" s="230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5" customFormat="1" ht="21.75" customHeight="1">
      <c r="F519" s="2185"/>
      <c r="G519" s="2185"/>
      <c r="H519" s="2185"/>
      <c r="I519" s="218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G22" sqref="G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1993</v>
      </c>
      <c r="B1" s="1321" t="s">
        <v>3015</v>
      </c>
      <c r="C1" s="162"/>
      <c r="D1" s="162"/>
      <c r="E1" s="162"/>
      <c r="F1" s="162"/>
      <c r="G1" s="163"/>
    </row>
    <row r="2" spans="1:7" s="164" customFormat="1" ht="18" customHeight="1">
      <c r="A2" s="165" t="s">
        <v>1994</v>
      </c>
      <c r="B2" s="166">
        <f ca="1">IF(D2="——",IF(C2="元",C52,ROUND(C52/10000,0)),IF(C2="元",C52,ROUND(C52/10000,0))-E2)</f>
        <v>4926658</v>
      </c>
      <c r="C2" s="163" t="str">
        <f>'数据-取费表'!B3</f>
        <v>元</v>
      </c>
      <c r="D2" s="2322" t="s">
        <v>1241</v>
      </c>
      <c r="E2" s="1546" t="e">
        <f ca="1">SUMIF(INDIRECT("'"&amp;G2&amp;"'"&amp;"!A:A"),"承租人权益价值",INDIRECT("'"&amp;G2&amp;"'"&amp;"!c:c"))</f>
        <v>#REF!</v>
      </c>
      <c r="F2" s="2323" t="str">
        <f>C2</f>
        <v>元</v>
      </c>
      <c r="G2" s="1896"/>
    </row>
    <row r="3" spans="1:7" s="164" customFormat="1" ht="18" customHeight="1" thickBot="1">
      <c r="A3" s="167" t="s">
        <v>1995</v>
      </c>
      <c r="B3" s="168">
        <f ca="1">ROUND(C52/IF(B1="仅计算典型户型",'数据-取费表'!E5,'数据-取费表'!B5),0)</f>
        <v>44788</v>
      </c>
      <c r="C3" s="163" t="s">
        <v>1996</v>
      </c>
      <c r="D3" s="163"/>
      <c r="E3" s="163"/>
      <c r="F3" s="163"/>
      <c r="G3" s="163"/>
    </row>
    <row r="4" spans="1:7" s="172" customFormat="1" ht="15.75">
      <c r="A4" s="169" t="s">
        <v>1997</v>
      </c>
      <c r="B4" s="170"/>
      <c r="C4" s="170"/>
      <c r="D4" s="170"/>
      <c r="E4" s="170"/>
      <c r="F4" s="170"/>
      <c r="G4" s="171"/>
    </row>
    <row r="5" spans="1:7" s="175" customFormat="1" ht="13.5" customHeight="1">
      <c r="A5" s="204" t="s">
        <v>1998</v>
      </c>
      <c r="B5" s="173" t="s">
        <v>1999</v>
      </c>
      <c r="C5" s="195">
        <f ca="1">C6+C7+C8</f>
        <v>3878101</v>
      </c>
      <c r="D5" s="195" t="s">
        <v>2000</v>
      </c>
      <c r="E5" s="1532" t="s">
        <v>2001</v>
      </c>
      <c r="F5" s="1532" t="s">
        <v>2002</v>
      </c>
      <c r="G5" s="174"/>
    </row>
    <row r="6" spans="1:7" s="175" customFormat="1" ht="13.5" customHeight="1">
      <c r="A6" s="176" t="s">
        <v>2003</v>
      </c>
      <c r="B6" s="177" t="s">
        <v>2004</v>
      </c>
      <c r="C6" s="1531">
        <f ca="1">基准地价修正!E29-基准地价修正!E30</f>
        <v>3763320</v>
      </c>
      <c r="D6" s="1533"/>
      <c r="E6" s="1534"/>
      <c r="F6" s="1534"/>
      <c r="G6" s="179"/>
    </row>
    <row r="7" spans="1:7" s="175" customFormat="1" ht="13.5" customHeight="1">
      <c r="A7" s="176" t="s">
        <v>2005</v>
      </c>
      <c r="B7" s="177" t="s">
        <v>2006</v>
      </c>
      <c r="C7" s="199">
        <f ca="1">ROUND(C6*F7,0)</f>
        <v>114781</v>
      </c>
      <c r="D7" s="199"/>
      <c r="E7" s="1534"/>
      <c r="F7" s="1535">
        <f>'数据-取费表'!E36+'数据-取费表'!E37</f>
        <v>3.0499999999999999E-2</v>
      </c>
      <c r="G7" s="179"/>
    </row>
    <row r="8" spans="1:7" s="180" customFormat="1">
      <c r="A8" s="176" t="s">
        <v>2007</v>
      </c>
      <c r="B8" s="177" t="s">
        <v>2008</v>
      </c>
      <c r="C8" s="199" t="str">
        <f>IF(G8="已包含在土地购买价格中","0",'数据-取费表'!E13)</f>
        <v>0</v>
      </c>
      <c r="D8" s="1536"/>
      <c r="E8" s="199"/>
      <c r="F8" s="1535"/>
      <c r="G8" s="2324" t="s">
        <v>3034</v>
      </c>
    </row>
    <row r="9" spans="1:7" s="175" customFormat="1" ht="13.5" customHeight="1">
      <c r="A9" s="1304" t="s">
        <v>954</v>
      </c>
      <c r="B9" s="181" t="s">
        <v>2009</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955</v>
      </c>
      <c r="B10" s="181" t="s">
        <v>2010</v>
      </c>
      <c r="C10" s="1537">
        <f>ROUND(D10*E10,0)</f>
        <v>22000</v>
      </c>
      <c r="D10" s="1538">
        <f>IF('数据-取费表'!B10&lt;&gt;"住宅",IF(B1="仅计算典型户型",'数据-取费表'!E5,'数据-取费表'!B5),0)</f>
        <v>110</v>
      </c>
      <c r="E10" s="1537">
        <f>'数据-取费表'!E12</f>
        <v>200</v>
      </c>
      <c r="F10" s="1535"/>
      <c r="G10" s="182"/>
    </row>
    <row r="11" spans="1:7" s="175" customFormat="1" ht="13.5" hidden="1" customHeight="1">
      <c r="A11" s="176" t="s">
        <v>4</v>
      </c>
      <c r="B11" s="177" t="s">
        <v>2011</v>
      </c>
      <c r="C11" s="195"/>
      <c r="D11" s="199"/>
      <c r="E11" s="1534"/>
      <c r="F11" s="1534"/>
      <c r="G11" s="179"/>
    </row>
    <row r="12" spans="1:7" s="175" customFormat="1" ht="13.5" hidden="1" customHeight="1">
      <c r="A12" s="176" t="s">
        <v>5</v>
      </c>
      <c r="B12" s="177" t="s">
        <v>2012</v>
      </c>
      <c r="C12" s="195">
        <v>0</v>
      </c>
      <c r="D12" s="199"/>
      <c r="E12" s="1539"/>
      <c r="F12" s="1535">
        <v>3.0499999999999999E-2</v>
      </c>
      <c r="G12" s="179"/>
    </row>
    <row r="13" spans="1:7" s="175" customFormat="1" ht="13.5" hidden="1" customHeight="1">
      <c r="A13" s="176" t="s">
        <v>6</v>
      </c>
      <c r="B13" s="177" t="s">
        <v>2013</v>
      </c>
      <c r="C13" s="195"/>
      <c r="D13" s="199"/>
      <c r="E13" s="1534"/>
      <c r="F13" s="1534"/>
      <c r="G13" s="179"/>
    </row>
    <row r="14" spans="1:7" s="175" customFormat="1" ht="13.5" hidden="1" customHeight="1">
      <c r="A14" s="176" t="s">
        <v>7</v>
      </c>
      <c r="B14" s="177" t="s">
        <v>2008</v>
      </c>
      <c r="C14" s="195"/>
      <c r="D14" s="199"/>
      <c r="E14" s="1534"/>
      <c r="F14" s="1534"/>
      <c r="G14" s="179" t="s">
        <v>2014</v>
      </c>
    </row>
    <row r="15" spans="1:7" s="175" customFormat="1" ht="13.5" hidden="1" customHeight="1">
      <c r="A15" s="176" t="s">
        <v>8</v>
      </c>
      <c r="B15" s="177" t="s">
        <v>2015</v>
      </c>
      <c r="C15" s="199"/>
      <c r="D15" s="199"/>
      <c r="E15" s="1534"/>
      <c r="F15" s="1534"/>
      <c r="G15" s="179" t="s">
        <v>2016</v>
      </c>
    </row>
    <row r="16" spans="1:7" s="175" customFormat="1" ht="13.5" hidden="1" customHeight="1">
      <c r="A16" s="176" t="s">
        <v>9</v>
      </c>
      <c r="B16" s="177" t="s">
        <v>2008</v>
      </c>
      <c r="C16" s="199"/>
      <c r="D16" s="199"/>
      <c r="E16" s="1534"/>
      <c r="F16" s="1534"/>
      <c r="G16" s="179"/>
    </row>
    <row r="17" spans="1:7" s="175" customFormat="1" ht="13.5" hidden="1" customHeight="1">
      <c r="A17" s="176" t="s">
        <v>10</v>
      </c>
      <c r="B17" s="177" t="s">
        <v>2017</v>
      </c>
      <c r="C17" s="1540"/>
      <c r="D17" s="1540"/>
      <c r="E17" s="1540"/>
      <c r="F17" s="1540"/>
      <c r="G17" s="179" t="s">
        <v>2016</v>
      </c>
    </row>
    <row r="18" spans="1:7" s="175" customFormat="1" ht="13.5" hidden="1" customHeight="1">
      <c r="A18" s="176" t="s">
        <v>11</v>
      </c>
      <c r="B18" s="177" t="s">
        <v>2018</v>
      </c>
      <c r="C18" s="199">
        <v>0</v>
      </c>
      <c r="D18" s="199"/>
      <c r="E18" s="1534"/>
      <c r="F18" s="1535">
        <v>3.0499999999999999E-2</v>
      </c>
      <c r="G18" s="179" t="s">
        <v>2019</v>
      </c>
    </row>
    <row r="19" spans="1:7" s="180" customFormat="1" ht="13.5" customHeight="1">
      <c r="A19" s="204" t="s">
        <v>2020</v>
      </c>
      <c r="B19" s="173" t="s">
        <v>2021</v>
      </c>
      <c r="C19" s="195">
        <f>IF(G19="已包含在土地取得成本中","0",ROUND(D19*E19,0))</f>
        <v>22000</v>
      </c>
      <c r="D19" s="1541">
        <f>IF(B1="仅计算典型户型",'数据-取费表'!E5,'数据-取费表'!B5)</f>
        <v>110</v>
      </c>
      <c r="E19" s="195">
        <f>'数据-取费表'!E15</f>
        <v>200</v>
      </c>
      <c r="F19" s="196"/>
      <c r="G19" s="2324" t="s">
        <v>3035</v>
      </c>
    </row>
    <row r="20" spans="1:7" s="175" customFormat="1" ht="13.5" customHeight="1">
      <c r="A20" s="204" t="s">
        <v>2022</v>
      </c>
      <c r="B20" s="173" t="s">
        <v>2023</v>
      </c>
      <c r="C20" s="183">
        <f ca="1">ROUND((C5+C19)*F20,0)</f>
        <v>78002</v>
      </c>
      <c r="D20" s="183"/>
      <c r="E20" s="183"/>
      <c r="F20" s="187">
        <f>'数据-取费表'!E25</f>
        <v>0.02</v>
      </c>
      <c r="G20" s="184" t="s">
        <v>2024</v>
      </c>
    </row>
    <row r="21" spans="1:7" s="175" customFormat="1" ht="13.5" customHeight="1">
      <c r="A21" s="204" t="s">
        <v>2025</v>
      </c>
      <c r="B21" s="173" t="s">
        <v>2026</v>
      </c>
      <c r="C21" s="185">
        <f>F21</f>
        <v>0.02</v>
      </c>
      <c r="D21" s="186" t="s">
        <v>2027</v>
      </c>
      <c r="E21" s="183"/>
      <c r="F21" s="187">
        <f>'数据-取费表'!E26</f>
        <v>0.02</v>
      </c>
      <c r="G21" s="184" t="s">
        <v>2028</v>
      </c>
    </row>
    <row r="22" spans="1:7" s="175" customFormat="1" ht="13.5" customHeight="1">
      <c r="A22" s="204" t="s">
        <v>2029</v>
      </c>
      <c r="B22" s="173" t="s">
        <v>2030</v>
      </c>
      <c r="C22" s="205">
        <f ca="1">ROUND(SUM(C23:C25),0)</f>
        <v>85676</v>
      </c>
      <c r="D22" s="185">
        <f ca="1">C26</f>
        <v>2.0000000000000001E-4</v>
      </c>
      <c r="E22" s="186" t="s">
        <v>2027</v>
      </c>
      <c r="F22" s="187">
        <f ca="1">'数据-取费表'!E27</f>
        <v>4.3499999999999997E-2</v>
      </c>
      <c r="G22" s="184" t="str">
        <f>IF('数据-取费表'!B23&lt;=1,"单利计息。","复利计息。")</f>
        <v>单利计息。</v>
      </c>
    </row>
    <row r="23" spans="1:7" s="175" customFormat="1" ht="13.5" customHeight="1">
      <c r="A23" s="176" t="s">
        <v>2031</v>
      </c>
      <c r="B23" s="177" t="s">
        <v>2032</v>
      </c>
      <c r="C23" s="1455">
        <f ca="1">ROUND(IF('数据-取费表'!B23&lt;=1,C5*F22*'数据-取费表'!B24,C5*(POWER((1+F22),'数据-取费表'!B24)-1)),0)</f>
        <v>84349</v>
      </c>
      <c r="D23" s="188"/>
      <c r="E23" s="188"/>
      <c r="F23" s="189"/>
      <c r="G23" s="190" t="s">
        <v>2033</v>
      </c>
    </row>
    <row r="24" spans="1:7" s="175" customFormat="1" ht="13.5" customHeight="1">
      <c r="A24" s="176" t="s">
        <v>2005</v>
      </c>
      <c r="B24" s="177" t="s">
        <v>2034</v>
      </c>
      <c r="C24" s="1455">
        <f ca="1">ROUND(IF('数据-取费表'!B23&lt;=1,C19*F22*('数据-取费表'!B20/2+'数据-取费表'!B22),C19*(POWER((1+F22),('数据-取费表'!B20/2+'数据-取费表'!B22))-1)),0)</f>
        <v>479</v>
      </c>
      <c r="D24" s="188"/>
      <c r="E24" s="188"/>
      <c r="F24" s="189"/>
      <c r="G24" s="190" t="s">
        <v>2035</v>
      </c>
    </row>
    <row r="25" spans="1:7" s="175" customFormat="1" ht="24">
      <c r="A25" s="176" t="s">
        <v>2007</v>
      </c>
      <c r="B25" s="177" t="s">
        <v>2036</v>
      </c>
      <c r="C25" s="1455">
        <f ca="1">ROUND(IF('数据-取费表'!B23&lt;=1,C20*F22*'数据-取费表'!B24/2,C20*(POWER((1+F22),'数据-取费表'!B24/2)-1)),0)</f>
        <v>848</v>
      </c>
      <c r="D25" s="188"/>
      <c r="E25" s="191"/>
      <c r="F25" s="189"/>
      <c r="G25" s="192" t="s">
        <v>2037</v>
      </c>
    </row>
    <row r="26" spans="1:7" s="175" customFormat="1">
      <c r="A26" s="176" t="s">
        <v>2038</v>
      </c>
      <c r="B26" s="177" t="s">
        <v>2039</v>
      </c>
      <c r="C26" s="188">
        <f ca="1">ROUND(IF('数据-取费表'!B23&lt;=1,F21*F22*'数据-取费表'!B24/2,F21*(POWER((1+F22),'数据-取费表'!B24/2)-1)),4)</f>
        <v>2.0000000000000001E-4</v>
      </c>
      <c r="D26" s="188"/>
      <c r="E26" s="191"/>
      <c r="F26" s="189"/>
      <c r="G26" s="193"/>
    </row>
    <row r="27" spans="1:7" s="175" customFormat="1" ht="25.5">
      <c r="A27" s="1305" t="s">
        <v>2040</v>
      </c>
      <c r="B27" s="194" t="s">
        <v>2041</v>
      </c>
      <c r="C27" s="195">
        <f ca="1">C28</f>
        <v>397810</v>
      </c>
      <c r="D27" s="185">
        <f>C29</f>
        <v>2E-3</v>
      </c>
      <c r="E27" s="186" t="s">
        <v>2027</v>
      </c>
      <c r="F27" s="196">
        <f>'数据-取费表'!E28</f>
        <v>0.1</v>
      </c>
      <c r="G27" s="197" t="s">
        <v>2042</v>
      </c>
    </row>
    <row r="28" spans="1:7" s="175" customFormat="1" ht="13.5" customHeight="1">
      <c r="A28" s="176" t="s">
        <v>2031</v>
      </c>
      <c r="B28" s="198" t="s">
        <v>2043</v>
      </c>
      <c r="C28" s="199">
        <f ca="1">ROUND((C5+C19+C20)*F27*'数据-取费表'!B22/'数据-取费表'!B21,0)</f>
        <v>397810</v>
      </c>
      <c r="D28" s="185"/>
      <c r="E28" s="186"/>
      <c r="F28" s="196"/>
      <c r="G28" s="197"/>
    </row>
    <row r="29" spans="1:7" s="175" customFormat="1" ht="13.5" customHeight="1">
      <c r="A29" s="176" t="s">
        <v>2005</v>
      </c>
      <c r="B29" s="198" t="s">
        <v>2044</v>
      </c>
      <c r="C29" s="188">
        <f>ROUND(C21*F27*'数据-取费表'!B22/'数据-取费表'!B21,4)</f>
        <v>2E-3</v>
      </c>
      <c r="D29" s="185"/>
      <c r="E29" s="186"/>
      <c r="F29" s="196"/>
      <c r="G29" s="197"/>
    </row>
    <row r="30" spans="1:7" s="175" customFormat="1" ht="13.5" customHeight="1">
      <c r="A30" s="1305" t="s">
        <v>2045</v>
      </c>
      <c r="B30" s="173" t="s">
        <v>2046</v>
      </c>
      <c r="C30" s="185">
        <f>ROUND(F30/(1+'数据-取费表'!F30),4)</f>
        <v>5.33E-2</v>
      </c>
      <c r="D30" s="186" t="s">
        <v>2027</v>
      </c>
      <c r="E30" s="191"/>
      <c r="F30" s="187">
        <f>'数据-取费表'!E29</f>
        <v>5.6000000000000001E-2</v>
      </c>
      <c r="G30" s="184" t="s">
        <v>2047</v>
      </c>
    </row>
    <row r="31" spans="1:7" ht="16.5" customHeight="1">
      <c r="A31" s="204">
        <v>1</v>
      </c>
      <c r="B31" s="173" t="s">
        <v>2048</v>
      </c>
      <c r="C31" s="195">
        <f ca="1">ROUND((C5+C19+C20+C22+C27)/(1-C21-D22-D27-C30),0)</f>
        <v>4825948</v>
      </c>
      <c r="D31" s="1541"/>
      <c r="E31" s="195"/>
      <c r="F31" s="1542"/>
      <c r="G31" s="184" t="s">
        <v>2049</v>
      </c>
    </row>
    <row r="32" spans="1:7" s="172" customFormat="1" ht="15.75">
      <c r="A32" s="201" t="s">
        <v>2050</v>
      </c>
      <c r="B32" s="202"/>
      <c r="C32" s="1543"/>
      <c r="D32" s="1543"/>
      <c r="E32" s="1543"/>
      <c r="F32" s="1543"/>
      <c r="G32" s="203"/>
    </row>
    <row r="33" spans="1:7" s="175" customFormat="1" ht="13.5" customHeight="1">
      <c r="A33" s="204" t="s">
        <v>2051</v>
      </c>
      <c r="B33" s="173" t="s">
        <v>2052</v>
      </c>
      <c r="C33" s="205">
        <f>SUM(C34:C38)</f>
        <v>136950</v>
      </c>
      <c r="D33" s="183"/>
      <c r="E33" s="1532"/>
      <c r="F33" s="191"/>
      <c r="G33" s="184"/>
    </row>
    <row r="34" spans="1:7" s="206" customFormat="1" ht="13.5" customHeight="1">
      <c r="A34" s="176" t="s">
        <v>2031</v>
      </c>
      <c r="B34" s="177" t="s">
        <v>2053</v>
      </c>
      <c r="C34" s="199">
        <f>IF(B1="仅计算典型户型",'数据-取费表'!F18,'数据-取费表'!E18)</f>
        <v>110000</v>
      </c>
      <c r="D34" s="1533"/>
      <c r="E34" s="199"/>
      <c r="F34" s="1544" t="str">
        <f>IF('数据-取费表'!B25=0,"",'数据-取费表'!E20)</f>
        <v/>
      </c>
      <c r="G34" s="179"/>
    </row>
    <row r="35" spans="1:7" ht="13.5" customHeight="1">
      <c r="A35" s="176" t="s">
        <v>2005</v>
      </c>
      <c r="B35" s="177" t="s">
        <v>2054</v>
      </c>
      <c r="C35" s="199">
        <f>ROUND(C34*F35,0)</f>
        <v>3300</v>
      </c>
      <c r="D35" s="199"/>
      <c r="E35" s="199"/>
      <c r="F35" s="1545">
        <f>'数据-取费表'!E21</f>
        <v>0.03</v>
      </c>
      <c r="G35" s="179" t="s">
        <v>2055</v>
      </c>
    </row>
    <row r="36" spans="1:7" ht="24">
      <c r="A36" s="176" t="s">
        <v>2007</v>
      </c>
      <c r="B36" s="177" t="s">
        <v>2056</v>
      </c>
      <c r="C36" s="199">
        <f>ROUND(IF('数据-取费表'!B10="住宅",C34*F36,0),0)</f>
        <v>0</v>
      </c>
      <c r="D36" s="199"/>
      <c r="E36" s="199"/>
      <c r="F36" s="1545">
        <f>'数据-取费表'!E22</f>
        <v>0.08</v>
      </c>
      <c r="G36" s="207" t="s">
        <v>2057</v>
      </c>
    </row>
    <row r="37" spans="1:7" s="206" customFormat="1" ht="13.5" customHeight="1">
      <c r="A37" s="176" t="s">
        <v>2038</v>
      </c>
      <c r="B37" s="177" t="s">
        <v>2058</v>
      </c>
      <c r="C37" s="199">
        <f>ROUND(E37*D37,0)</f>
        <v>22000</v>
      </c>
      <c r="D37" s="1533">
        <f>IF(B1="仅计算典型户型",'数据-取费表'!E5,'数据-取费表'!B5)</f>
        <v>110</v>
      </c>
      <c r="E37" s="199">
        <f>'数据-取费表'!E23</f>
        <v>200</v>
      </c>
      <c r="F37" s="1545"/>
      <c r="G37" s="208" t="s">
        <v>2059</v>
      </c>
    </row>
    <row r="38" spans="1:7" ht="13.5" customHeight="1">
      <c r="A38" s="176" t="s">
        <v>2060</v>
      </c>
      <c r="B38" s="177" t="s">
        <v>2061</v>
      </c>
      <c r="C38" s="199">
        <f>ROUND(C34*F38,0)</f>
        <v>1650</v>
      </c>
      <c r="D38" s="199"/>
      <c r="E38" s="199"/>
      <c r="F38" s="1545">
        <f>'数据-取费表'!E24</f>
        <v>1.4999999999999999E-2</v>
      </c>
      <c r="G38" s="179" t="s">
        <v>2055</v>
      </c>
    </row>
    <row r="39" spans="1:7" s="175" customFormat="1" ht="13.5" customHeight="1">
      <c r="A39" s="204" t="s">
        <v>2020</v>
      </c>
      <c r="B39" s="173" t="s">
        <v>2023</v>
      </c>
      <c r="C39" s="183">
        <f>ROUND(C33*F20,0)</f>
        <v>2739</v>
      </c>
      <c r="D39" s="183"/>
      <c r="E39" s="183"/>
      <c r="F39" s="187"/>
      <c r="G39" s="184" t="s">
        <v>2062</v>
      </c>
    </row>
    <row r="40" spans="1:7" s="175" customFormat="1" ht="13.5" customHeight="1">
      <c r="A40" s="204" t="s">
        <v>2022</v>
      </c>
      <c r="B40" s="173" t="s">
        <v>2026</v>
      </c>
      <c r="C40" s="1820">
        <f>F21</f>
        <v>0.02</v>
      </c>
      <c r="D40" s="186" t="s">
        <v>2063</v>
      </c>
      <c r="E40" s="183"/>
      <c r="F40" s="187"/>
      <c r="G40" s="184" t="s">
        <v>2064</v>
      </c>
    </row>
    <row r="41" spans="1:7" s="175" customFormat="1" ht="13.5" customHeight="1">
      <c r="A41" s="204" t="s">
        <v>2025</v>
      </c>
      <c r="B41" s="173" t="s">
        <v>2030</v>
      </c>
      <c r="C41" s="183">
        <f ca="1">ROUND(SUM(C42:C43),0)</f>
        <v>1519</v>
      </c>
      <c r="D41" s="185">
        <f ca="1">C44</f>
        <v>2.0000000000000001E-4</v>
      </c>
      <c r="E41" s="186" t="s">
        <v>2063</v>
      </c>
      <c r="F41" s="187"/>
      <c r="G41" s="184" t="str">
        <f>IF('数据-取费表'!B23&lt;=1,"单利计息。","复利计息。")</f>
        <v>单利计息。</v>
      </c>
    </row>
    <row r="42" spans="1:7" ht="13.5" customHeight="1">
      <c r="A42" s="176" t="s">
        <v>2031</v>
      </c>
      <c r="B42" s="177" t="s">
        <v>2032</v>
      </c>
      <c r="C42" s="188">
        <f ca="1">ROUND(IF('数据-取费表'!B23&lt;=1,C33*F22*'数据-取费表'!B22/2,C33*(POWER((1+F22),'数据-取费表'!B22/2)-1)),0)</f>
        <v>1489</v>
      </c>
      <c r="D42" s="188"/>
      <c r="E42" s="188"/>
      <c r="F42" s="189"/>
      <c r="G42" s="3043" t="s">
        <v>2065</v>
      </c>
    </row>
    <row r="43" spans="1:7" ht="13.5" customHeight="1">
      <c r="A43" s="176" t="s">
        <v>2005</v>
      </c>
      <c r="B43" s="177" t="s">
        <v>2034</v>
      </c>
      <c r="C43" s="188">
        <f ca="1">ROUND(IF('数据-取费表'!B23&lt;=1,C39*F22*'数据-取费表'!B22/2,C39*(POWER((1+F22),'数据-取费表'!B22/2)-1)),0)</f>
        <v>30</v>
      </c>
      <c r="D43" s="188"/>
      <c r="E43" s="188"/>
      <c r="F43" s="189"/>
      <c r="G43" s="3044"/>
    </row>
    <row r="44" spans="1:7" ht="13.5" customHeight="1">
      <c r="A44" s="176" t="s">
        <v>2007</v>
      </c>
      <c r="B44" s="177" t="s">
        <v>2036</v>
      </c>
      <c r="C44" s="188">
        <f ca="1">ROUND(IF('数据-取费表'!B23&lt;=1,C40*F22*'数据-取费表'!B22/2,C40*(POWER((1+F22),'数据-取费表'!B22/2)-1)),4)</f>
        <v>2.0000000000000001E-4</v>
      </c>
      <c r="D44" s="188"/>
      <c r="E44" s="188"/>
      <c r="F44" s="189"/>
      <c r="G44" s="3045"/>
    </row>
    <row r="45" spans="1:7" s="175" customFormat="1" ht="13.5" customHeight="1">
      <c r="A45" s="204" t="s">
        <v>2029</v>
      </c>
      <c r="B45" s="194" t="s">
        <v>2041</v>
      </c>
      <c r="C45" s="195">
        <f>C46</f>
        <v>13969</v>
      </c>
      <c r="D45" s="185">
        <f>C47</f>
        <v>2E-3</v>
      </c>
      <c r="E45" s="186" t="s">
        <v>2063</v>
      </c>
      <c r="F45" s="196"/>
      <c r="G45" s="197" t="s">
        <v>2066</v>
      </c>
    </row>
    <row r="46" spans="1:7" s="175" customFormat="1" ht="13.5" customHeight="1">
      <c r="A46" s="176" t="s">
        <v>2031</v>
      </c>
      <c r="B46" s="198" t="s">
        <v>2067</v>
      </c>
      <c r="C46" s="199">
        <f>ROUND((C33+C39)*F27,0)</f>
        <v>13969</v>
      </c>
      <c r="D46" s="209"/>
      <c r="E46" s="186"/>
      <c r="F46" s="196"/>
      <c r="G46" s="197"/>
    </row>
    <row r="47" spans="1:7" s="175" customFormat="1" ht="13.5" customHeight="1">
      <c r="A47" s="176" t="s">
        <v>2005</v>
      </c>
      <c r="B47" s="198" t="s">
        <v>2068</v>
      </c>
      <c r="C47" s="188">
        <f>ROUND(C40*F27,4)</f>
        <v>2E-3</v>
      </c>
      <c r="D47" s="209"/>
      <c r="E47" s="186"/>
      <c r="F47" s="196"/>
      <c r="G47" s="197"/>
    </row>
    <row r="48" spans="1:7" s="175" customFormat="1" ht="13.5" customHeight="1">
      <c r="A48" s="1305" t="s">
        <v>2040</v>
      </c>
      <c r="B48" s="173" t="s">
        <v>2069</v>
      </c>
      <c r="C48" s="1820">
        <f>ROUND(F30/(1+'数据-取费表'!F30),4)</f>
        <v>5.33E-2</v>
      </c>
      <c r="D48" s="186" t="s">
        <v>2063</v>
      </c>
      <c r="E48" s="183"/>
      <c r="F48" s="187"/>
      <c r="G48" s="184" t="s">
        <v>2070</v>
      </c>
    </row>
    <row r="49" spans="1:7" ht="16.5" customHeight="1">
      <c r="A49" s="1305" t="s">
        <v>2071</v>
      </c>
      <c r="B49" s="173" t="s">
        <v>2072</v>
      </c>
      <c r="C49" s="183">
        <f ca="1">ROUND((C33+C39+C41+C45)/(1-C40-D41-D45-C48),0)</f>
        <v>167850</v>
      </c>
      <c r="D49" s="183"/>
      <c r="E49" s="183"/>
      <c r="F49" s="210"/>
      <c r="G49" s="184" t="s">
        <v>2073</v>
      </c>
    </row>
    <row r="50" spans="1:7" s="206" customFormat="1" ht="24">
      <c r="A50" s="1305" t="s">
        <v>2074</v>
      </c>
      <c r="B50" s="173" t="s">
        <v>2075</v>
      </c>
      <c r="C50" s="183"/>
      <c r="D50" s="183"/>
      <c r="E50" s="183"/>
      <c r="F50" s="210">
        <f>IF('数据-取费表'!B25=0,'数据-取费表'!E20,1)</f>
        <v>0.6</v>
      </c>
      <c r="G50" s="197" t="s">
        <v>2076</v>
      </c>
    </row>
    <row r="51" spans="1:7" ht="16.5" customHeight="1">
      <c r="A51" s="1305" t="s">
        <v>2077</v>
      </c>
      <c r="B51" s="173" t="s">
        <v>2078</v>
      </c>
      <c r="C51" s="183">
        <f ca="1">ROUND(C49*F50,0)</f>
        <v>100710</v>
      </c>
      <c r="D51" s="183"/>
      <c r="E51" s="183"/>
      <c r="F51" s="210"/>
      <c r="G51" s="184" t="s">
        <v>2079</v>
      </c>
    </row>
    <row r="52" spans="1:7" s="172" customFormat="1" ht="16.5" thickBot="1">
      <c r="A52" s="211" t="s">
        <v>2080</v>
      </c>
      <c r="B52" s="212"/>
      <c r="C52" s="213">
        <f ca="1">C31+C51</f>
        <v>4926658</v>
      </c>
      <c r="D52" s="212"/>
      <c r="E52" s="212"/>
      <c r="F52" s="212"/>
      <c r="G52" s="214"/>
    </row>
    <row r="55" spans="1:7" ht="15">
      <c r="B55" s="216" t="s">
        <v>2081</v>
      </c>
      <c r="C55" s="217"/>
    </row>
    <row r="56" spans="1:7">
      <c r="B56" s="219" t="s">
        <v>2082</v>
      </c>
      <c r="C56" s="220">
        <f ca="1">ROUND(C51/C52,3)</f>
        <v>0.02</v>
      </c>
    </row>
    <row r="57" spans="1:7">
      <c r="B57" s="219" t="s">
        <v>2083</v>
      </c>
      <c r="C57" s="221">
        <f ca="1">1-C56</f>
        <v>0.98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1289</v>
      </c>
      <c r="B1" s="222"/>
      <c r="C1" s="1321" t="s">
        <v>1290</v>
      </c>
      <c r="D1" s="1452"/>
      <c r="E1" s="1211"/>
      <c r="F1" s="1211"/>
      <c r="G1" s="1211"/>
      <c r="H1" s="1211"/>
      <c r="I1" s="1211"/>
      <c r="J1" s="1211"/>
      <c r="K1" s="1211"/>
    </row>
    <row r="2" spans="1:33" s="223" customFormat="1" ht="18" customHeight="1">
      <c r="A2" s="165" t="s">
        <v>1291</v>
      </c>
      <c r="B2" s="168">
        <f ca="1">IF(C2="元",C32,ROUND(C32/10000,0))</f>
        <v>21808</v>
      </c>
      <c r="C2" s="1959" t="str">
        <f>'数据-取费表'!B3</f>
        <v>元</v>
      </c>
      <c r="D2" s="1211"/>
      <c r="E2" s="1211"/>
      <c r="F2" s="1211"/>
      <c r="G2" s="1211"/>
      <c r="H2" s="1211"/>
      <c r="I2" s="1211"/>
      <c r="J2" s="1211"/>
      <c r="K2" s="1211"/>
    </row>
    <row r="3" spans="1:33" s="223" customFormat="1" ht="18" customHeight="1" thickBot="1">
      <c r="A3" s="167" t="s">
        <v>1292</v>
      </c>
      <c r="B3" s="168" t="e">
        <f ca="1">ROUND(C32/IF(C1="仅计算典型户型",'数据-取费表'!E5,'数据-取费表'!B5),0)</f>
        <v>#DIV/0!</v>
      </c>
      <c r="C3" s="1959" t="s">
        <v>1293</v>
      </c>
      <c r="D3" s="1211"/>
      <c r="E3" s="1211"/>
      <c r="F3" s="1211"/>
      <c r="G3" s="1211"/>
      <c r="H3" s="1211"/>
      <c r="I3" s="1211"/>
      <c r="J3" s="1211"/>
      <c r="K3" s="1211"/>
    </row>
    <row r="4" spans="1:33" s="227" customFormat="1" ht="16.5" customHeight="1">
      <c r="A4" s="224" t="s">
        <v>1294</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1295</v>
      </c>
      <c r="B5" s="229" t="s">
        <v>1296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1297</v>
      </c>
      <c r="B6" s="231" t="s">
        <v>1298</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1299</v>
      </c>
      <c r="B7" s="231" t="s">
        <v>1300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0" t="s">
        <v>1301</v>
      </c>
      <c r="B8" s="231" t="s">
        <v>1302</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1295</v>
      </c>
      <c r="B10" s="240" t="s">
        <v>1296</v>
      </c>
      <c r="C10" s="241" t="s">
        <v>1304</v>
      </c>
      <c r="D10" s="242" t="s">
        <v>1305</v>
      </c>
      <c r="E10" s="242" t="s">
        <v>1306</v>
      </c>
      <c r="F10" s="242" t="s">
        <v>1307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1308</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1309</v>
      </c>
      <c r="C12" s="14">
        <f>ROUND(C11*F12,0)</f>
        <v>0</v>
      </c>
      <c r="D12" s="248"/>
      <c r="E12" s="70"/>
      <c r="F12" s="251">
        <f>'数据-取费表'!E21</f>
        <v>0.03</v>
      </c>
      <c r="G12" s="240" t="s">
        <v>1310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1311</v>
      </c>
      <c r="C13" s="14">
        <f>ROUND(IF('数据-取费表'!B10="住宅",C11*F13,0),0)</f>
        <v>0</v>
      </c>
      <c r="D13" s="248"/>
      <c r="E13" s="70"/>
      <c r="F13" s="251">
        <f>'数据-取费表'!E22</f>
        <v>0.08</v>
      </c>
      <c r="G13" s="240" t="s">
        <v>1312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1313</v>
      </c>
      <c r="C14" s="14">
        <f>ROUND(D14*E14*F11,0)</f>
        <v>0</v>
      </c>
      <c r="D14" s="248">
        <f>IF(C1="仅计算典型户型",'数据-取费表'!E5,'数据-取费表'!B5)</f>
        <v>0</v>
      </c>
      <c r="E14" s="14">
        <f>'数据-取费表'!E23</f>
        <v>200</v>
      </c>
      <c r="F14" s="251"/>
      <c r="G14" s="240" t="s">
        <v>1314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1315</v>
      </c>
      <c r="C15" s="259">
        <f>ROUND(C11*F15,0)</f>
        <v>0</v>
      </c>
      <c r="D15" s="253"/>
      <c r="E15" s="259"/>
      <c r="F15" s="260">
        <f>'数据-取费表'!E24</f>
        <v>1.4999999999999999E-2</v>
      </c>
      <c r="G15" s="231" t="s">
        <v>1316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1317</v>
      </c>
      <c r="B16" s="246" t="s">
        <v>1318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1319</v>
      </c>
      <c r="B17" s="246" t="s">
        <v>1320</v>
      </c>
      <c r="C17" s="14">
        <f>ROUND(D17*E17,0)</f>
        <v>0</v>
      </c>
      <c r="D17" s="248">
        <f>IF(C1="仅计算典型户型",'数据-取费表'!E5,'数据-取费表'!B5)</f>
        <v>0</v>
      </c>
      <c r="E17" s="14">
        <f>'数据-取费表'!E16</f>
        <v>0</v>
      </c>
      <c r="F17" s="253"/>
      <c r="G17" s="231" t="s">
        <v>1321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1322</v>
      </c>
      <c r="B18" s="246" t="s">
        <v>1323</v>
      </c>
      <c r="C18" s="14">
        <f>C19+C20-'数据-取费表'!E13</f>
        <v>-22000</v>
      </c>
      <c r="D18" s="248"/>
      <c r="E18" s="14"/>
      <c r="F18" s="251"/>
      <c r="G18" s="231" t="s">
        <v>1324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1325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1326</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1297</v>
      </c>
      <c r="B21" s="261" t="s">
        <v>1327</v>
      </c>
      <c r="C21" s="262">
        <f>C16+C17+C18</f>
        <v>-22000</v>
      </c>
      <c r="D21" s="263"/>
      <c r="E21" s="264"/>
      <c r="F21" s="264"/>
      <c r="G21" s="231" t="s">
        <v>1328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1299</v>
      </c>
      <c r="B22" s="261" t="s">
        <v>1329</v>
      </c>
      <c r="C22" s="262">
        <f>ROUND(C21*F22,0)</f>
        <v>-440</v>
      </c>
      <c r="D22" s="264"/>
      <c r="E22" s="264"/>
      <c r="F22" s="265">
        <f>'数据-取费表'!E25</f>
        <v>0.02</v>
      </c>
      <c r="G22" s="240" t="s">
        <v>1330</v>
      </c>
      <c r="H22" s="243"/>
      <c r="I22" s="243"/>
      <c r="J22" s="243"/>
      <c r="K22" s="244"/>
      <c r="L22" s="266"/>
      <c r="M22" s="266"/>
      <c r="N22" s="266"/>
    </row>
    <row r="23" spans="1:33" s="250" customFormat="1" ht="13.5" customHeight="1">
      <c r="A23" s="1306" t="s">
        <v>1301</v>
      </c>
      <c r="B23" s="261" t="s">
        <v>1331</v>
      </c>
      <c r="C23" s="262">
        <f>ROUND(C4*F23*F11,0)</f>
        <v>0</v>
      </c>
      <c r="D23" s="264"/>
      <c r="E23" s="264"/>
      <c r="F23" s="265">
        <f>'数据-取费表'!E26</f>
        <v>0.02</v>
      </c>
      <c r="G23" s="240" t="s">
        <v>1332</v>
      </c>
      <c r="H23" s="243"/>
      <c r="I23" s="243"/>
      <c r="J23" s="243"/>
      <c r="K23" s="244"/>
    </row>
    <row r="24" spans="1:33" s="250" customFormat="1" ht="13.5" customHeight="1">
      <c r="A24" s="1306" t="s">
        <v>1333</v>
      </c>
      <c r="B24" s="261" t="s">
        <v>1334</v>
      </c>
      <c r="C24" s="267">
        <f>ROUND(F24/(1+'数据-取费表'!F30),4)</f>
        <v>2.9000000000000001E-2</v>
      </c>
      <c r="D24" s="268" t="s">
        <v>12</v>
      </c>
      <c r="E24" s="268"/>
      <c r="F24" s="265">
        <f>'数据-取费表'!E36+'数据-取费表'!E37</f>
        <v>3.0499999999999999E-2</v>
      </c>
      <c r="G24" s="240" t="s">
        <v>1335</v>
      </c>
      <c r="H24" s="270"/>
      <c r="I24" s="270"/>
      <c r="J24" s="270"/>
      <c r="K24" s="271"/>
    </row>
    <row r="25" spans="1:33" s="266" customFormat="1" ht="13.5" customHeight="1">
      <c r="A25" s="1306" t="s">
        <v>1336</v>
      </c>
      <c r="B25" s="263" t="s">
        <v>1337</v>
      </c>
      <c r="C25" s="272">
        <f ca="1">C27</f>
        <v>0</v>
      </c>
      <c r="D25" s="267">
        <f ca="1">C26</f>
        <v>0</v>
      </c>
      <c r="E25" s="273" t="s">
        <v>12</v>
      </c>
      <c r="F25" s="274">
        <f ca="1">'数据-取费表'!E27</f>
        <v>4.3499999999999997E-2</v>
      </c>
      <c r="G25" s="231" t="s">
        <v>1338</v>
      </c>
      <c r="H25" s="270"/>
      <c r="I25" s="270"/>
      <c r="J25" s="270"/>
      <c r="K25" s="271"/>
    </row>
    <row r="26" spans="1:33" s="280" customFormat="1" ht="13.5" customHeight="1">
      <c r="A26" s="1307" t="s">
        <v>1339</v>
      </c>
      <c r="B26" s="275" t="s">
        <v>1340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1319</v>
      </c>
      <c r="B27" s="275" t="s">
        <v>1341</v>
      </c>
      <c r="C27" s="281">
        <f ca="1">ROUND(IF('数据-取费表'!B23&lt;=1,(C21+C22+C23)*F25*'数据-取费表'!B25/2,(C21+C22+C23)*(POWER((1+F25),'数据-取费表'!B25/2)-1)),0)</f>
        <v>0</v>
      </c>
      <c r="D27" s="277"/>
      <c r="E27" s="278"/>
      <c r="F27" s="279"/>
      <c r="G27" s="231" t="s">
        <v>1342</v>
      </c>
      <c r="H27" s="254"/>
      <c r="I27" s="254"/>
      <c r="J27" s="254"/>
      <c r="K27" s="255"/>
    </row>
    <row r="28" spans="1:33" s="285" customFormat="1" ht="13.5" customHeight="1">
      <c r="A28" s="1306" t="s">
        <v>1343</v>
      </c>
      <c r="B28" s="282" t="s">
        <v>1344</v>
      </c>
      <c r="C28" s="283">
        <f>C30</f>
        <v>-2244</v>
      </c>
      <c r="D28" s="267">
        <f>C29</f>
        <v>0.10290000000000001</v>
      </c>
      <c r="E28" s="273" t="s">
        <v>12</v>
      </c>
      <c r="F28" s="284">
        <f>'数据-取费表'!E28</f>
        <v>0.1</v>
      </c>
      <c r="G28" s="269"/>
      <c r="H28" s="270"/>
      <c r="I28" s="270"/>
      <c r="J28" s="270"/>
      <c r="K28" s="271"/>
    </row>
    <row r="29" spans="1:33" s="288" customFormat="1" ht="13.5" customHeight="1">
      <c r="A29" s="1307" t="s">
        <v>1345</v>
      </c>
      <c r="B29" s="286" t="s">
        <v>1346</v>
      </c>
      <c r="C29" s="277">
        <f>ROUND((1+C24)*F28,4)</f>
        <v>0.10290000000000001</v>
      </c>
      <c r="D29" s="277"/>
      <c r="E29" s="278"/>
      <c r="F29" s="287"/>
      <c r="G29" s="231" t="s">
        <v>1347</v>
      </c>
      <c r="H29" s="254"/>
      <c r="I29" s="254"/>
      <c r="J29" s="254"/>
      <c r="K29" s="255"/>
    </row>
    <row r="30" spans="1:33" s="288" customFormat="1" ht="13.5" customHeight="1">
      <c r="A30" s="1307" t="s">
        <v>1348</v>
      </c>
      <c r="B30" s="286" t="s">
        <v>1349</v>
      </c>
      <c r="C30" s="289">
        <f>ROUND((C21+C22+C23)*F28,0)</f>
        <v>-2244</v>
      </c>
      <c r="D30" s="277"/>
      <c r="E30" s="290"/>
      <c r="F30" s="287"/>
      <c r="G30" s="231"/>
      <c r="H30" s="254"/>
      <c r="I30" s="254"/>
      <c r="J30" s="254"/>
      <c r="K30" s="255"/>
    </row>
    <row r="31" spans="1:33" s="266" customFormat="1" ht="13.5" customHeight="1" thickBot="1">
      <c r="A31" s="1961" t="s">
        <v>1350</v>
      </c>
      <c r="B31" s="261" t="s">
        <v>1351</v>
      </c>
      <c r="C31" s="291">
        <f>ROUND(C4*F31/(1+'数据-取费表'!F30),0)</f>
        <v>0</v>
      </c>
      <c r="D31" s="236"/>
      <c r="E31" s="292"/>
      <c r="F31" s="293">
        <f>'数据-取费表'!E29</f>
        <v>5.6000000000000001E-2</v>
      </c>
      <c r="G31" s="294" t="s">
        <v>1352</v>
      </c>
      <c r="H31" s="295"/>
      <c r="I31" s="295"/>
      <c r="J31" s="295"/>
      <c r="K31" s="296"/>
    </row>
    <row r="32" spans="1:33" s="245" customFormat="1" ht="13.5" customHeight="1" thickBot="1">
      <c r="A32" s="297" t="s">
        <v>1353</v>
      </c>
      <c r="B32" s="298"/>
      <c r="C32" s="299">
        <f ca="1">ROUND((C4-C21-C22-C23-C25-C28-C31)/(1+C24+D25+D28),0)</f>
        <v>21808</v>
      </c>
      <c r="D32" s="298"/>
      <c r="E32" s="298"/>
      <c r="F32" s="298"/>
      <c r="G32" s="300" t="s">
        <v>1354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3" zoomScale="90" zoomScaleNormal="90" zoomScaleSheetLayoutView="100" workbookViewId="0">
      <selection activeCell="I72" sqref="I7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2084</v>
      </c>
      <c r="B1" s="306"/>
      <c r="C1" s="730"/>
      <c r="D1" s="2696"/>
      <c r="E1" s="2697"/>
      <c r="F1" s="2698"/>
      <c r="G1" s="269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1994</v>
      </c>
      <c r="B2" s="765" t="e">
        <f ca="1">IF(C2="元",IF('数据-取费表'!B28="租赁期内按合同租金",C40+L47+J29,C40+L47),ROUND(IF('数据-取费表'!B28="租赁期内按合同租金",(C40+L47+J29)/10000,(C40+L47)/10000),0))</f>
        <v>#DIV/0!</v>
      </c>
      <c r="C2" s="2325" t="str">
        <f>'数据-取费表'!B3</f>
        <v>元</v>
      </c>
      <c r="D2" s="1214"/>
      <c r="E2" s="1215"/>
      <c r="F2" s="1215"/>
      <c r="G2" s="1240"/>
      <c r="H2" s="729"/>
      <c r="I2" s="1216"/>
      <c r="J2" s="1216"/>
      <c r="K2" s="1217"/>
      <c r="L2" s="1216"/>
      <c r="M2" s="1216"/>
    </row>
    <row r="3" spans="1:37" ht="18" customHeight="1" thickBot="1">
      <c r="A3" s="310" t="s">
        <v>1995</v>
      </c>
      <c r="B3" s="766" t="e">
        <f ca="1">ROUND(IF('数据-取费表'!B28="租赁期内按合同租金",(C40+L47+J29)/F43,(C40+L47)/F43),0)</f>
        <v>#DIV/0!</v>
      </c>
      <c r="C3" s="2325" t="s">
        <v>2085</v>
      </c>
      <c r="D3" s="1214"/>
      <c r="E3" s="1215"/>
      <c r="F3" s="1215"/>
      <c r="G3" s="1240"/>
      <c r="H3" s="311" t="s">
        <v>2086</v>
      </c>
      <c r="I3" s="1216"/>
      <c r="J3" s="1216"/>
      <c r="K3" s="1217"/>
      <c r="L3" s="1216"/>
      <c r="M3" s="1216"/>
    </row>
    <row r="4" spans="1:37" ht="18" customHeight="1">
      <c r="A4" s="312" t="s">
        <v>2087</v>
      </c>
      <c r="B4" s="313" t="s">
        <v>2088</v>
      </c>
      <c r="C4" s="313" t="s">
        <v>2089</v>
      </c>
      <c r="D4" s="313" t="s">
        <v>2090</v>
      </c>
      <c r="E4" s="314" t="s">
        <v>2091</v>
      </c>
      <c r="F4" s="315"/>
      <c r="G4" s="1238"/>
      <c r="H4" s="312" t="s">
        <v>2087</v>
      </c>
      <c r="I4" s="313" t="s">
        <v>2088</v>
      </c>
      <c r="J4" s="313" t="s">
        <v>2089</v>
      </c>
      <c r="K4" s="313" t="s">
        <v>2090</v>
      </c>
      <c r="L4" s="314" t="s">
        <v>2091</v>
      </c>
      <c r="M4" s="315"/>
    </row>
    <row r="5" spans="1:37" ht="18" customHeight="1">
      <c r="A5" s="316">
        <v>1</v>
      </c>
      <c r="B5" s="317" t="s">
        <v>2092</v>
      </c>
      <c r="C5" s="318">
        <f ca="1">C6+C10+C12</f>
        <v>0</v>
      </c>
      <c r="D5" s="2326" t="s">
        <v>2093</v>
      </c>
      <c r="E5" s="1214"/>
      <c r="F5" s="1383"/>
      <c r="G5" s="1238"/>
      <c r="H5" s="316">
        <v>1</v>
      </c>
      <c r="I5" s="317" t="s">
        <v>2092</v>
      </c>
      <c r="J5" s="318">
        <f ca="1">J6+J10+J12</f>
        <v>0</v>
      </c>
      <c r="K5" s="2326" t="s">
        <v>2093</v>
      </c>
      <c r="L5" s="1214"/>
      <c r="M5" s="1383"/>
    </row>
    <row r="6" spans="1:37" ht="18" customHeight="1">
      <c r="A6" s="1384" t="s">
        <v>2094</v>
      </c>
      <c r="B6" s="2015" t="s">
        <v>2095</v>
      </c>
      <c r="C6" s="318">
        <f>ROUND(F6*F8*F7*(1-F9),0)</f>
        <v>0</v>
      </c>
      <c r="D6" s="80" t="s">
        <v>2791</v>
      </c>
      <c r="E6" s="319" t="s">
        <v>2096</v>
      </c>
      <c r="F6" s="320">
        <f>'数据-取费表'!B29</f>
        <v>0</v>
      </c>
      <c r="G6" s="1238"/>
      <c r="H6" s="1384" t="s">
        <v>2094</v>
      </c>
      <c r="I6" s="2015" t="s">
        <v>2095</v>
      </c>
      <c r="J6" s="318">
        <f>ROUND(M6*M8*M7*(1-M9),0)</f>
        <v>0</v>
      </c>
      <c r="K6" s="80" t="s">
        <v>2791</v>
      </c>
      <c r="L6" s="319" t="s">
        <v>2096</v>
      </c>
      <c r="M6" s="320">
        <f>'数据-取费表'!B36</f>
        <v>0</v>
      </c>
    </row>
    <row r="7" spans="1:37" ht="18" customHeight="1">
      <c r="A7" s="1447"/>
      <c r="B7" s="322"/>
      <c r="C7" s="323"/>
      <c r="D7" s="324"/>
      <c r="E7" s="319" t="s">
        <v>2097</v>
      </c>
      <c r="F7" s="320">
        <f>IF('数据-取费表'!B41="",IF(D1="仅计算典型户型",'数据-取费表'!E5,'数据-取费表'!B5),'数据-取费表'!B41)</f>
        <v>110</v>
      </c>
      <c r="G7" s="1238"/>
      <c r="H7" s="321"/>
      <c r="I7" s="322"/>
      <c r="J7" s="323"/>
      <c r="K7" s="324"/>
      <c r="L7" s="319" t="s">
        <v>2097</v>
      </c>
      <c r="M7" s="320">
        <f>IF('数据-取费表'!B41="",IF(D1="仅计算典型户型",'数据-取费表'!E5,'数据-取费表'!B5),'数据-取费表'!B41)</f>
        <v>110</v>
      </c>
    </row>
    <row r="8" spans="1:37" ht="18" customHeight="1">
      <c r="A8" s="1447"/>
      <c r="B8" s="322"/>
      <c r="C8" s="323"/>
      <c r="D8" s="324"/>
      <c r="E8" s="319" t="s">
        <v>2098</v>
      </c>
      <c r="F8" s="320">
        <f>'数据-取费表'!B42</f>
        <v>0</v>
      </c>
      <c r="G8" s="1238"/>
      <c r="H8" s="321"/>
      <c r="I8" s="322"/>
      <c r="J8" s="323"/>
      <c r="K8" s="324"/>
      <c r="L8" s="319" t="s">
        <v>2099</v>
      </c>
      <c r="M8" s="320">
        <f>'数据-取费表'!B42</f>
        <v>0</v>
      </c>
    </row>
    <row r="9" spans="1:37" ht="18" customHeight="1">
      <c r="A9" s="1447"/>
      <c r="B9" s="322"/>
      <c r="C9" s="323"/>
      <c r="D9" s="328"/>
      <c r="E9" s="319" t="s">
        <v>2100</v>
      </c>
      <c r="F9" s="329">
        <f>'数据-取费表'!B32</f>
        <v>0.05</v>
      </c>
      <c r="G9" s="1238"/>
      <c r="H9" s="321"/>
      <c r="I9" s="322"/>
      <c r="J9" s="1386"/>
      <c r="K9" s="95"/>
      <c r="L9" s="330" t="s">
        <v>2100</v>
      </c>
      <c r="M9" s="329">
        <f>'数据-取费表'!B38</f>
        <v>0</v>
      </c>
    </row>
    <row r="10" spans="1:37" ht="18" customHeight="1">
      <c r="A10" s="1384" t="s">
        <v>2101</v>
      </c>
      <c r="B10" s="2327" t="s">
        <v>2102</v>
      </c>
      <c r="C10" s="1385">
        <f ca="1">ROUND(IF(F10="押一",F6*F7*F8/12*F11,IF(F10="押二",F6*F7*F8/12*2*F11,IF(F10="押三",F6*F7*F8/12*3*F11,C11*F11))),0)</f>
        <v>0</v>
      </c>
      <c r="D10" s="2328" t="s">
        <v>2792</v>
      </c>
      <c r="E10" s="330" t="s">
        <v>2103</v>
      </c>
      <c r="F10" s="2329" t="s">
        <v>2104</v>
      </c>
      <c r="G10" s="1238"/>
      <c r="H10" s="1384" t="s">
        <v>2101</v>
      </c>
      <c r="I10" s="2327" t="s">
        <v>2102</v>
      </c>
      <c r="J10" s="1385">
        <f ca="1">ROUND(IF(M10="押一",M6*M8*M7/12*M11,IF(M10="押二",M6*M8*M7/12*2*M11,IF(M10="押三",M6*M8*M7/12*3*M11,J11*M11))),0)</f>
        <v>0</v>
      </c>
      <c r="K10" s="80" t="s">
        <v>2793</v>
      </c>
      <c r="L10" s="330" t="s">
        <v>2103</v>
      </c>
      <c r="M10" s="2329"/>
    </row>
    <row r="11" spans="1:37" s="341" customFormat="1" ht="18" customHeight="1">
      <c r="A11" s="348"/>
      <c r="B11" s="2330" t="s">
        <v>2105</v>
      </c>
      <c r="C11" s="1418"/>
      <c r="D11" s="324"/>
      <c r="E11" s="330" t="s">
        <v>2106</v>
      </c>
      <c r="F11" s="331">
        <f ca="1">'数据-取费表'!B30</f>
        <v>1.4999999999999999E-2</v>
      </c>
      <c r="G11" s="1239"/>
      <c r="H11" s="325"/>
      <c r="I11" s="2330" t="s">
        <v>2107</v>
      </c>
      <c r="J11" s="1418"/>
      <c r="K11" s="324"/>
      <c r="L11" s="330" t="s">
        <v>2106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2108</v>
      </c>
      <c r="B12" s="2331" t="s">
        <v>2109</v>
      </c>
      <c r="C12" s="1425"/>
      <c r="D12" s="2332"/>
      <c r="E12" s="1431"/>
      <c r="F12" s="1426"/>
      <c r="G12" s="1238"/>
      <c r="H12" s="1424" t="s">
        <v>2108</v>
      </c>
      <c r="I12" s="2331" t="s">
        <v>2109</v>
      </c>
      <c r="J12" s="1425"/>
      <c r="K12" s="1441"/>
      <c r="L12" s="1431"/>
      <c r="M12" s="1442"/>
    </row>
    <row r="13" spans="1:37" s="341" customFormat="1" ht="18" customHeight="1" thickTop="1">
      <c r="A13" s="1420">
        <v>2</v>
      </c>
      <c r="B13" s="1421" t="s">
        <v>2110</v>
      </c>
      <c r="C13" s="327">
        <f ca="1">ROUND(C29*F13,0)</f>
        <v>100710</v>
      </c>
      <c r="D13" s="1422" t="s">
        <v>2111</v>
      </c>
      <c r="E13" s="1422" t="s">
        <v>2112</v>
      </c>
      <c r="F13" s="1423">
        <f>'数据-取费表'!E20</f>
        <v>0.6</v>
      </c>
      <c r="G13" s="1239"/>
      <c r="H13" s="1420">
        <v>2</v>
      </c>
      <c r="I13" s="1421" t="s">
        <v>2110</v>
      </c>
      <c r="J13" s="1386">
        <f ca="1">ROUND(J14*J15,0)</f>
        <v>0</v>
      </c>
      <c r="K13" s="1427" t="s">
        <v>2111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2113</v>
      </c>
      <c r="B14" s="319" t="s">
        <v>2114</v>
      </c>
      <c r="C14" s="338">
        <f>IF(D1="仅计算典型户型",'数据-取费表'!F18,'数据-取费表'!E18)</f>
        <v>110000</v>
      </c>
      <c r="D14" s="1878" t="s">
        <v>2115</v>
      </c>
      <c r="E14" s="1879"/>
      <c r="F14" s="979"/>
      <c r="G14" s="1239"/>
      <c r="H14" s="337" t="s">
        <v>2094</v>
      </c>
      <c r="I14" s="319" t="s">
        <v>2116</v>
      </c>
      <c r="J14" s="14">
        <f ca="1">C29</f>
        <v>167850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2117</v>
      </c>
      <c r="B15" s="319" t="s">
        <v>2118</v>
      </c>
      <c r="C15" s="14">
        <f>ROUND(C14*F15,0)</f>
        <v>3300</v>
      </c>
      <c r="D15" s="339" t="s">
        <v>2119</v>
      </c>
      <c r="E15" s="339" t="s">
        <v>2120</v>
      </c>
      <c r="F15" s="340">
        <f>'数据-取费表'!E21</f>
        <v>0.03</v>
      </c>
      <c r="G15" s="1238"/>
      <c r="H15" s="1430" t="s">
        <v>2121</v>
      </c>
      <c r="I15" s="1431" t="s">
        <v>2122</v>
      </c>
      <c r="J15" s="1443">
        <f>'数据-取费表'!B39</f>
        <v>0</v>
      </c>
      <c r="K15" s="1444"/>
      <c r="L15" s="1445"/>
      <c r="M15" s="1446"/>
    </row>
    <row r="16" spans="1:37" s="341" customFormat="1" ht="18" customHeight="1" thickTop="1">
      <c r="A16" s="337" t="s">
        <v>2123</v>
      </c>
      <c r="B16" s="319" t="s">
        <v>2124</v>
      </c>
      <c r="C16" s="14">
        <f>ROUND(C14*F16,0)</f>
        <v>0</v>
      </c>
      <c r="D16" s="319" t="s">
        <v>2119</v>
      </c>
      <c r="E16" s="319" t="s">
        <v>2120</v>
      </c>
      <c r="F16" s="342">
        <f>IF('数据-取费表'!B10="住宅",'数据-取费表'!E22,0)</f>
        <v>0</v>
      </c>
      <c r="G16" s="1239"/>
      <c r="H16" s="1420" t="s">
        <v>14</v>
      </c>
      <c r="I16" s="1421" t="s">
        <v>2125</v>
      </c>
      <c r="J16" s="327">
        <f ca="1">ROUND(J17+J22+J23+J24,0)</f>
        <v>3928</v>
      </c>
      <c r="K16" s="1427" t="s">
        <v>2126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2127</v>
      </c>
      <c r="B17" s="319" t="s">
        <v>2128</v>
      </c>
      <c r="C17" s="14">
        <f>ROUND(F17*IF(D1="仅计算典型户型",'数据-取费表'!E5,'数据-取费表'!B5),0)</f>
        <v>22000</v>
      </c>
      <c r="D17" s="319" t="s">
        <v>2129</v>
      </c>
      <c r="E17" s="319" t="s">
        <v>2130</v>
      </c>
      <c r="F17" s="16">
        <f>'数据-取费表'!E23</f>
        <v>200</v>
      </c>
      <c r="G17" s="1239"/>
      <c r="H17" s="337" t="s">
        <v>2131</v>
      </c>
      <c r="I17" s="319" t="s">
        <v>2132</v>
      </c>
      <c r="J17" s="14">
        <f ca="1">ROUND(IF(项目基本情况!B7="自然人",J5*M17,J18+J19+J20),0)</f>
        <v>1410</v>
      </c>
      <c r="K17" s="1878" t="s">
        <v>2133</v>
      </c>
      <c r="L17" s="1883" t="s">
        <v>2134</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2135</v>
      </c>
      <c r="B18" s="319" t="s">
        <v>2136</v>
      </c>
      <c r="C18" s="14">
        <f>ROUND(C14*F18,0)</f>
        <v>1650</v>
      </c>
      <c r="D18" s="319" t="s">
        <v>2119</v>
      </c>
      <c r="E18" s="319" t="s">
        <v>2120</v>
      </c>
      <c r="F18" s="342">
        <f>'数据-取费表'!E24</f>
        <v>1.4999999999999999E-2</v>
      </c>
      <c r="G18" s="1238"/>
      <c r="H18" s="337" t="s">
        <v>2137</v>
      </c>
      <c r="I18" s="319" t="s">
        <v>2138</v>
      </c>
      <c r="J18" s="14">
        <f ca="1">IF(项目基本情况!B7="自然人","——",ROUND(J5*M18/(1+'数据-取费表'!F30),0))</f>
        <v>0</v>
      </c>
      <c r="K18" s="1883" t="s">
        <v>2139</v>
      </c>
      <c r="L18" s="319" t="s">
        <v>2120</v>
      </c>
      <c r="M18" s="342">
        <f>'数据-取费表'!E29</f>
        <v>5.6000000000000001E-2</v>
      </c>
    </row>
    <row r="19" spans="1:37" s="341" customFormat="1" ht="18" customHeight="1">
      <c r="A19" s="337" t="s">
        <v>2131</v>
      </c>
      <c r="B19" s="319" t="s">
        <v>2140</v>
      </c>
      <c r="C19" s="14">
        <f>SUM(C14:C18)</f>
        <v>136950</v>
      </c>
      <c r="D19" s="56" t="s">
        <v>2141</v>
      </c>
      <c r="E19" s="1888"/>
      <c r="F19" s="16"/>
      <c r="G19" s="1239"/>
      <c r="H19" s="337" t="s">
        <v>2117</v>
      </c>
      <c r="I19" s="319" t="s">
        <v>2142</v>
      </c>
      <c r="J19" s="14">
        <f ca="1">IF(项目基本情况!B7="自然人","——",IF(K19="按租金收入计税",ROUND(J5*M19,1),ROUND(C29*M19*0.7,1)))</f>
        <v>1409.9</v>
      </c>
      <c r="K19" s="2004" t="s">
        <v>2143</v>
      </c>
      <c r="L19" s="319" t="s">
        <v>2120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2101</v>
      </c>
      <c r="B20" s="319" t="s">
        <v>2144</v>
      </c>
      <c r="C20" s="14">
        <f>ROUND(C19*F20,0)</f>
        <v>2739</v>
      </c>
      <c r="D20" s="344" t="s">
        <v>2145</v>
      </c>
      <c r="E20" s="319" t="s">
        <v>2146</v>
      </c>
      <c r="F20" s="342">
        <f>'数据-取费表'!E25</f>
        <v>0.02</v>
      </c>
      <c r="G20" s="1239"/>
      <c r="H20" s="337" t="s">
        <v>2123</v>
      </c>
      <c r="I20" s="80" t="s">
        <v>2147</v>
      </c>
      <c r="J20" s="15">
        <f>IF(项目基本情况!B7="自然人","——",ROUND(M20*M21,0))</f>
        <v>0</v>
      </c>
      <c r="K20" s="346" t="s">
        <v>2148</v>
      </c>
      <c r="L20" s="319" t="s">
        <v>2149</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8"/>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单利计息。建造成本、管理费用、销售费用产生的利息。</v>
      </c>
      <c r="E22" s="1888"/>
      <c r="F22" s="16"/>
      <c r="G22" s="1238"/>
      <c r="H22" s="337" t="s">
        <v>2121</v>
      </c>
      <c r="I22" s="319" t="s">
        <v>2157</v>
      </c>
      <c r="J22" s="14">
        <f ca="1">ROUND(J14*M22,0)</f>
        <v>2518</v>
      </c>
      <c r="K22" s="1883" t="s">
        <v>2158</v>
      </c>
      <c r="L22" s="319" t="s">
        <v>2120</v>
      </c>
      <c r="M22" s="350">
        <f>'数据-取费表'!B44</f>
        <v>1.4999999999999999E-2</v>
      </c>
    </row>
    <row r="23" spans="1:37" ht="18" customHeight="1">
      <c r="A23" s="337" t="s">
        <v>2137</v>
      </c>
      <c r="B23" s="319" t="s">
        <v>2159</v>
      </c>
      <c r="C23" s="14">
        <f ca="1">IF('数据-取费表'!B23&lt;=1,ROUND(C19*F24*F23/2,0)+ROUND(C20*F24*F23/2,0),ROUND(C19*(POWER((1+F24),F23/2)-1),0)+ROUND(C20*(POWER((1+F24),F23/2)-1),0))</f>
        <v>1519</v>
      </c>
      <c r="D23" s="1998" t="str">
        <f>IF(F23&lt;=1,"(建造成本+管理费用)×利率×(建设周期÷2)","(建造成本+管理费用)×((1+利率)^(建设周期÷2)-1)")</f>
        <v>(建造成本+管理费用)×利率×(建设周期÷2)</v>
      </c>
      <c r="E23" s="319" t="s">
        <v>2160</v>
      </c>
      <c r="F23" s="347">
        <f>'数据-取费表'!B21</f>
        <v>0.5</v>
      </c>
      <c r="G23" s="1238"/>
      <c r="H23" s="337" t="s">
        <v>2150</v>
      </c>
      <c r="I23" s="319" t="s">
        <v>2161</v>
      </c>
      <c r="J23" s="14">
        <f ca="1">ROUND(J13*M23,0)</f>
        <v>0</v>
      </c>
      <c r="K23" s="1883" t="s">
        <v>2162</v>
      </c>
      <c r="L23" s="319" t="s">
        <v>2163</v>
      </c>
      <c r="M23" s="351">
        <f>'数据-取费表'!B45</f>
        <v>1.5E-3</v>
      </c>
    </row>
    <row r="24" spans="1:37" s="341" customFormat="1" ht="18" customHeight="1" thickBot="1">
      <c r="A24" s="337" t="s">
        <v>2164</v>
      </c>
      <c r="B24" s="319" t="s">
        <v>2165</v>
      </c>
      <c r="C24" s="14">
        <f ca="1">ROUND(IF('数据-取费表'!B23&lt;=1,F21*F24*F23/2,F21*(POWER((1+F24),F23/2)-1)),4)</f>
        <v>2.0000000000000001E-4</v>
      </c>
      <c r="D24" s="1998" t="str">
        <f>IF(F23&lt;=1,"销售费用×利率×(建设周期÷2)","销售费用×((1+利率)^(建设周期÷2)-1)")</f>
        <v>销售费用×利率×(建设周期÷2)</v>
      </c>
      <c r="E24" s="319" t="s">
        <v>2166</v>
      </c>
      <c r="F24" s="352">
        <f ca="1">'数据-取费表'!E27</f>
        <v>4.3499999999999997E-2</v>
      </c>
      <c r="G24" s="1239"/>
      <c r="H24" s="1430" t="s">
        <v>2155</v>
      </c>
      <c r="I24" s="1431" t="s">
        <v>2144</v>
      </c>
      <c r="J24" s="1432">
        <f ca="1">ROUND(J5*M24,0)</f>
        <v>0</v>
      </c>
      <c r="K24" s="1433" t="s">
        <v>2167</v>
      </c>
      <c r="L24" s="1431" t="s">
        <v>2163</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88"/>
      <c r="F25" s="16"/>
      <c r="G25" s="1239"/>
      <c r="H25" s="1420" t="s">
        <v>22</v>
      </c>
      <c r="I25" s="1435" t="s">
        <v>2171</v>
      </c>
      <c r="J25" s="327">
        <f ca="1">J5-J16</f>
        <v>-3928</v>
      </c>
      <c r="K25" s="1436" t="s">
        <v>2172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2113</v>
      </c>
      <c r="B26" s="319" t="s">
        <v>2173</v>
      </c>
      <c r="C26" s="14">
        <f>ROUND((C19+C20)*F26,0)</f>
        <v>13969</v>
      </c>
      <c r="D26" s="344" t="s">
        <v>2174</v>
      </c>
      <c r="E26" s="330" t="s">
        <v>2175</v>
      </c>
      <c r="F26" s="329">
        <f>'数据-取费表'!E28</f>
        <v>0.1</v>
      </c>
      <c r="G26" s="791"/>
      <c r="H26" s="316" t="s">
        <v>23</v>
      </c>
      <c r="I26" s="317" t="s">
        <v>2176</v>
      </c>
      <c r="J26" s="318">
        <f ca="1">IF(J5&lt;&gt;0,ROUND(J25*(1-((1+M28)/(1+M26))^M27)/(M26-M28),0),0)</f>
        <v>0</v>
      </c>
      <c r="K26" s="346" t="s">
        <v>2177</v>
      </c>
      <c r="L26" s="319" t="s">
        <v>2178</v>
      </c>
      <c r="M26" s="329">
        <f>'数据-取费表'!B16</f>
        <v>0.04</v>
      </c>
    </row>
    <row r="27" spans="1:37" ht="18" customHeight="1">
      <c r="A27" s="337" t="s">
        <v>2179</v>
      </c>
      <c r="B27" s="319" t="s">
        <v>2180</v>
      </c>
      <c r="C27" s="14">
        <f>ROUND(F21*F26,4)</f>
        <v>2E-3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1"/>
      <c r="H28" s="325"/>
      <c r="I28" s="326"/>
      <c r="J28" s="327"/>
      <c r="K28" s="349"/>
      <c r="L28" s="319" t="s">
        <v>2187</v>
      </c>
      <c r="M28" s="329">
        <f>'数据-取费表'!B37</f>
        <v>0</v>
      </c>
    </row>
    <row r="29" spans="1:37" ht="18" customHeight="1" thickBot="1">
      <c r="A29" s="1430" t="s">
        <v>2188</v>
      </c>
      <c r="B29" s="1431" t="s">
        <v>2189</v>
      </c>
      <c r="C29" s="1432">
        <f ca="1">ROUND((C19+C20+C23+C26)/(1-F21-C24-C27-C28),0)</f>
        <v>167850</v>
      </c>
      <c r="D29" s="1433"/>
      <c r="E29" s="1431"/>
      <c r="F29" s="1434"/>
      <c r="G29" s="791"/>
      <c r="H29" s="356" t="s">
        <v>24</v>
      </c>
      <c r="I29" s="357" t="s">
        <v>2190</v>
      </c>
      <c r="J29" s="358">
        <f ca="1">ROUND(J26/(1+F40)^F41,0)</f>
        <v>0</v>
      </c>
      <c r="K29" s="359" t="s">
        <v>2191</v>
      </c>
      <c r="L29" s="360"/>
      <c r="M29" s="361">
        <f>IF(D1="仅计算典型户型",'数据-取费表'!E5,'数据-取费表'!B5)</f>
        <v>110</v>
      </c>
    </row>
    <row r="30" spans="1:37" ht="18" customHeight="1" thickTop="1">
      <c r="A30" s="1420" t="s">
        <v>14</v>
      </c>
      <c r="B30" s="1421" t="s">
        <v>2192</v>
      </c>
      <c r="C30" s="327">
        <f ca="1">ROUND(C31+C36+C37+C38,0)</f>
        <v>4079</v>
      </c>
      <c r="D30" s="1427" t="s">
        <v>2193</v>
      </c>
      <c r="E30" s="1428"/>
      <c r="F30" s="1429"/>
      <c r="G30" s="791"/>
      <c r="H30" s="1218"/>
      <c r="I30" s="1219"/>
      <c r="J30" s="1220"/>
      <c r="K30" s="1221"/>
      <c r="L30" s="1222"/>
      <c r="M30" s="1223"/>
    </row>
    <row r="31" spans="1:37" ht="18" customHeight="1">
      <c r="A31" s="337" t="s">
        <v>2094</v>
      </c>
      <c r="B31" s="319" t="s">
        <v>2132</v>
      </c>
      <c r="C31" s="14">
        <f ca="1">ROUND(IF(项目基本情况!B7="自然人",C5*F31,C32+C33+C34),1)</f>
        <v>1409.9</v>
      </c>
      <c r="D31" s="1878" t="s">
        <v>2194</v>
      </c>
      <c r="E31" s="1883" t="s">
        <v>2195</v>
      </c>
      <c r="F31" s="343" t="str">
        <f>IF(项目基本情况!B7="企业","",IF('数据-取费表'!B10="住宅",5%,IF(F6*F7*F8/12/(1+'数据-取费表'!F30)&gt;20000,12%,7%)))</f>
        <v/>
      </c>
      <c r="G31" s="791"/>
      <c r="H31" s="1218"/>
      <c r="I31" s="1219"/>
      <c r="J31" s="1220"/>
      <c r="K31" s="1221"/>
      <c r="L31" s="1222"/>
      <c r="M31" s="1223"/>
    </row>
    <row r="32" spans="1:37" ht="18" customHeight="1">
      <c r="A32" s="337" t="s">
        <v>2113</v>
      </c>
      <c r="B32" s="319" t="s">
        <v>2196</v>
      </c>
      <c r="C32" s="14">
        <f ca="1">IF(项目基本情况!B7="自然人","——",ROUND(C5*F32/(1+'数据-取费表'!F30),0))</f>
        <v>0</v>
      </c>
      <c r="D32" s="1883" t="s">
        <v>2197</v>
      </c>
      <c r="E32" s="319" t="s">
        <v>2146</v>
      </c>
      <c r="F32" s="352">
        <f>'数据-取费表'!E29</f>
        <v>5.6000000000000001E-2</v>
      </c>
      <c r="G32" s="791"/>
      <c r="H32" s="1224"/>
      <c r="I32" s="1225"/>
      <c r="J32" s="1226"/>
      <c r="K32" s="1227"/>
      <c r="L32" s="1228"/>
      <c r="M32" s="1229"/>
    </row>
    <row r="33" spans="1:18" ht="18" customHeight="1">
      <c r="A33" s="337" t="s">
        <v>2117</v>
      </c>
      <c r="B33" s="319" t="s">
        <v>2142</v>
      </c>
      <c r="C33" s="14">
        <f ca="1">IF(项目基本情况!B7="自然人","——",IF(D33="按租金收入计税",ROUND(C5*F33,1),IF(D33="按房产原值计税",ROUND(C29*F33*0.7,1),'数据-取费表'!B43)))</f>
        <v>1409.9</v>
      </c>
      <c r="D33" s="2004" t="s">
        <v>2143</v>
      </c>
      <c r="E33" s="319" t="s">
        <v>2120</v>
      </c>
      <c r="F33" s="342">
        <f>IF(D33="按票据","——",IF(D33="按租金收入计税",'数据-取费表'!E39,'数据-取费表'!E38))</f>
        <v>1.2E-2</v>
      </c>
      <c r="G33" s="791"/>
      <c r="H33" s="1230"/>
      <c r="I33" s="363" t="s">
        <v>2198</v>
      </c>
      <c r="J33" s="364"/>
      <c r="K33" s="1231"/>
      <c r="L33" s="1230"/>
      <c r="M33" s="1230"/>
    </row>
    <row r="34" spans="1:18" ht="18" customHeight="1">
      <c r="A34" s="1384" t="s">
        <v>2123</v>
      </c>
      <c r="B34" s="80" t="s">
        <v>2147</v>
      </c>
      <c r="C34" s="15">
        <f>IF(项目基本情况!B7="自然人","——",ROUND(F34*F35,0))</f>
        <v>0</v>
      </c>
      <c r="D34" s="346" t="s">
        <v>2148</v>
      </c>
      <c r="E34" s="319" t="s">
        <v>2149</v>
      </c>
      <c r="F34" s="347">
        <f>'数据-取费表'!E40</f>
        <v>0</v>
      </c>
      <c r="G34" s="791"/>
      <c r="H34" s="1218"/>
      <c r="I34" s="365" t="s">
        <v>2199</v>
      </c>
      <c r="J34" s="366">
        <f ca="1">ROUND(C13*J35,0)</f>
        <v>7050</v>
      </c>
      <c r="K34" s="1232"/>
      <c r="L34" s="1233"/>
      <c r="M34" s="1233"/>
    </row>
    <row r="35" spans="1:18" ht="24.6" customHeight="1">
      <c r="A35" s="1388"/>
      <c r="B35" s="328"/>
      <c r="C35" s="19"/>
      <c r="D35" s="349"/>
      <c r="E35" s="319" t="s">
        <v>2154</v>
      </c>
      <c r="F35" s="320">
        <f>IF(D1="仅计算典型户型",'数据-取费表'!E6,'数据-取费表'!B6)</f>
        <v>0</v>
      </c>
      <c r="G35" s="791"/>
      <c r="H35" s="1218"/>
      <c r="I35" s="367" t="s">
        <v>2200</v>
      </c>
      <c r="J35" s="368">
        <f>'数据-取费表'!B17</f>
        <v>7.0000000000000007E-2</v>
      </c>
      <c r="K35" s="1231"/>
      <c r="L35" s="1230"/>
      <c r="M35" s="1230"/>
    </row>
    <row r="36" spans="1:18" ht="18" customHeight="1">
      <c r="A36" s="1387" t="s">
        <v>2101</v>
      </c>
      <c r="B36" s="319" t="s">
        <v>2201</v>
      </c>
      <c r="C36" s="14">
        <f ca="1">ROUND(C29*F36,0)</f>
        <v>2518</v>
      </c>
      <c r="D36" s="1883" t="s">
        <v>2202</v>
      </c>
      <c r="E36" s="319" t="s">
        <v>2146</v>
      </c>
      <c r="F36" s="350">
        <f>'数据-取费表'!B44</f>
        <v>1.4999999999999999E-2</v>
      </c>
      <c r="G36" s="791"/>
      <c r="H36" s="1230"/>
      <c r="I36" s="369" t="s">
        <v>2203</v>
      </c>
      <c r="J36" s="370"/>
      <c r="K36" s="1234"/>
      <c r="L36" s="1230"/>
      <c r="M36" s="1230"/>
    </row>
    <row r="37" spans="1:18" ht="18" customHeight="1">
      <c r="A37" s="337" t="s">
        <v>2150</v>
      </c>
      <c r="B37" s="319" t="s">
        <v>2161</v>
      </c>
      <c r="C37" s="14">
        <f ca="1">ROUND(C13*F37,0)</f>
        <v>151</v>
      </c>
      <c r="D37" s="1883" t="s">
        <v>2162</v>
      </c>
      <c r="E37" s="319" t="s">
        <v>2163</v>
      </c>
      <c r="F37" s="351">
        <f>'数据-取费表'!B45</f>
        <v>1.5E-3</v>
      </c>
      <c r="G37" s="791"/>
      <c r="H37" s="1230"/>
      <c r="I37" s="216" t="s">
        <v>2204</v>
      </c>
      <c r="J37" s="371"/>
      <c r="K37" s="1234"/>
      <c r="L37" s="1230"/>
      <c r="M37" s="1230"/>
    </row>
    <row r="38" spans="1:18" ht="18" customHeight="1" thickBot="1">
      <c r="A38" s="1430" t="s">
        <v>2155</v>
      </c>
      <c r="B38" s="1431" t="s">
        <v>2144</v>
      </c>
      <c r="C38" s="1432">
        <f ca="1">ROUND(C5*F38,0)</f>
        <v>0</v>
      </c>
      <c r="D38" s="1433" t="s">
        <v>2167</v>
      </c>
      <c r="E38" s="1431" t="s">
        <v>2163</v>
      </c>
      <c r="F38" s="1426">
        <f>'数据-取费表'!B46</f>
        <v>0.02</v>
      </c>
      <c r="G38" s="791"/>
      <c r="H38" s="1230"/>
      <c r="I38" s="365" t="s">
        <v>2205</v>
      </c>
      <c r="J38" s="220">
        <f ca="1">ROUND(J34/C39,3)</f>
        <v>-1.728</v>
      </c>
      <c r="K38" s="1235"/>
      <c r="L38" s="1230"/>
      <c r="M38" s="1230"/>
    </row>
    <row r="39" spans="1:18" ht="18" customHeight="1" thickTop="1">
      <c r="A39" s="1420" t="s">
        <v>22</v>
      </c>
      <c r="B39" s="1435" t="s">
        <v>2206</v>
      </c>
      <c r="C39" s="327">
        <f ca="1">C5-C30</f>
        <v>-4079</v>
      </c>
      <c r="D39" s="1436" t="s">
        <v>2207</v>
      </c>
      <c r="E39" s="1437"/>
      <c r="F39" s="1438"/>
      <c r="G39" s="791"/>
      <c r="H39" s="1230"/>
      <c r="I39" s="365" t="s">
        <v>2208</v>
      </c>
      <c r="J39" s="220">
        <f ca="1">1-J38</f>
        <v>2.7279999999999998</v>
      </c>
      <c r="K39" s="1235"/>
      <c r="L39" s="1230"/>
      <c r="M39" s="1230"/>
    </row>
    <row r="40" spans="1:18" s="791" customFormat="1" ht="18" customHeight="1">
      <c r="A40" s="316" t="s">
        <v>23</v>
      </c>
      <c r="B40" s="317" t="s">
        <v>2209</v>
      </c>
      <c r="C40" s="318">
        <f ca="1">ROUND(C39*(1-((1+F42)/(1+F40))^F41)/(F40-F42),0)</f>
        <v>0</v>
      </c>
      <c r="D40" s="346" t="s">
        <v>2177</v>
      </c>
      <c r="E40" s="319" t="s">
        <v>2178</v>
      </c>
      <c r="F40" s="329">
        <f>'数据-取费表'!B16</f>
        <v>0.04</v>
      </c>
      <c r="H40" s="1236"/>
      <c r="I40" s="216" t="s">
        <v>2210</v>
      </c>
      <c r="J40" s="217"/>
      <c r="K40" s="1235"/>
      <c r="L40" s="1236"/>
      <c r="M40" s="1236"/>
      <c r="Q40" s="795"/>
    </row>
    <row r="41" spans="1:18" s="791" customFormat="1" ht="18" customHeight="1">
      <c r="A41" s="321"/>
      <c r="B41" s="322"/>
      <c r="C41" s="323"/>
      <c r="D41" s="354" t="s">
        <v>2211</v>
      </c>
      <c r="E41" s="1826" t="s">
        <v>2212</v>
      </c>
      <c r="F41" s="355" t="b">
        <f>IF('数据-取费表'!B28="租赁期内按合同租金",'数据-取费表'!B34,IF(E41="收益年期(n)",'数据-取费表'!B33,'数据-取费表'!B13))</f>
        <v>0</v>
      </c>
      <c r="H41" s="1237"/>
      <c r="I41" s="219" t="s">
        <v>2082</v>
      </c>
      <c r="J41" s="220" t="e">
        <f ca="1">ROUND(C13/C40,3)</f>
        <v>#DIV/0!</v>
      </c>
      <c r="K41" s="1234"/>
      <c r="L41" s="1237"/>
      <c r="M41" s="1237"/>
      <c r="Q41" s="795"/>
    </row>
    <row r="42" spans="1:18" s="791" customFormat="1" ht="18" customHeight="1">
      <c r="A42" s="325"/>
      <c r="B42" s="326"/>
      <c r="C42" s="327"/>
      <c r="D42" s="349"/>
      <c r="E42" s="319" t="s">
        <v>2187</v>
      </c>
      <c r="F42" s="329">
        <f>'数据-取费表'!B31</f>
        <v>3.5000000000000003E-2</v>
      </c>
      <c r="H42" s="1237"/>
      <c r="I42" s="219" t="s">
        <v>2083</v>
      </c>
      <c r="J42" s="221" t="e">
        <f ca="1">1-J41</f>
        <v>#DIV/0!</v>
      </c>
      <c r="K42" s="1234"/>
      <c r="L42" s="1237"/>
      <c r="M42" s="1237"/>
      <c r="Q42" s="795"/>
    </row>
    <row r="43" spans="1:18" s="791" customFormat="1" ht="18" customHeight="1" thickBot="1">
      <c r="A43" s="356" t="s">
        <v>24</v>
      </c>
      <c r="B43" s="357" t="s">
        <v>2213</v>
      </c>
      <c r="C43" s="358">
        <f ca="1">ROUND(C40/F43,0)</f>
        <v>0</v>
      </c>
      <c r="D43" s="359" t="s">
        <v>2214</v>
      </c>
      <c r="E43" s="360" t="s">
        <v>2215</v>
      </c>
      <c r="F43" s="361">
        <f>IF(D1="仅计算典型户型",'数据-取费表'!E5,'数据-取费表'!B5)</f>
        <v>110</v>
      </c>
      <c r="G43" s="793"/>
      <c r="H43" s="1237"/>
      <c r="I43" s="1237"/>
      <c r="J43" s="1237"/>
      <c r="K43" s="1234"/>
      <c r="L43" s="1237"/>
      <c r="M43" s="1237"/>
      <c r="O43" s="1361" t="s">
        <v>2216</v>
      </c>
      <c r="P43" s="1362"/>
      <c r="Q43" s="1358"/>
      <c r="R43" s="1362"/>
    </row>
    <row r="44" spans="1:18" s="791" customFormat="1" ht="18" customHeight="1" thickBot="1">
      <c r="A44" s="776"/>
      <c r="B44" s="776"/>
      <c r="C44" s="790"/>
      <c r="D44" s="776"/>
      <c r="E44" s="776"/>
      <c r="F44" s="776"/>
      <c r="G44" s="793"/>
      <c r="K44" s="792"/>
      <c r="O44" s="1363" t="s">
        <v>2217</v>
      </c>
      <c r="P44" s="1364" t="s">
        <v>2218</v>
      </c>
      <c r="Q44" s="1365" t="s">
        <v>2219</v>
      </c>
      <c r="R44" s="1366" t="s">
        <v>2220</v>
      </c>
    </row>
    <row r="45" spans="1:18" s="791" customFormat="1" ht="18" customHeight="1" thickBot="1">
      <c r="A45" s="776"/>
      <c r="B45" s="776"/>
      <c r="C45" s="790"/>
      <c r="D45" s="776"/>
      <c r="E45" s="776"/>
      <c r="F45" s="776"/>
      <c r="G45" s="794"/>
      <c r="K45" s="792"/>
      <c r="O45" s="1367" t="s">
        <v>958</v>
      </c>
      <c r="P45" s="1368" t="s">
        <v>2221</v>
      </c>
      <c r="Q45" s="1369">
        <f ca="1">C40+J29</f>
        <v>0</v>
      </c>
      <c r="R45" s="1370" t="s">
        <v>2222</v>
      </c>
    </row>
    <row r="46" spans="1:18" s="791" customFormat="1" ht="18" customHeight="1" thickBot="1">
      <c r="A46" s="776"/>
      <c r="D46" s="776"/>
      <c r="E46" s="776"/>
      <c r="F46" s="776"/>
      <c r="K46" s="792"/>
      <c r="O46" s="1367" t="s">
        <v>959</v>
      </c>
      <c r="P46" s="1368" t="s">
        <v>2223</v>
      </c>
      <c r="Q46" s="1369" t="str">
        <f>J61</f>
        <v>0</v>
      </c>
      <c r="R46" s="1370" t="s">
        <v>2224</v>
      </c>
    </row>
    <row r="47" spans="1:18" s="791" customFormat="1" ht="21.75" thickBot="1">
      <c r="A47" s="2333" t="s">
        <v>2225</v>
      </c>
      <c r="C47" s="1303">
        <f ca="1">IF(C2="元",C69-C40,ROUND((C69-C40)/10000,0))</f>
        <v>0</v>
      </c>
      <c r="D47" s="2334" t="str">
        <f>C2</f>
        <v>元</v>
      </c>
      <c r="E47" s="776"/>
      <c r="F47" s="776"/>
      <c r="I47" s="2335" t="s">
        <v>2226</v>
      </c>
      <c r="J47" s="1343"/>
      <c r="K47" s="1344"/>
      <c r="L47" s="1357" t="e">
        <f ca="1">IF(M48="住宅",0,IF(L49&gt;J52,L61,J61))</f>
        <v>#DIV/0!</v>
      </c>
      <c r="O47" s="1371" t="s">
        <v>960</v>
      </c>
      <c r="P47" s="1368" t="s">
        <v>2227</v>
      </c>
      <c r="Q47" s="1369">
        <f ca="1">C29</f>
        <v>167850</v>
      </c>
      <c r="R47" s="1370" t="s">
        <v>2222</v>
      </c>
    </row>
    <row r="48" spans="1:18" s="791" customFormat="1" ht="15.75" thickBot="1">
      <c r="A48" s="312" t="s">
        <v>2228</v>
      </c>
      <c r="B48" s="313" t="s">
        <v>2229</v>
      </c>
      <c r="C48" s="313" t="s">
        <v>2230</v>
      </c>
      <c r="D48" s="313" t="s">
        <v>2231</v>
      </c>
      <c r="E48" s="1297" t="s">
        <v>2232</v>
      </c>
      <c r="F48" s="1298"/>
      <c r="I48" s="2336" t="s">
        <v>2233</v>
      </c>
      <c r="J48" s="2337"/>
      <c r="K48" s="2338" t="s">
        <v>2234</v>
      </c>
      <c r="L48" s="1345">
        <f>'数据-取费表'!B11</f>
        <v>40</v>
      </c>
      <c r="M48" s="1358" t="str">
        <f>IF('数据-取费表'!B10="住宅","住宅","非住宅")</f>
        <v>非住宅</v>
      </c>
      <c r="O48" s="1371" t="s">
        <v>961</v>
      </c>
      <c r="P48" s="1368" t="s">
        <v>2235</v>
      </c>
      <c r="Q48" s="1372" t="e">
        <f>J59</f>
        <v>#VALUE!</v>
      </c>
      <c r="R48" s="1370"/>
    </row>
    <row r="49" spans="1:18" s="791" customFormat="1" ht="15.75" thickBot="1">
      <c r="A49" s="1457" t="s">
        <v>1031</v>
      </c>
      <c r="B49" s="317" t="s">
        <v>2236</v>
      </c>
      <c r="C49" s="1458">
        <f ca="1">C50+C54+C56</f>
        <v>0</v>
      </c>
      <c r="D49" s="1459"/>
      <c r="E49" s="101"/>
      <c r="F49" s="16"/>
      <c r="I49" s="2339" t="s">
        <v>2237</v>
      </c>
      <c r="J49" s="2340"/>
      <c r="K49" s="2341" t="s">
        <v>2238</v>
      </c>
      <c r="L49" s="1128">
        <f>'数据-取费表'!B13</f>
        <v>40</v>
      </c>
      <c r="O49" s="1371" t="s">
        <v>962</v>
      </c>
      <c r="P49" s="1368" t="s">
        <v>2239</v>
      </c>
      <c r="Q49" s="1372">
        <f>J53</f>
        <v>0</v>
      </c>
      <c r="R49" s="1370"/>
    </row>
    <row r="50" spans="1:18" s="791" customFormat="1" ht="15.75" thickBot="1">
      <c r="A50" s="345" t="s">
        <v>2094</v>
      </c>
      <c r="B50" s="2015" t="s">
        <v>2240</v>
      </c>
      <c r="C50" s="318">
        <f>ROUND(F50*F52*F51*(1-F53),0)</f>
        <v>0</v>
      </c>
      <c r="D50" s="93" t="s">
        <v>2794</v>
      </c>
      <c r="E50" s="2342" t="s">
        <v>2241</v>
      </c>
      <c r="F50" s="1299"/>
      <c r="I50" s="2339" t="s">
        <v>2242</v>
      </c>
      <c r="J50" s="1128">
        <f>'数据-取费表'!B26</f>
        <v>0</v>
      </c>
      <c r="K50" s="2343" t="s">
        <v>2243</v>
      </c>
      <c r="L50" s="1346"/>
      <c r="O50" s="1371" t="s">
        <v>963</v>
      </c>
      <c r="P50" s="1368" t="s">
        <v>2244</v>
      </c>
      <c r="Q50" s="1369" t="b">
        <f>J54</f>
        <v>0</v>
      </c>
      <c r="R50" s="1370" t="s">
        <v>2245</v>
      </c>
    </row>
    <row r="51" spans="1:18" s="791" customFormat="1" ht="15.75" thickBot="1">
      <c r="A51" s="321"/>
      <c r="B51" s="322"/>
      <c r="C51" s="323"/>
      <c r="D51" s="324"/>
      <c r="E51" s="339" t="s">
        <v>2097</v>
      </c>
      <c r="F51" s="1296">
        <f>F7</f>
        <v>110</v>
      </c>
      <c r="I51" s="2339" t="s">
        <v>2246</v>
      </c>
      <c r="J51" s="1347">
        <f>SUMPRODUCT((I64:I66=J48)*(J63:L63=J49)*(J64:L66))</f>
        <v>0</v>
      </c>
      <c r="K51" s="2343" t="s">
        <v>2247</v>
      </c>
      <c r="L51" s="1346"/>
      <c r="O51" s="1367" t="s">
        <v>964</v>
      </c>
      <c r="P51" s="1368" t="str">
        <f>IF(C2="元","收益价值(元)","收益价值(万元)")</f>
        <v>收益价值(元)</v>
      </c>
      <c r="Q51" s="1369">
        <f ca="1">ROUND(IF(C2="元",Q45+Q46,(Q45+Q46)/10000),0)</f>
        <v>0</v>
      </c>
      <c r="R51" s="1370" t="s">
        <v>965</v>
      </c>
    </row>
    <row r="52" spans="1:18" s="791" customFormat="1" ht="16.5" thickBot="1">
      <c r="A52" s="321"/>
      <c r="B52" s="322"/>
      <c r="C52" s="323"/>
      <c r="D52" s="324"/>
      <c r="E52" s="319" t="s">
        <v>2099</v>
      </c>
      <c r="F52" s="320">
        <f>F8</f>
        <v>0</v>
      </c>
      <c r="I52" s="2344" t="s">
        <v>2248</v>
      </c>
      <c r="J52" s="1348">
        <f>IF(J50="",J51,J50+J51-YEAR('数据-取费表'!B2))</f>
        <v>-2017</v>
      </c>
      <c r="K52" s="2345" t="s">
        <v>2249</v>
      </c>
      <c r="L52" s="1349">
        <f ca="1">ROUND(-PV('数据-取费表'!B15,L49,(C40-C13*J35)),0)</f>
        <v>-150547</v>
      </c>
      <c r="O52" s="1361" t="s">
        <v>2250</v>
      </c>
      <c r="P52" s="1362"/>
      <c r="Q52" s="1358"/>
      <c r="R52" s="1362"/>
    </row>
    <row r="53" spans="1:18" s="791" customFormat="1" ht="15.75" thickBot="1">
      <c r="A53" s="325"/>
      <c r="B53" s="326"/>
      <c r="C53" s="327"/>
      <c r="D53" s="328"/>
      <c r="E53" s="319" t="s">
        <v>2100</v>
      </c>
      <c r="F53" s="1356"/>
      <c r="I53" s="2346" t="s">
        <v>2251</v>
      </c>
      <c r="J53" s="1350"/>
      <c r="K53" s="2346" t="s">
        <v>2252</v>
      </c>
      <c r="L53" s="1350"/>
      <c r="O53" s="1363" t="s">
        <v>2217</v>
      </c>
      <c r="P53" s="1364" t="s">
        <v>2218</v>
      </c>
      <c r="Q53" s="1365" t="s">
        <v>2219</v>
      </c>
      <c r="R53" s="1366" t="s">
        <v>2220</v>
      </c>
    </row>
    <row r="54" spans="1:18" s="791" customFormat="1" ht="29.25" customHeight="1" thickBot="1">
      <c r="A54" s="1384" t="s">
        <v>2101</v>
      </c>
      <c r="B54" s="2327" t="s">
        <v>2102</v>
      </c>
      <c r="C54" s="1385">
        <f ca="1">ROUND(IF(F54="押一",F50*F51*F52/12*F11,IF(F54="押二",F50*F51*F52/12*2*F11,IF(F54="押三",F50*F51*F52/12*3*F11,C55*F11))),0)</f>
        <v>0</v>
      </c>
      <c r="D54" s="2328" t="s">
        <v>2792</v>
      </c>
      <c r="E54" s="330" t="s">
        <v>2103</v>
      </c>
      <c r="F54" s="2329"/>
      <c r="I54" s="2347" t="s">
        <v>2253</v>
      </c>
      <c r="J54" s="1351" t="b">
        <f>IF(M48="住宅",J52,IF(E1="——",MIN(J52,L49),IF(E1="在建（套用方法）",MIN(J52,L49-'数据-取费表'!B25),IF(E1="土地（套用方法）",MIN(J52,L49-'数据-取费表'!B21)))))</f>
        <v>0</v>
      </c>
      <c r="K54" s="3046" t="s">
        <v>2790</v>
      </c>
      <c r="L54" s="3047"/>
      <c r="O54" s="1367" t="s">
        <v>958</v>
      </c>
      <c r="P54" s="1368" t="s">
        <v>2221</v>
      </c>
      <c r="Q54" s="1369">
        <f ca="1">C40+J29</f>
        <v>0</v>
      </c>
      <c r="R54" s="1370" t="s">
        <v>2222</v>
      </c>
    </row>
    <row r="55" spans="1:18" s="791" customFormat="1" ht="20.25" thickBot="1">
      <c r="A55" s="1384"/>
      <c r="B55" s="2348" t="s">
        <v>2107</v>
      </c>
      <c r="C55" s="1418"/>
      <c r="D55" s="93"/>
      <c r="E55" s="234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0"/>
      <c r="K55" s="2350"/>
      <c r="L55" s="2350"/>
      <c r="O55" s="1367" t="s">
        <v>959</v>
      </c>
      <c r="P55" s="1368" t="s">
        <v>2254</v>
      </c>
      <c r="Q55" s="1369" t="e">
        <f ca="1">L61</f>
        <v>#DIV/0!</v>
      </c>
      <c r="R55" s="1370" t="s">
        <v>2255</v>
      </c>
    </row>
    <row r="56" spans="1:18" s="791" customFormat="1" ht="20.25" thickBot="1">
      <c r="A56" s="1424" t="s">
        <v>2108</v>
      </c>
      <c r="B56" s="2331" t="s">
        <v>2109</v>
      </c>
      <c r="C56" s="1425"/>
      <c r="D56" s="1441"/>
      <c r="E56" s="2351"/>
      <c r="F56" s="1501"/>
      <c r="I56" s="2352" t="s">
        <v>2256</v>
      </c>
      <c r="J56" s="1861" t="e">
        <f>ROUND(IF(J48="钢混",J58/J51,1-(1-2%)*(J51-J58)/J51),3)</f>
        <v>#VALUE!</v>
      </c>
      <c r="K56" s="2353" t="s">
        <v>2257</v>
      </c>
      <c r="L56" s="1352"/>
      <c r="O56" s="1371" t="s">
        <v>960</v>
      </c>
      <c r="P56" s="1368" t="s">
        <v>2258</v>
      </c>
      <c r="Q56" s="1369">
        <f>IF(L56="比较法",L50,IF(L56="基准地价",L51,0))</f>
        <v>0</v>
      </c>
      <c r="R56" s="1370" t="s">
        <v>2222</v>
      </c>
    </row>
    <row r="57" spans="1:18" s="791" customFormat="1" ht="44.25" thickTop="1" thickBot="1">
      <c r="A57" s="1420">
        <v>2</v>
      </c>
      <c r="B57" s="1421" t="s">
        <v>2110</v>
      </c>
      <c r="C57" s="1500">
        <f ca="1">C13</f>
        <v>100710</v>
      </c>
      <c r="D57" s="1294"/>
      <c r="E57" s="1295"/>
      <c r="F57" s="1302"/>
      <c r="I57" s="2354" t="s">
        <v>2259</v>
      </c>
      <c r="J57" s="1355"/>
      <c r="K57" s="2339" t="s">
        <v>2260</v>
      </c>
      <c r="L57" s="1128">
        <f>IF(L49&lt;J52,"——",L49-J52)</f>
        <v>2057</v>
      </c>
      <c r="O57" s="1371" t="s">
        <v>961</v>
      </c>
      <c r="P57" s="1368" t="s">
        <v>2261</v>
      </c>
      <c r="Q57" s="1372">
        <f>L53</f>
        <v>0</v>
      </c>
      <c r="R57" s="1370"/>
    </row>
    <row r="58" spans="1:18" s="791" customFormat="1" ht="29.25" thickBot="1">
      <c r="A58" s="1301"/>
      <c r="B58" s="319" t="s">
        <v>2189</v>
      </c>
      <c r="C58" s="188">
        <f ca="1">C29</f>
        <v>167850</v>
      </c>
      <c r="D58" s="1294"/>
      <c r="E58" s="1295"/>
      <c r="F58" s="1302"/>
      <c r="I58" s="2355" t="s">
        <v>2262</v>
      </c>
      <c r="J58" s="1354" t="str">
        <f>IF(OR(M48="住宅",J52&lt;L49,J57="是"),"——",J52-L49)</f>
        <v>——</v>
      </c>
      <c r="K58" s="2339" t="s">
        <v>2263</v>
      </c>
      <c r="L58" s="1128">
        <f ca="1">IF(L49&lt;J52,"——",IF(L56="比较法",L50,IF(L56="基准地价",L51,L52)))</f>
        <v>-150547</v>
      </c>
      <c r="O58" s="1371" t="s">
        <v>962</v>
      </c>
      <c r="P58" s="1368" t="s">
        <v>2264</v>
      </c>
      <c r="Q58" s="1369" t="e">
        <f>L59</f>
        <v>#DIV/0!</v>
      </c>
      <c r="R58" s="1370" t="s">
        <v>2265</v>
      </c>
    </row>
    <row r="59" spans="1:18" s="791" customFormat="1" ht="29.25" thickBot="1">
      <c r="A59" s="332" t="s">
        <v>14</v>
      </c>
      <c r="B59" s="333" t="s">
        <v>2192</v>
      </c>
      <c r="C59" s="334">
        <f ca="1">ROUND(C60+C65+C66+C67,0)</f>
        <v>4079</v>
      </c>
      <c r="D59" s="12" t="s">
        <v>2193</v>
      </c>
      <c r="E59" s="1888"/>
      <c r="F59" s="16"/>
      <c r="I59" s="2355" t="s">
        <v>2266</v>
      </c>
      <c r="J59" s="1860" t="e">
        <f>IF(J56&lt;0.4,0.4,J56)</f>
        <v>#VALUE!</v>
      </c>
      <c r="K59" s="2345" t="s">
        <v>2267</v>
      </c>
      <c r="L59" s="1128" t="e">
        <f>ROUND(POWER(1+L53,L48-L49)*(POWER(1+L53,L49)-1)/(POWER(1+L53,L48)-1),4)</f>
        <v>#DIV/0!</v>
      </c>
      <c r="O59" s="1371" t="s">
        <v>963</v>
      </c>
      <c r="P59" s="1368" t="str">
        <f>K60</f>
        <v>建设期及建筑物耐用年限下的土地年期修正系数Kn</v>
      </c>
      <c r="Q59" s="1369" t="e">
        <f>L60</f>
        <v>#DIV/0!</v>
      </c>
      <c r="R59" s="1370" t="s">
        <v>2268</v>
      </c>
    </row>
    <row r="60" spans="1:18" s="791" customFormat="1" ht="29.25" thickBot="1">
      <c r="A60" s="337" t="s">
        <v>15</v>
      </c>
      <c r="B60" s="319" t="s">
        <v>2132</v>
      </c>
      <c r="C60" s="14">
        <f ca="1">ROUND(IF(项目基本情况!B7="自然人",C49*F60,C61+C62+C63),1)</f>
        <v>1409.9</v>
      </c>
      <c r="D60" s="1878" t="s">
        <v>2194</v>
      </c>
      <c r="E60" s="1883" t="s">
        <v>2195</v>
      </c>
      <c r="F60" s="343" t="str">
        <f>IF(项目基本情况!B7="企业","",IF('数据-取费表'!B10="住宅",5%,IF(F50*F51*F52/12/(1+'数据-取费表'!F30)&gt;20000,12%,7%)))</f>
        <v/>
      </c>
      <c r="I60" s="2355" t="s">
        <v>2269</v>
      </c>
      <c r="J60" s="1354" t="str">
        <f>IF(OR(M48="住宅",J52&lt;L49,J57="是"),"——",ROUND(C29*J59,0))</f>
        <v>——</v>
      </c>
      <c r="K60" s="234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t="e">
        <f ca="1">ROUND(IF(C2="元",Q54+Q55,(Q54+Q55)/10000),0)</f>
        <v>#DIV/0!</v>
      </c>
      <c r="R60" s="1370" t="s">
        <v>965</v>
      </c>
    </row>
    <row r="61" spans="1:18" s="791" customFormat="1" ht="16.5" thickBot="1">
      <c r="A61" s="337" t="s">
        <v>16</v>
      </c>
      <c r="B61" s="319" t="s">
        <v>2196</v>
      </c>
      <c r="C61" s="14">
        <f ca="1">IF(项目基本情况!B7="自然人","——",ROUND(C49*F61/(1+'数据-取费表'!F30),0))</f>
        <v>0</v>
      </c>
      <c r="D61" s="1883" t="s">
        <v>2197</v>
      </c>
      <c r="E61" s="319" t="s">
        <v>2146</v>
      </c>
      <c r="F61" s="352">
        <f t="shared" ref="F61:F67" si="0">F32</f>
        <v>5.6000000000000001E-2</v>
      </c>
      <c r="I61" s="2356" t="s">
        <v>2270</v>
      </c>
      <c r="J61" s="1353" t="str">
        <f>IF(OR(M48="住宅",J52&lt;L49,J57="是"),"0",ROUND(J60/(1+J53)^J54,0))</f>
        <v>0</v>
      </c>
      <c r="K61" s="2357" t="s">
        <v>2271</v>
      </c>
      <c r="L61" s="1353" t="e">
        <f ca="1">IF(OR(M48="住宅",L49&lt;J52),0,ROUND(L58*(L59/L60-1),0))</f>
        <v>#DIV/0!</v>
      </c>
      <c r="O61" s="1361" t="s">
        <v>2272</v>
      </c>
      <c r="P61" s="1362"/>
      <c r="Q61" s="1358"/>
      <c r="R61" s="1362"/>
    </row>
    <row r="62" spans="1:18" s="791" customFormat="1" ht="15.75" thickBot="1">
      <c r="A62" s="337" t="s">
        <v>17</v>
      </c>
      <c r="B62" s="319" t="s">
        <v>2273</v>
      </c>
      <c r="C62" s="14">
        <f ca="1">IF(项目基本情况!B7="自然人","——",IF(D62="按租金收入计税",ROUND(C49*F62,1),IF(D62="按房产原值计税",ROUND(C58*F62*0.7,1),'数据-取费表'!B43)))</f>
        <v>1409.9</v>
      </c>
      <c r="D62" s="2004" t="s">
        <v>2143</v>
      </c>
      <c r="E62" s="319" t="s">
        <v>2146</v>
      </c>
      <c r="F62" s="342">
        <f t="shared" si="0"/>
        <v>1.2E-2</v>
      </c>
      <c r="O62" s="1363" t="s">
        <v>2217</v>
      </c>
      <c r="P62" s="1364" t="s">
        <v>2218</v>
      </c>
      <c r="Q62" s="1365" t="s">
        <v>2219</v>
      </c>
      <c r="R62" s="1366" t="s">
        <v>2220</v>
      </c>
    </row>
    <row r="63" spans="1:18" s="791" customFormat="1" ht="15.75" thickBot="1">
      <c r="A63" s="345" t="s">
        <v>18</v>
      </c>
      <c r="B63" s="80" t="s">
        <v>2274</v>
      </c>
      <c r="C63" s="15">
        <f>IF(项目基本情况!B7="自然人","——",ROUND(F63*F64,0))</f>
        <v>0</v>
      </c>
      <c r="D63" s="346" t="s">
        <v>2275</v>
      </c>
      <c r="E63" s="319" t="s">
        <v>2276</v>
      </c>
      <c r="F63" s="347">
        <f t="shared" si="0"/>
        <v>0</v>
      </c>
      <c r="I63" s="2358" t="s">
        <v>2277</v>
      </c>
      <c r="J63" s="1864" t="s">
        <v>2278</v>
      </c>
      <c r="K63" s="1864" t="s">
        <v>2279</v>
      </c>
      <c r="L63" s="1864" t="s">
        <v>2280</v>
      </c>
      <c r="M63" s="1863" t="s">
        <v>2281</v>
      </c>
      <c r="O63" s="1367" t="s">
        <v>958</v>
      </c>
      <c r="P63" s="1368" t="s">
        <v>2221</v>
      </c>
      <c r="Q63" s="1369">
        <f ca="1">C40+J29</f>
        <v>0</v>
      </c>
      <c r="R63" s="1370" t="s">
        <v>2222</v>
      </c>
    </row>
    <row r="64" spans="1:18" s="791" customFormat="1" ht="20.25" thickBot="1">
      <c r="A64" s="348"/>
      <c r="B64" s="328"/>
      <c r="C64" s="19"/>
      <c r="D64" s="349"/>
      <c r="E64" s="319" t="s">
        <v>2282</v>
      </c>
      <c r="F64" s="320">
        <f t="shared" si="0"/>
        <v>0</v>
      </c>
      <c r="I64" s="2358" t="s">
        <v>2283</v>
      </c>
      <c r="J64" s="1864">
        <v>70</v>
      </c>
      <c r="K64" s="1864">
        <v>50</v>
      </c>
      <c r="L64" s="1864">
        <v>80</v>
      </c>
      <c r="M64" s="1862">
        <v>0.02</v>
      </c>
      <c r="O64" s="1367" t="s">
        <v>959</v>
      </c>
      <c r="P64" s="1368" t="s">
        <v>2254</v>
      </c>
      <c r="Q64" s="1369" t="e">
        <f ca="1">L61</f>
        <v>#DIV/0!</v>
      </c>
      <c r="R64" s="1370" t="s">
        <v>2255</v>
      </c>
    </row>
    <row r="65" spans="1:18" s="791" customFormat="1" ht="23.25" thickBot="1">
      <c r="A65" s="337" t="s">
        <v>19</v>
      </c>
      <c r="B65" s="319" t="s">
        <v>2201</v>
      </c>
      <c r="C65" s="14">
        <f ca="1">ROUND(C58*F65,0)</f>
        <v>2518</v>
      </c>
      <c r="D65" s="1883" t="s">
        <v>2202</v>
      </c>
      <c r="E65" s="319" t="s">
        <v>2146</v>
      </c>
      <c r="F65" s="350">
        <f t="shared" si="0"/>
        <v>1.4999999999999999E-2</v>
      </c>
      <c r="I65" s="2358" t="s">
        <v>2284</v>
      </c>
      <c r="J65" s="1864">
        <v>50</v>
      </c>
      <c r="K65" s="1864">
        <v>35</v>
      </c>
      <c r="L65" s="1864">
        <v>60</v>
      </c>
      <c r="M65" s="1863">
        <v>0</v>
      </c>
      <c r="O65" s="1371" t="s">
        <v>960</v>
      </c>
      <c r="P65" s="1368" t="s">
        <v>2258</v>
      </c>
      <c r="Q65" s="1373">
        <f ca="1">L52</f>
        <v>-150547</v>
      </c>
      <c r="R65" s="1374" t="s">
        <v>2285</v>
      </c>
    </row>
    <row r="66" spans="1:18" s="791" customFormat="1" ht="20.25" thickBot="1">
      <c r="A66" s="337" t="s">
        <v>20</v>
      </c>
      <c r="B66" s="319" t="s">
        <v>2161</v>
      </c>
      <c r="C66" s="14">
        <f ca="1">ROUND(C57*F66,0)</f>
        <v>151</v>
      </c>
      <c r="D66" s="1883" t="s">
        <v>2162</v>
      </c>
      <c r="E66" s="319" t="s">
        <v>2163</v>
      </c>
      <c r="F66" s="351">
        <f t="shared" si="0"/>
        <v>1.5E-3</v>
      </c>
      <c r="I66" s="2358" t="s">
        <v>2286</v>
      </c>
      <c r="J66" s="1864">
        <v>40</v>
      </c>
      <c r="K66" s="1864">
        <v>30</v>
      </c>
      <c r="L66" s="1864">
        <v>50</v>
      </c>
      <c r="M66" s="1862">
        <v>0.02</v>
      </c>
      <c r="O66" s="1371" t="s">
        <v>961</v>
      </c>
      <c r="P66" s="1375" t="s">
        <v>2287</v>
      </c>
      <c r="Q66" s="1369">
        <f ca="1">ROUND(Q67-Q68*Q69,0)</f>
        <v>-11129</v>
      </c>
      <c r="R66" s="1370"/>
    </row>
    <row r="67" spans="1:18" s="791" customFormat="1" ht="15.75" thickBot="1">
      <c r="A67" s="337" t="s">
        <v>21</v>
      </c>
      <c r="B67" s="319" t="s">
        <v>2144</v>
      </c>
      <c r="C67" s="14">
        <f ca="1">ROUND(C49*F67,0)</f>
        <v>0</v>
      </c>
      <c r="D67" s="1883" t="s">
        <v>2167</v>
      </c>
      <c r="E67" s="319" t="s">
        <v>2163</v>
      </c>
      <c r="F67" s="329">
        <f t="shared" si="0"/>
        <v>0.02</v>
      </c>
      <c r="O67" s="1371" t="s">
        <v>966</v>
      </c>
      <c r="P67" s="1375" t="s">
        <v>2288</v>
      </c>
      <c r="Q67" s="1369">
        <f ca="1">C39</f>
        <v>-4079</v>
      </c>
      <c r="R67" s="1370" t="s">
        <v>2222</v>
      </c>
    </row>
    <row r="68" spans="1:18" ht="15.75" thickBot="1">
      <c r="A68" s="332" t="s">
        <v>22</v>
      </c>
      <c r="B68" s="89" t="s">
        <v>2171</v>
      </c>
      <c r="C68" s="334">
        <f ca="1">C49-C59</f>
        <v>-4079</v>
      </c>
      <c r="D68" s="1878" t="s">
        <v>2172</v>
      </c>
      <c r="E68" s="1882"/>
      <c r="F68" s="353"/>
      <c r="H68" s="791"/>
      <c r="I68" s="791"/>
      <c r="J68" s="791"/>
      <c r="K68" s="791"/>
      <c r="L68" s="791"/>
      <c r="M68" s="791"/>
      <c r="O68" s="1371" t="s">
        <v>967</v>
      </c>
      <c r="P68" s="1375" t="s">
        <v>2289</v>
      </c>
      <c r="Q68" s="1369">
        <f ca="1">C13</f>
        <v>100710</v>
      </c>
      <c r="R68" s="1370" t="s">
        <v>2222</v>
      </c>
    </row>
    <row r="69" spans="1:18" ht="15.75" thickBot="1">
      <c r="A69" s="316" t="s">
        <v>23</v>
      </c>
      <c r="B69" s="317" t="s">
        <v>2209</v>
      </c>
      <c r="C69" s="318">
        <f ca="1">ROUND(C68*(1-((1+F71)/(1+F69))^F70)/(F69-F71),0)</f>
        <v>0</v>
      </c>
      <c r="D69" s="346" t="s">
        <v>2177</v>
      </c>
      <c r="E69" s="319" t="s">
        <v>2178</v>
      </c>
      <c r="F69" s="329">
        <f>F40</f>
        <v>0.04</v>
      </c>
      <c r="H69" s="791"/>
      <c r="I69" s="791"/>
      <c r="J69" s="791"/>
      <c r="K69" s="791"/>
      <c r="L69" s="791"/>
      <c r="M69" s="791"/>
      <c r="O69" s="1371" t="s">
        <v>968</v>
      </c>
      <c r="P69" s="1375" t="s">
        <v>2290</v>
      </c>
      <c r="Q69" s="1372">
        <f>J35</f>
        <v>7.0000000000000007E-2</v>
      </c>
      <c r="R69" s="1370"/>
    </row>
    <row r="70" spans="1:18" ht="15.75" thickBot="1">
      <c r="A70" s="321"/>
      <c r="B70" s="322"/>
      <c r="C70" s="323"/>
      <c r="D70" s="354" t="s">
        <v>2211</v>
      </c>
      <c r="E70" s="319" t="s">
        <v>2183</v>
      </c>
      <c r="F70" s="355" t="b">
        <f>F41</f>
        <v>0</v>
      </c>
      <c r="H70" s="791"/>
      <c r="I70" s="791"/>
      <c r="J70" s="791"/>
      <c r="K70" s="791"/>
      <c r="L70" s="791"/>
      <c r="M70" s="791"/>
      <c r="O70" s="1371" t="s">
        <v>962</v>
      </c>
      <c r="P70" s="1368" t="s">
        <v>2261</v>
      </c>
      <c r="Q70" s="1372">
        <f>L53</f>
        <v>0</v>
      </c>
      <c r="R70" s="1370"/>
    </row>
    <row r="71" spans="1:18" ht="20.25" thickBot="1">
      <c r="A71" s="325"/>
      <c r="B71" s="326"/>
      <c r="C71" s="327"/>
      <c r="D71" s="349"/>
      <c r="E71" s="319" t="s">
        <v>2187</v>
      </c>
      <c r="F71" s="1356"/>
      <c r="H71" s="791"/>
      <c r="M71" s="791"/>
      <c r="O71" s="1371" t="s">
        <v>963</v>
      </c>
      <c r="P71" s="1368" t="s">
        <v>2264</v>
      </c>
      <c r="Q71" s="1369" t="e">
        <f>L59</f>
        <v>#DIV/0!</v>
      </c>
      <c r="R71" s="1370" t="s">
        <v>2265</v>
      </c>
    </row>
    <row r="72" spans="1:18" ht="15.75" thickBot="1">
      <c r="A72" s="356" t="s">
        <v>24</v>
      </c>
      <c r="B72" s="357" t="s">
        <v>2213</v>
      </c>
      <c r="C72" s="358">
        <f ca="1">ROUND(C69/F72,0)</f>
        <v>0</v>
      </c>
      <c r="D72" s="359" t="s">
        <v>2214</v>
      </c>
      <c r="E72" s="360" t="s">
        <v>2215</v>
      </c>
      <c r="F72" s="361">
        <f>F43</f>
        <v>110</v>
      </c>
      <c r="O72" s="1371" t="s">
        <v>969</v>
      </c>
      <c r="P72" s="1368" t="str">
        <f>K60</f>
        <v>建设期及建筑物耐用年限下的土地年期修正系数Kn</v>
      </c>
      <c r="Q72" s="1369" t="e">
        <f>L60</f>
        <v>#DIV/0!</v>
      </c>
      <c r="R72" s="1370" t="s">
        <v>2268</v>
      </c>
    </row>
    <row r="73" spans="1:18" ht="15.75" thickBot="1">
      <c r="A73" s="791"/>
      <c r="B73" s="795"/>
      <c r="C73" s="795"/>
      <c r="D73" s="791"/>
      <c r="E73" s="791"/>
      <c r="F73" s="791"/>
      <c r="O73" s="1367" t="s">
        <v>964</v>
      </c>
      <c r="P73" s="1368" t="str">
        <f>IF(C2="元","收益价值(元)","收益价值(万元)")</f>
        <v>收益价值(元)</v>
      </c>
      <c r="Q73" s="1369" t="e">
        <f ca="1">ROUND(IF(C2="元",Q63+Q64,(Q63+Q64)/10000),0)</f>
        <v>#DIV/0!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89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898">
        <f>项目基本情况!B4</f>
        <v>0</v>
      </c>
      <c r="C12" s="1043"/>
    </row>
    <row r="13" spans="1:7">
      <c r="A13" s="1184"/>
      <c r="B13" s="1077"/>
      <c r="C13" s="1043"/>
    </row>
    <row r="14" spans="1:7">
      <c r="A14" s="1187" t="s">
        <v>949</v>
      </c>
      <c r="B14" s="1186" t="s">
        <v>951</v>
      </c>
      <c r="C14" s="1043"/>
    </row>
    <row r="15" spans="1:7">
      <c r="A15" s="1184"/>
      <c r="B15" s="1898" t="s">
        <v>780</v>
      </c>
      <c r="C15" s="1043"/>
    </row>
    <row r="16" spans="1:7">
      <c r="A16" s="1184"/>
      <c r="B16" s="1077"/>
      <c r="C16" s="1043"/>
    </row>
    <row r="17" spans="1:5">
      <c r="A17" s="1187" t="s">
        <v>949</v>
      </c>
      <c r="B17" s="1186" t="s">
        <v>952</v>
      </c>
      <c r="C17" s="1043"/>
    </row>
    <row r="18" spans="1:5" s="1047" customFormat="1">
      <c r="A18" s="1185"/>
      <c r="B18" s="189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89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64" t="s">
        <v>1025</v>
      </c>
      <c r="B1" s="3065"/>
      <c r="C1" s="3066"/>
      <c r="D1" s="3067">
        <f>SUM(I10,I15,I20,I21,I23)</f>
        <v>0</v>
      </c>
      <c r="E1" s="3067"/>
      <c r="F1" s="3067"/>
      <c r="G1" s="3067"/>
      <c r="H1" s="3067"/>
      <c r="I1" s="3068"/>
    </row>
    <row r="2" spans="1:9">
      <c r="A2" s="3054" t="s">
        <v>1026</v>
      </c>
      <c r="B2" s="3055" t="s">
        <v>975</v>
      </c>
      <c r="C2" s="3055"/>
      <c r="D2" s="1389" t="s">
        <v>976</v>
      </c>
      <c r="E2" s="1389" t="s">
        <v>977</v>
      </c>
      <c r="F2" s="1389" t="s">
        <v>978</v>
      </c>
      <c r="G2" s="1389" t="s">
        <v>979</v>
      </c>
      <c r="H2" s="1389" t="s">
        <v>980</v>
      </c>
      <c r="I2" s="1390" t="s">
        <v>981</v>
      </c>
    </row>
    <row r="3" spans="1:9">
      <c r="A3" s="3054"/>
      <c r="B3" s="3055" t="s">
        <v>982</v>
      </c>
      <c r="C3" s="3055"/>
      <c r="D3" s="1391"/>
      <c r="E3" s="1389"/>
      <c r="F3" s="1392"/>
      <c r="G3" s="1392"/>
      <c r="H3" s="1393"/>
      <c r="I3" s="1394">
        <f>ROUND(D3*E3*F3*G3*H3/10000,0)</f>
        <v>0</v>
      </c>
    </row>
    <row r="4" spans="1:9">
      <c r="A4" s="3054"/>
      <c r="B4" s="3055" t="s">
        <v>983</v>
      </c>
      <c r="C4" s="3055"/>
      <c r="D4" s="1391"/>
      <c r="E4" s="1389"/>
      <c r="F4" s="1392"/>
      <c r="G4" s="1392"/>
      <c r="H4" s="1393"/>
      <c r="I4" s="1394">
        <f t="shared" ref="I4:I9" si="0">ROUND(D4*E4*F4*G4*H4/10000,0)</f>
        <v>0</v>
      </c>
    </row>
    <row r="5" spans="1:9">
      <c r="A5" s="3054"/>
      <c r="B5" s="3055" t="s">
        <v>984</v>
      </c>
      <c r="C5" s="3055"/>
      <c r="D5" s="1391"/>
      <c r="E5" s="1389"/>
      <c r="F5" s="1392"/>
      <c r="G5" s="1392"/>
      <c r="H5" s="1393"/>
      <c r="I5" s="1394">
        <f t="shared" si="0"/>
        <v>0</v>
      </c>
    </row>
    <row r="6" spans="1:9">
      <c r="A6" s="3054"/>
      <c r="B6" s="3055" t="s">
        <v>985</v>
      </c>
      <c r="C6" s="3055"/>
      <c r="D6" s="1391"/>
      <c r="E6" s="1389"/>
      <c r="F6" s="1392"/>
      <c r="G6" s="1392"/>
      <c r="H6" s="1393"/>
      <c r="I6" s="1394">
        <f t="shared" si="0"/>
        <v>0</v>
      </c>
    </row>
    <row r="7" spans="1:9">
      <c r="A7" s="3054"/>
      <c r="B7" s="3055" t="s">
        <v>986</v>
      </c>
      <c r="C7" s="3055"/>
      <c r="D7" s="1391"/>
      <c r="E7" s="1389"/>
      <c r="F7" s="1392"/>
      <c r="G7" s="1392"/>
      <c r="H7" s="1393"/>
      <c r="I7" s="1394">
        <f t="shared" si="0"/>
        <v>0</v>
      </c>
    </row>
    <row r="8" spans="1:9">
      <c r="A8" s="3054"/>
      <c r="B8" s="3055" t="s">
        <v>987</v>
      </c>
      <c r="C8" s="3055"/>
      <c r="D8" s="1391"/>
      <c r="E8" s="1389"/>
      <c r="F8" s="1392"/>
      <c r="G8" s="1392"/>
      <c r="H8" s="1393"/>
      <c r="I8" s="1394">
        <f t="shared" si="0"/>
        <v>0</v>
      </c>
    </row>
    <row r="9" spans="1:9">
      <c r="A9" s="3054"/>
      <c r="B9" s="3055" t="s">
        <v>988</v>
      </c>
      <c r="C9" s="3055"/>
      <c r="D9" s="1391"/>
      <c r="E9" s="1389"/>
      <c r="F9" s="1392"/>
      <c r="G9" s="1392"/>
      <c r="H9" s="1393"/>
      <c r="I9" s="1394">
        <f t="shared" si="0"/>
        <v>0</v>
      </c>
    </row>
    <row r="10" spans="1:9">
      <c r="A10" s="3054"/>
      <c r="B10" s="3056" t="s">
        <v>989</v>
      </c>
      <c r="C10" s="3056"/>
      <c r="D10" s="1395">
        <v>527</v>
      </c>
      <c r="E10" s="1395" t="e">
        <f>ROUND(D1*10000/D10/H9,0)</f>
        <v>#DIV/0!</v>
      </c>
      <c r="F10" s="1396"/>
      <c r="G10" s="1396"/>
      <c r="H10" s="1397"/>
      <c r="I10" s="1398">
        <f>SUM(I3:I9)</f>
        <v>0</v>
      </c>
    </row>
    <row r="11" spans="1:9" ht="14.25">
      <c r="A11" s="3054" t="s">
        <v>1027</v>
      </c>
      <c r="B11" s="3055" t="s">
        <v>990</v>
      </c>
      <c r="C11" s="3055"/>
      <c r="D11" s="1391" t="s">
        <v>991</v>
      </c>
      <c r="E11" s="1391" t="s">
        <v>992</v>
      </c>
      <c r="F11" s="1392" t="s">
        <v>993</v>
      </c>
      <c r="G11" s="1392" t="s">
        <v>980</v>
      </c>
      <c r="H11" s="1399" t="s">
        <v>994</v>
      </c>
      <c r="I11" s="1390" t="s">
        <v>981</v>
      </c>
    </row>
    <row r="12" spans="1:9">
      <c r="A12" s="3054"/>
      <c r="B12" s="3055" t="s">
        <v>995</v>
      </c>
      <c r="C12" s="3055"/>
      <c r="D12" s="1391"/>
      <c r="E12" s="1391"/>
      <c r="F12" s="1392"/>
      <c r="G12" s="1393"/>
      <c r="H12" s="1400"/>
      <c r="I12" s="1390">
        <f>ROUND(D12*E12*F12*G12/10000,0)</f>
        <v>0</v>
      </c>
    </row>
    <row r="13" spans="1:9">
      <c r="A13" s="3054"/>
      <c r="B13" s="3055" t="s">
        <v>996</v>
      </c>
      <c r="C13" s="3055"/>
      <c r="D13" s="1391"/>
      <c r="E13" s="1391"/>
      <c r="F13" s="1392"/>
      <c r="G13" s="1393"/>
      <c r="H13" s="1400"/>
      <c r="I13" s="1390">
        <f>ROUND(D13*E13*F13*G13/10000,0)</f>
        <v>0</v>
      </c>
    </row>
    <row r="14" spans="1:9">
      <c r="A14" s="3054"/>
      <c r="B14" s="3055" t="s">
        <v>997</v>
      </c>
      <c r="C14" s="3055"/>
      <c r="D14" s="1391"/>
      <c r="E14" s="1391"/>
      <c r="F14" s="1392"/>
      <c r="G14" s="1393"/>
      <c r="H14" s="1400"/>
      <c r="I14" s="1390">
        <f>ROUND(D14*E14*F14*G14/10000,0)</f>
        <v>0</v>
      </c>
    </row>
    <row r="15" spans="1:9">
      <c r="A15" s="3054"/>
      <c r="B15" s="3056" t="s">
        <v>989</v>
      </c>
      <c r="C15" s="3056"/>
      <c r="D15" s="1395"/>
      <c r="E15" s="1395">
        <f>SUM(E12:E14)</f>
        <v>0</v>
      </c>
      <c r="F15" s="1396"/>
      <c r="G15" s="1393"/>
      <c r="H15" s="1400"/>
      <c r="I15" s="1401">
        <f>SUM(I12:I14)</f>
        <v>0</v>
      </c>
    </row>
    <row r="16" spans="1:9" ht="24">
      <c r="A16" s="3054" t="s">
        <v>1028</v>
      </c>
      <c r="B16" s="3055" t="s">
        <v>998</v>
      </c>
      <c r="C16" s="3055"/>
      <c r="D16" s="1391" t="s">
        <v>976</v>
      </c>
      <c r="E16" s="1402" t="s">
        <v>999</v>
      </c>
      <c r="F16" s="1392" t="s">
        <v>1000</v>
      </c>
      <c r="G16" s="1393" t="s">
        <v>980</v>
      </c>
      <c r="H16" s="1399" t="s">
        <v>994</v>
      </c>
      <c r="I16" s="1390" t="s">
        <v>981</v>
      </c>
    </row>
    <row r="17" spans="1:9" ht="14.25">
      <c r="A17" s="3054"/>
      <c r="B17" s="3055" t="s">
        <v>1001</v>
      </c>
      <c r="C17" s="3055"/>
      <c r="D17" s="1391"/>
      <c r="E17" s="1391"/>
      <c r="F17" s="1392"/>
      <c r="G17" s="1393"/>
      <c r="H17" s="1403"/>
      <c r="I17" s="1404">
        <f>ROUND(D17*E17*F17*G17/10000,0)</f>
        <v>0</v>
      </c>
    </row>
    <row r="18" spans="1:9" ht="14.25">
      <c r="A18" s="3054"/>
      <c r="B18" s="3055" t="s">
        <v>1002</v>
      </c>
      <c r="C18" s="3055"/>
      <c r="D18" s="1391"/>
      <c r="E18" s="1391"/>
      <c r="F18" s="1392"/>
      <c r="G18" s="1393"/>
      <c r="H18" s="1403"/>
      <c r="I18" s="1404">
        <f>ROUND(D18*E18*F18*G18/10000,0)</f>
        <v>0</v>
      </c>
    </row>
    <row r="19" spans="1:9" ht="14.25">
      <c r="A19" s="3054"/>
      <c r="B19" s="3055" t="s">
        <v>1003</v>
      </c>
      <c r="C19" s="3055"/>
      <c r="D19" s="1391"/>
      <c r="E19" s="1391"/>
      <c r="F19" s="1392"/>
      <c r="G19" s="1393"/>
      <c r="H19" s="1403"/>
      <c r="I19" s="1404">
        <f>ROUND(D19*E19*F19*G19/10000,0)</f>
        <v>0</v>
      </c>
    </row>
    <row r="20" spans="1:9">
      <c r="A20" s="3054"/>
      <c r="B20" s="3056" t="s">
        <v>989</v>
      </c>
      <c r="C20" s="3056"/>
      <c r="D20" s="1395">
        <f>SUM(D17:D19)</f>
        <v>0</v>
      </c>
      <c r="E20" s="1395"/>
      <c r="F20" s="1396"/>
      <c r="G20" s="1393"/>
      <c r="H20" s="1400"/>
      <c r="I20" s="1401">
        <f>SUM(I17:I19)</f>
        <v>0</v>
      </c>
    </row>
    <row r="21" spans="1:9">
      <c r="A21" s="3054" t="s">
        <v>1029</v>
      </c>
      <c r="B21" s="3057"/>
      <c r="C21" s="3057"/>
      <c r="D21" s="3057"/>
      <c r="E21" s="3057"/>
      <c r="F21" s="3057"/>
      <c r="G21" s="3057"/>
      <c r="H21" s="1405">
        <v>0.1</v>
      </c>
      <c r="I21" s="1398">
        <f>ROUND(I10*H21,0)</f>
        <v>0</v>
      </c>
    </row>
    <row r="22" spans="1:9" ht="14.25">
      <c r="A22" s="3058" t="s">
        <v>1030</v>
      </c>
      <c r="B22" s="3059"/>
      <c r="C22" s="3060"/>
      <c r="D22" s="1406" t="s">
        <v>1004</v>
      </c>
      <c r="E22" s="1406" t="s">
        <v>1005</v>
      </c>
      <c r="F22" s="1407" t="s">
        <v>980</v>
      </c>
      <c r="G22" s="1407" t="s">
        <v>1006</v>
      </c>
      <c r="H22" s="1399" t="s">
        <v>994</v>
      </c>
      <c r="I22" s="1390" t="s">
        <v>981</v>
      </c>
    </row>
    <row r="23" spans="1:9" ht="14.25" thickBot="1">
      <c r="A23" s="3061"/>
      <c r="B23" s="3062"/>
      <c r="C23" s="3063"/>
      <c r="D23" s="1408"/>
      <c r="E23" s="1408"/>
      <c r="F23" s="1408"/>
      <c r="G23" s="1409"/>
      <c r="H23" s="1410"/>
      <c r="I23" s="1411">
        <f>ROUND(E23*D23*F23*(1-G23)/10000,0)</f>
        <v>0</v>
      </c>
    </row>
    <row r="26" spans="1:9">
      <c r="A26" s="1412" t="s">
        <v>1007</v>
      </c>
      <c r="B26" s="1412"/>
      <c r="C26" s="1412"/>
      <c r="D26" s="1412"/>
      <c r="E26" s="3051">
        <f>C27-C30-C31-C32</f>
        <v>0</v>
      </c>
      <c r="F26" s="3051"/>
      <c r="G26" s="3051"/>
      <c r="H26" s="1830" t="s">
        <v>1221</v>
      </c>
    </row>
    <row r="27" spans="1:9">
      <c r="A27" s="1413">
        <v>1</v>
      </c>
      <c r="B27" s="1414" t="s">
        <v>1008</v>
      </c>
      <c r="C27" s="1414">
        <f>C28+C29</f>
        <v>0</v>
      </c>
      <c r="D27" s="1414"/>
      <c r="E27" s="3052"/>
      <c r="F27" s="3052"/>
      <c r="G27" s="3052"/>
    </row>
    <row r="28" spans="1:9">
      <c r="A28" s="1415" t="s">
        <v>1009</v>
      </c>
      <c r="B28" s="1414" t="s">
        <v>1010</v>
      </c>
      <c r="C28" s="1414"/>
      <c r="D28" s="1414"/>
      <c r="E28" s="3052"/>
      <c r="F28" s="3052"/>
      <c r="G28" s="305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53"/>
      <c r="F32" s="3053"/>
      <c r="G32" s="3053"/>
    </row>
    <row r="33" spans="1:7" hidden="1">
      <c r="A33" s="3048" t="s">
        <v>1019</v>
      </c>
      <c r="B33" s="3049"/>
      <c r="C33" s="3049"/>
      <c r="D33" s="3050"/>
      <c r="E33" s="3051"/>
      <c r="F33" s="3051"/>
      <c r="G33" s="3051"/>
    </row>
    <row r="34" spans="1:7" hidden="1">
      <c r="A34" s="1417">
        <v>1</v>
      </c>
      <c r="B34" s="1414" t="s">
        <v>1020</v>
      </c>
      <c r="C34" s="1414"/>
      <c r="D34" s="1414"/>
      <c r="E34" s="3052"/>
      <c r="F34" s="3052"/>
      <c r="G34" s="3052"/>
    </row>
    <row r="35" spans="1:7" hidden="1">
      <c r="A35" s="1417">
        <v>2</v>
      </c>
      <c r="B35" s="1414" t="s">
        <v>1021</v>
      </c>
      <c r="C35" s="1414"/>
      <c r="D35" s="1414"/>
      <c r="E35" s="3052"/>
      <c r="F35" s="3052"/>
      <c r="G35" s="3052"/>
    </row>
    <row r="36" spans="1:7" hidden="1">
      <c r="A36" s="1417">
        <v>3</v>
      </c>
      <c r="B36" s="1414" t="s">
        <v>1022</v>
      </c>
      <c r="C36" s="1414"/>
      <c r="D36" s="1414"/>
      <c r="E36" s="3052"/>
      <c r="F36" s="3052"/>
      <c r="G36" s="3052"/>
    </row>
    <row r="37" spans="1:7" hidden="1">
      <c r="A37" s="1417">
        <v>4</v>
      </c>
      <c r="B37" s="1414" t="s">
        <v>1023</v>
      </c>
      <c r="C37" s="1414"/>
      <c r="D37" s="1414"/>
      <c r="E37" s="3052"/>
      <c r="F37" s="3052"/>
      <c r="G37" s="3052"/>
    </row>
    <row r="38" spans="1:7" hidden="1">
      <c r="A38" s="3048" t="s">
        <v>1024</v>
      </c>
      <c r="B38" s="3049"/>
      <c r="C38" s="3049"/>
      <c r="D38" s="3050"/>
      <c r="E38" s="3051"/>
      <c r="F38" s="3051"/>
      <c r="G38" s="30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2293</v>
      </c>
      <c r="B3" s="334" t="e">
        <f>B24</f>
        <v>#DIV/0!</v>
      </c>
      <c r="C3" s="1183" t="s">
        <v>2294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2295</v>
      </c>
      <c r="C4" s="3072" t="s">
        <v>2296</v>
      </c>
      <c r="D4" s="3073"/>
      <c r="E4" s="3073"/>
      <c r="F4" s="3073"/>
      <c r="G4" s="3073"/>
      <c r="H4" s="3073"/>
      <c r="I4" s="3073"/>
      <c r="J4" s="3073"/>
      <c r="K4" s="3073"/>
      <c r="L4" s="3073"/>
      <c r="M4" s="3073"/>
      <c r="N4" s="3073"/>
      <c r="O4" s="3073"/>
      <c r="P4" s="3073"/>
      <c r="Q4" s="3073"/>
      <c r="R4" s="3073"/>
      <c r="S4" s="3074"/>
      <c r="T4" s="678" t="s">
        <v>2297</v>
      </c>
      <c r="U4" s="1312"/>
      <c r="V4" s="1312"/>
      <c r="X4" s="1312"/>
      <c r="Y4" s="1312"/>
    </row>
    <row r="5" spans="1:44" s="692" customFormat="1">
      <c r="A5" s="1322"/>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2299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9" t="s">
        <v>2305</v>
      </c>
      <c r="B20" s="2360" t="s">
        <v>2306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1" t="s">
        <v>2307</v>
      </c>
      <c r="G22" s="1868"/>
      <c r="H22" s="1868"/>
      <c r="I22" s="1868"/>
      <c r="J22" s="1869"/>
      <c r="K22" s="84"/>
      <c r="L22" s="84"/>
      <c r="M22" s="84"/>
      <c r="N22" s="84"/>
      <c r="O22" s="84"/>
      <c r="P22" s="84"/>
      <c r="Q22" s="84"/>
      <c r="R22" s="769"/>
      <c r="S22" s="54"/>
      <c r="T22" s="54"/>
      <c r="U22" s="1312"/>
      <c r="V22" s="1313"/>
      <c r="W22" s="801"/>
      <c r="X22" s="36"/>
      <c r="Y22" s="36"/>
      <c r="Z22" s="801"/>
    </row>
    <row r="23" spans="1:45" ht="16.5" thickBot="1">
      <c r="A23" s="165" t="s">
        <v>2308</v>
      </c>
      <c r="B23" s="308">
        <f>IF(F23="——",IF(C23="万元",T25,S25),IF(C23="万元",T25-H23,S25-H23))</f>
        <v>0</v>
      </c>
      <c r="C23" s="2362" t="str">
        <f>'数据-取费表'!B3</f>
        <v>元</v>
      </c>
      <c r="D23" s="84"/>
      <c r="E23" s="84"/>
      <c r="F23" s="2363" t="s">
        <v>1241</v>
      </c>
      <c r="G23" s="1870"/>
      <c r="H23" s="678" t="e">
        <f ca="1">SUMIF(INDIRECT("'"&amp;J23&amp;"'"&amp;"!A:A"),"承租人权益价值",INDIRECT("'"&amp;J23&amp;"'"&amp;"!c:c"))</f>
        <v>#REF!</v>
      </c>
      <c r="I23" s="678" t="str">
        <f>C2</f>
        <v>元</v>
      </c>
      <c r="J23" s="2364"/>
      <c r="K23" s="84"/>
      <c r="L23" s="84"/>
      <c r="M23" s="84"/>
      <c r="N23" s="84"/>
      <c r="O23" s="84"/>
      <c r="P23" s="84"/>
      <c r="Q23" s="84"/>
      <c r="R23" s="769"/>
      <c r="S23" s="54"/>
      <c r="T23" s="54"/>
      <c r="V23" s="1313"/>
      <c r="W23" s="801"/>
      <c r="X23" s="36"/>
      <c r="Y23" s="36"/>
      <c r="Z23" s="801"/>
    </row>
    <row r="24" spans="1:45" ht="15.75">
      <c r="A24" s="2362" t="s">
        <v>2309</v>
      </c>
      <c r="B24" s="308" t="e">
        <f>R25</f>
        <v>#DIV/0!</v>
      </c>
      <c r="C24" s="1144"/>
      <c r="D24" s="84"/>
      <c r="E24" s="84"/>
      <c r="F24" s="84"/>
      <c r="G24" s="84"/>
      <c r="H24" s="84"/>
      <c r="I24" s="84"/>
      <c r="J24" s="84"/>
      <c r="K24" s="84"/>
      <c r="L24" s="84"/>
      <c r="M24" s="84"/>
      <c r="N24" s="84"/>
      <c r="O24" s="84"/>
      <c r="P24" s="84"/>
      <c r="Q24" s="84"/>
      <c r="R24" s="769"/>
      <c r="S24" s="14" t="s">
        <v>2310</v>
      </c>
      <c r="T24" s="1887" t="s">
        <v>2311</v>
      </c>
      <c r="U24" s="2365" t="s">
        <v>2312</v>
      </c>
      <c r="V24" s="1342"/>
      <c r="W24" s="2366" t="s">
        <v>2313</v>
      </c>
      <c r="X24" s="2365" t="s">
        <v>2314</v>
      </c>
      <c r="Y24" s="1342"/>
      <c r="Z24" s="2367" t="s">
        <v>2313</v>
      </c>
    </row>
    <row r="25" spans="1:45">
      <c r="A25" s="334" t="s">
        <v>2315</v>
      </c>
      <c r="B25" s="14">
        <f>SUM(B27:B10000)</f>
        <v>0</v>
      </c>
      <c r="C25" s="3069" t="s">
        <v>45</v>
      </c>
      <c r="D25" s="3070"/>
      <c r="E25" s="3070"/>
      <c r="F25" s="3070"/>
      <c r="G25" s="3070"/>
      <c r="H25" s="3070"/>
      <c r="I25" s="3070"/>
      <c r="J25" s="3070"/>
      <c r="K25" s="3070"/>
      <c r="L25" s="3070"/>
      <c r="M25" s="3070"/>
      <c r="N25" s="3070"/>
      <c r="O25" s="3070"/>
      <c r="P25" s="3070"/>
      <c r="Q25" s="307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3" t="s">
        <v>2321</v>
      </c>
      <c r="V26" s="2369" t="s">
        <v>2322</v>
      </c>
      <c r="W26" s="2370" t="s">
        <v>2323</v>
      </c>
      <c r="X26" s="1873" t="s">
        <v>2321</v>
      </c>
      <c r="Y26" s="2369" t="s">
        <v>2322</v>
      </c>
      <c r="Z26" s="2370"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2325</v>
      </c>
      <c r="B1" s="1735" t="s">
        <v>2326</v>
      </c>
      <c r="C1" s="1727"/>
      <c r="D1" s="2371"/>
      <c r="E1" s="2372"/>
      <c r="F1" s="1741" t="s">
        <v>2327</v>
      </c>
      <c r="G1" s="1740"/>
      <c r="H1" s="1740"/>
      <c r="I1" s="1740"/>
      <c r="J1" s="1740"/>
      <c r="K1" s="1742"/>
      <c r="L1" s="1734"/>
      <c r="M1" s="1735"/>
      <c r="N1" s="1735"/>
      <c r="O1" s="1735"/>
      <c r="P1" s="2373"/>
      <c r="Q1" s="1736"/>
      <c r="R1" s="1736"/>
      <c r="S1" s="1736"/>
      <c r="T1" s="1736"/>
      <c r="U1" s="1736"/>
      <c r="V1" s="1736"/>
      <c r="W1" s="1736"/>
      <c r="X1" s="1736"/>
      <c r="Y1" s="1736"/>
      <c r="Z1" s="1736"/>
      <c r="AA1" s="1736"/>
      <c r="AB1" s="1736"/>
      <c r="AC1" s="1737"/>
    </row>
    <row r="2" spans="1:29" s="372" customFormat="1" ht="28.5" customHeight="1" thickTop="1">
      <c r="A2" s="1728" t="s">
        <v>1994</v>
      </c>
      <c r="B2" s="172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80"/>
      <c r="I2" s="980"/>
      <c r="J2" s="980"/>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1995</v>
      </c>
      <c r="B3" s="378" t="e">
        <f ca="1">ROUND(IF(D2="——",C49,IF(C2="万元",B2*10000/D3,B2/D3)),0)</f>
        <v>#DIV/0!</v>
      </c>
      <c r="C3" s="379" t="s">
        <v>2328</v>
      </c>
      <c r="D3" s="378">
        <f>IF(C1="仅计算典型户型",'数据-取费表'!E5,'数据-取费表'!B5)</f>
        <v>110</v>
      </c>
      <c r="E3" s="980"/>
      <c r="F3" s="2383"/>
      <c r="G3" s="980"/>
      <c r="H3" s="980"/>
      <c r="I3" s="980"/>
      <c r="J3" s="980"/>
      <c r="K3" s="2377"/>
      <c r="L3" s="2378"/>
      <c r="M3" s="2379"/>
      <c r="N3" s="2379"/>
      <c r="O3" s="2379"/>
      <c r="P3" s="2384"/>
      <c r="Q3" s="2381"/>
      <c r="R3" s="2381"/>
      <c r="S3" s="2381"/>
      <c r="T3" s="2381"/>
      <c r="U3" s="2381"/>
      <c r="V3" s="2381"/>
      <c r="W3" s="2381"/>
      <c r="X3" s="2381"/>
      <c r="Y3" s="2381"/>
      <c r="Z3" s="2381"/>
      <c r="AA3" s="2381"/>
      <c r="AB3" s="2381"/>
      <c r="AC3" s="1358"/>
    </row>
    <row r="4" spans="1:29" ht="15">
      <c r="A4" s="380" t="s">
        <v>2329</v>
      </c>
      <c r="B4" s="381"/>
      <c r="C4" s="3108" t="s">
        <v>2330</v>
      </c>
      <c r="D4" s="3109"/>
      <c r="E4" s="3110" t="s">
        <v>2331</v>
      </c>
      <c r="F4" s="3111"/>
      <c r="G4" s="3108" t="s">
        <v>2332</v>
      </c>
      <c r="H4" s="3109"/>
      <c r="I4" s="3108" t="s">
        <v>2333</v>
      </c>
      <c r="J4" s="3109"/>
      <c r="K4" s="2385" t="s">
        <v>2334</v>
      </c>
      <c r="L4" s="1243"/>
      <c r="M4" s="1244"/>
      <c r="N4" s="1244"/>
      <c r="O4" s="1244"/>
      <c r="P4" s="3112" t="s">
        <v>2335</v>
      </c>
      <c r="Q4" s="3113"/>
      <c r="R4" s="3097" t="s">
        <v>2331</v>
      </c>
      <c r="S4" s="3098"/>
      <c r="T4" s="3097" t="s">
        <v>2332</v>
      </c>
      <c r="U4" s="3098"/>
      <c r="V4" s="3118" t="s">
        <v>2333</v>
      </c>
      <c r="W4" s="3118"/>
      <c r="X4" s="1890"/>
      <c r="Y4" s="3097" t="s">
        <v>2335</v>
      </c>
      <c r="Z4" s="3098"/>
      <c r="AA4" s="3105" t="s">
        <v>2331</v>
      </c>
      <c r="AB4" s="3105" t="s">
        <v>2332</v>
      </c>
      <c r="AC4" s="3105" t="s">
        <v>2333</v>
      </c>
    </row>
    <row r="5" spans="1:29" ht="15">
      <c r="A5" s="383"/>
      <c r="B5" s="384"/>
      <c r="C5" s="3093" t="s">
        <v>2336</v>
      </c>
      <c r="D5" s="3094"/>
      <c r="E5" s="3119" t="s">
        <v>2337</v>
      </c>
      <c r="F5" s="3120"/>
      <c r="G5" s="3093" t="s">
        <v>2338</v>
      </c>
      <c r="H5" s="3094"/>
      <c r="I5" s="3093" t="s">
        <v>2339</v>
      </c>
      <c r="J5" s="3094"/>
      <c r="K5" s="2386"/>
      <c r="L5" s="1243"/>
      <c r="M5" s="1244"/>
      <c r="N5" s="1244"/>
      <c r="O5" s="1244"/>
      <c r="P5" s="3114"/>
      <c r="Q5" s="3115"/>
      <c r="R5" s="3099"/>
      <c r="S5" s="3100"/>
      <c r="T5" s="3099"/>
      <c r="U5" s="3100"/>
      <c r="V5" s="3118"/>
      <c r="W5" s="3118"/>
      <c r="X5" s="1890"/>
      <c r="Y5" s="3099"/>
      <c r="Z5" s="3100"/>
      <c r="AA5" s="3106"/>
      <c r="AB5" s="3106"/>
      <c r="AC5" s="3106"/>
    </row>
    <row r="6" spans="1:29" ht="15.75" thickBot="1">
      <c r="A6" s="385"/>
      <c r="B6" s="386"/>
      <c r="C6" s="3091" t="s">
        <v>2340</v>
      </c>
      <c r="D6" s="3092"/>
      <c r="E6" s="3121" t="s">
        <v>2340</v>
      </c>
      <c r="F6" s="3122"/>
      <c r="G6" s="3091" t="s">
        <v>2340</v>
      </c>
      <c r="H6" s="3092"/>
      <c r="I6" s="3091" t="s">
        <v>2340</v>
      </c>
      <c r="J6" s="3092"/>
      <c r="K6" s="2386" t="s">
        <v>2341</v>
      </c>
      <c r="L6" s="1243"/>
      <c r="M6" s="1244"/>
      <c r="N6" s="1244"/>
      <c r="O6" s="1244"/>
      <c r="P6" s="3116"/>
      <c r="Q6" s="3117"/>
      <c r="R6" s="3099"/>
      <c r="S6" s="3100"/>
      <c r="T6" s="3101"/>
      <c r="U6" s="3102"/>
      <c r="V6" s="3118"/>
      <c r="W6" s="3118"/>
      <c r="X6" s="1890"/>
      <c r="Y6" s="3101"/>
      <c r="Z6" s="3102"/>
      <c r="AA6" s="3107"/>
      <c r="AB6" s="3107"/>
      <c r="AC6" s="3107"/>
    </row>
    <row r="7" spans="1:29" s="35" customFormat="1" ht="15.75" thickBot="1">
      <c r="A7" s="387" t="s">
        <v>2342</v>
      </c>
      <c r="B7" s="388"/>
      <c r="C7" s="389">
        <f>'数据-取费表'!B2</f>
        <v>43077</v>
      </c>
      <c r="D7" s="390">
        <v>100</v>
      </c>
      <c r="E7" s="391"/>
      <c r="F7" s="392">
        <f>SUMIF(58:58,YEAR(E7)&amp;"-"&amp;MONTH(E7),59:59)</f>
        <v>0</v>
      </c>
      <c r="G7" s="391"/>
      <c r="H7" s="390">
        <f>SUMIF(58:58,YEAR(G7)&amp;"-"&amp;MONTH(G7),59:59)</f>
        <v>0</v>
      </c>
      <c r="I7" s="391"/>
      <c r="J7" s="390">
        <f>SUMIF(58:58,YEAR(I7)&amp;"-"&amp;MONTH(I7),59:59)</f>
        <v>0</v>
      </c>
      <c r="K7" s="2387"/>
      <c r="L7" s="1245"/>
      <c r="M7" s="1246"/>
      <c r="N7" s="1246"/>
      <c r="O7" s="1246"/>
      <c r="P7" s="3095" t="s">
        <v>2343</v>
      </c>
      <c r="Q7" s="3103"/>
      <c r="R7" s="749" t="s">
        <v>34</v>
      </c>
      <c r="S7" s="750">
        <f t="shared" ref="S7:S15" si="0">F7</f>
        <v>0</v>
      </c>
      <c r="T7" s="749" t="s">
        <v>34</v>
      </c>
      <c r="U7" s="750">
        <f t="shared" ref="U7:U15" si="1">H7</f>
        <v>0</v>
      </c>
      <c r="V7" s="749" t="s">
        <v>34</v>
      </c>
      <c r="W7" s="750">
        <f t="shared" ref="W7:W15" si="2">J7</f>
        <v>0</v>
      </c>
      <c r="X7" s="751"/>
      <c r="Y7" s="3095" t="s">
        <v>2343</v>
      </c>
      <c r="Z7" s="3096"/>
      <c r="AA7" s="752" t="e">
        <f>D7/F7</f>
        <v>#DIV/0!</v>
      </c>
      <c r="AB7" s="752" t="e">
        <f>D7/H7</f>
        <v>#DIV/0!</v>
      </c>
      <c r="AC7" s="752" t="e">
        <f>D7/J7</f>
        <v>#DIV/0!</v>
      </c>
    </row>
    <row r="8" spans="1:29" s="35" customFormat="1" ht="15.75" thickBot="1">
      <c r="A8" s="387" t="s">
        <v>2344</v>
      </c>
      <c r="B8" s="388"/>
      <c r="C8" s="394" t="s">
        <v>2345</v>
      </c>
      <c r="D8" s="390">
        <v>100</v>
      </c>
      <c r="E8" s="2388"/>
      <c r="F8" s="392">
        <f>SUMIF(61:61,E8,62:62)-SUMIF(61:61,C8,62:62)+100</f>
        <v>0</v>
      </c>
      <c r="G8" s="394"/>
      <c r="H8" s="390">
        <f>SUMIF(61:61,G8,62:62)-SUMIF(61:61,C8,62:62)+100</f>
        <v>0</v>
      </c>
      <c r="I8" s="2388"/>
      <c r="J8" s="390">
        <f>SUMIF(61:61,I8,62:62)-SUMIF(61:61,C8,62:62)+100</f>
        <v>0</v>
      </c>
      <c r="K8" s="2387"/>
      <c r="L8" s="1245"/>
      <c r="M8" s="1246"/>
      <c r="N8" s="1246"/>
      <c r="O8" s="1246"/>
      <c r="P8" s="3095" t="s">
        <v>2346</v>
      </c>
      <c r="Q8" s="3096"/>
      <c r="R8" s="749" t="s">
        <v>34</v>
      </c>
      <c r="S8" s="750">
        <f t="shared" si="0"/>
        <v>0</v>
      </c>
      <c r="T8" s="749" t="s">
        <v>34</v>
      </c>
      <c r="U8" s="750">
        <f t="shared" si="1"/>
        <v>0</v>
      </c>
      <c r="V8" s="749" t="s">
        <v>34</v>
      </c>
      <c r="W8" s="750">
        <f t="shared" si="2"/>
        <v>0</v>
      </c>
      <c r="X8" s="751"/>
      <c r="Y8" s="3095" t="s">
        <v>2346</v>
      </c>
      <c r="Z8" s="3096"/>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9"/>
      <c r="H9" s="51">
        <f>SUMIF(63:63,G9,64:64)-SUMIF(63:63,C9,64:64)+100</f>
        <v>100</v>
      </c>
      <c r="I9" s="399"/>
      <c r="J9" s="51">
        <f>SUMIF(63:63,I9,64:64)-SUMIF(63:63,C9,64:64)+100</f>
        <v>100</v>
      </c>
      <c r="K9" s="2387"/>
      <c r="L9" s="1245"/>
      <c r="M9" s="1246"/>
      <c r="N9" s="1246"/>
      <c r="O9" s="1246"/>
      <c r="P9" s="3104" t="s">
        <v>2349</v>
      </c>
      <c r="Q9" s="1877" t="str">
        <f t="shared" ref="Q9:Q15" si="6">B9</f>
        <v>用途</v>
      </c>
      <c r="R9" s="749" t="s">
        <v>25</v>
      </c>
      <c r="S9" s="750">
        <f t="shared" si="0"/>
        <v>100</v>
      </c>
      <c r="T9" s="749" t="s">
        <v>25</v>
      </c>
      <c r="U9" s="750">
        <f t="shared" si="1"/>
        <v>100</v>
      </c>
      <c r="V9" s="749" t="s">
        <v>25</v>
      </c>
      <c r="W9" s="750">
        <f t="shared" si="2"/>
        <v>100</v>
      </c>
      <c r="X9" s="751"/>
      <c r="Y9" s="290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104"/>
      <c r="Q10" s="1877" t="str">
        <f t="shared" si="6"/>
        <v>土地使用年限（年）</v>
      </c>
      <c r="R10" s="749" t="s">
        <v>25</v>
      </c>
      <c r="S10" s="750">
        <f t="shared" si="0"/>
        <v>100</v>
      </c>
      <c r="T10" s="749" t="s">
        <v>25</v>
      </c>
      <c r="U10" s="750">
        <f t="shared" si="1"/>
        <v>100</v>
      </c>
      <c r="V10" s="749" t="s">
        <v>25</v>
      </c>
      <c r="W10" s="750">
        <f t="shared" si="2"/>
        <v>100</v>
      </c>
      <c r="X10" s="751"/>
      <c r="Y10" s="2907"/>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104"/>
      <c r="Q11" s="1877" t="str">
        <f t="shared" si="6"/>
        <v>容积率</v>
      </c>
      <c r="R11" s="749" t="s">
        <v>28</v>
      </c>
      <c r="S11" s="750" t="e">
        <f t="shared" si="0"/>
        <v>#N/A</v>
      </c>
      <c r="T11" s="749" t="s">
        <v>28</v>
      </c>
      <c r="U11" s="750" t="e">
        <f t="shared" si="1"/>
        <v>#N/A</v>
      </c>
      <c r="V11" s="749" t="s">
        <v>28</v>
      </c>
      <c r="W11" s="750" t="e">
        <f t="shared" si="2"/>
        <v>#N/A</v>
      </c>
      <c r="X11" s="751"/>
      <c r="Y11" s="2907"/>
      <c r="Z11" s="23" t="str">
        <f t="shared" si="7"/>
        <v>容积率</v>
      </c>
      <c r="AA11" s="752" t="e">
        <f t="shared" si="3"/>
        <v>#N/A</v>
      </c>
      <c r="AB11" s="752" t="e">
        <f t="shared" si="4"/>
        <v>#N/A</v>
      </c>
      <c r="AC11" s="752" t="e">
        <f t="shared" si="5"/>
        <v>#N/A</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45"/>
      <c r="M12" s="1246"/>
      <c r="N12" s="1246"/>
      <c r="O12" s="1246"/>
      <c r="P12" s="3104"/>
      <c r="Q12" s="1877">
        <f t="shared" si="6"/>
        <v>111</v>
      </c>
      <c r="R12" s="749" t="s">
        <v>28</v>
      </c>
      <c r="S12" s="750">
        <f t="shared" si="0"/>
        <v>100</v>
      </c>
      <c r="T12" s="749" t="s">
        <v>28</v>
      </c>
      <c r="U12" s="750">
        <f t="shared" si="1"/>
        <v>100</v>
      </c>
      <c r="V12" s="749" t="s">
        <v>28</v>
      </c>
      <c r="W12" s="750">
        <f t="shared" si="2"/>
        <v>100</v>
      </c>
      <c r="X12" s="751"/>
      <c r="Y12" s="2907"/>
      <c r="Z12" s="23">
        <f t="shared" si="7"/>
        <v>111</v>
      </c>
      <c r="AA12" s="752">
        <f>D12/F12</f>
        <v>1</v>
      </c>
      <c r="AB12" s="752">
        <f>D12/H12</f>
        <v>1</v>
      </c>
      <c r="AC12" s="752">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53"/>
      <c r="M13" s="1244"/>
      <c r="N13" s="1244"/>
      <c r="O13" s="1244"/>
      <c r="P13" s="3104"/>
      <c r="Q13" s="1877">
        <f t="shared" si="6"/>
        <v>111</v>
      </c>
      <c r="R13" s="749" t="s">
        <v>28</v>
      </c>
      <c r="S13" s="750">
        <f t="shared" si="0"/>
        <v>100</v>
      </c>
      <c r="T13" s="749" t="s">
        <v>28</v>
      </c>
      <c r="U13" s="750">
        <f t="shared" si="1"/>
        <v>100</v>
      </c>
      <c r="V13" s="749" t="s">
        <v>28</v>
      </c>
      <c r="W13" s="750">
        <f t="shared" si="2"/>
        <v>100</v>
      </c>
      <c r="X13" s="751"/>
      <c r="Y13" s="2907"/>
      <c r="Z13" s="23">
        <f t="shared" si="7"/>
        <v>111</v>
      </c>
      <c r="AA13" s="752">
        <f t="shared" si="3"/>
        <v>1</v>
      </c>
      <c r="AB13" s="752">
        <f t="shared" si="4"/>
        <v>1</v>
      </c>
      <c r="AC13" s="752">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53"/>
      <c r="M14" s="1244"/>
      <c r="N14" s="1244"/>
      <c r="O14" s="1244"/>
      <c r="P14" s="3104"/>
      <c r="Q14" s="1877">
        <f t="shared" si="6"/>
        <v>111</v>
      </c>
      <c r="R14" s="749" t="s">
        <v>28</v>
      </c>
      <c r="S14" s="750">
        <f t="shared" si="0"/>
        <v>100</v>
      </c>
      <c r="T14" s="749" t="s">
        <v>28</v>
      </c>
      <c r="U14" s="750">
        <f t="shared" si="1"/>
        <v>100</v>
      </c>
      <c r="V14" s="749" t="s">
        <v>28</v>
      </c>
      <c r="W14" s="750">
        <f t="shared" si="2"/>
        <v>100</v>
      </c>
      <c r="X14" s="751"/>
      <c r="Y14" s="2907"/>
      <c r="Z14" s="23">
        <f t="shared" si="7"/>
        <v>111</v>
      </c>
      <c r="AA14" s="752">
        <f t="shared" si="3"/>
        <v>1</v>
      </c>
      <c r="AB14" s="752">
        <f t="shared" si="4"/>
        <v>1</v>
      </c>
      <c r="AC14" s="752">
        <f t="shared" si="5"/>
        <v>1</v>
      </c>
    </row>
    <row r="15" spans="1:29" ht="99.75">
      <c r="A15" s="419" t="s">
        <v>2353</v>
      </c>
      <c r="B15" s="26" t="s">
        <v>1727</v>
      </c>
      <c r="C15" s="239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82" t="s">
        <v>2354</v>
      </c>
      <c r="Q15" s="1889" t="str">
        <f t="shared" si="6"/>
        <v>居住社区成熟度</v>
      </c>
      <c r="R15" s="753" t="s">
        <v>28</v>
      </c>
      <c r="S15" s="754">
        <f t="shared" si="0"/>
        <v>100</v>
      </c>
      <c r="T15" s="753" t="s">
        <v>28</v>
      </c>
      <c r="U15" s="754">
        <f t="shared" si="1"/>
        <v>100</v>
      </c>
      <c r="V15" s="753" t="s">
        <v>28</v>
      </c>
      <c r="W15" s="754">
        <f t="shared" si="2"/>
        <v>100</v>
      </c>
      <c r="X15" s="1890"/>
      <c r="Y15" s="3084" t="s">
        <v>2354</v>
      </c>
      <c r="Z15" s="1892" t="str">
        <f t="shared" si="7"/>
        <v>居住社区成熟度</v>
      </c>
      <c r="AA15" s="1893">
        <f t="shared" si="3"/>
        <v>1</v>
      </c>
      <c r="AB15" s="1893">
        <f t="shared" si="4"/>
        <v>1</v>
      </c>
      <c r="AC15" s="1893">
        <f t="shared" si="5"/>
        <v>1</v>
      </c>
    </row>
    <row r="16" spans="1:29" ht="15">
      <c r="A16" s="408"/>
      <c r="B16" s="425"/>
      <c r="C16" s="426"/>
      <c r="D16" s="427"/>
      <c r="E16" s="428"/>
      <c r="F16" s="429"/>
      <c r="G16" s="2394"/>
      <c r="H16" s="430"/>
      <c r="I16" s="428"/>
      <c r="J16" s="427"/>
      <c r="K16" s="2395"/>
      <c r="L16" s="1253"/>
      <c r="M16" s="1244"/>
      <c r="N16" s="1244"/>
      <c r="O16" s="1244"/>
      <c r="P16" s="3083"/>
      <c r="Q16" s="1889"/>
      <c r="R16" s="753"/>
      <c r="S16" s="754"/>
      <c r="T16" s="753"/>
      <c r="U16" s="754"/>
      <c r="V16" s="753"/>
      <c r="W16" s="754"/>
      <c r="X16" s="1890"/>
      <c r="Y16" s="3085"/>
      <c r="Z16" s="1892"/>
      <c r="AA16" s="1893">
        <v>1</v>
      </c>
      <c r="AB16" s="1893">
        <v>1</v>
      </c>
      <c r="AC16" s="1893">
        <v>1</v>
      </c>
    </row>
    <row r="17" spans="1:29" ht="114">
      <c r="A17" s="408"/>
      <c r="B17" s="431" t="s">
        <v>1737</v>
      </c>
      <c r="C17" s="2396" t="str">
        <f>估价对象房地状况!C6</f>
        <v>周边2公里内最高级别道路高速公路—G6，周边遍布十余条公交站点及地铁10号线（牡丹园站）等，综合评价交通便捷度较好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83"/>
      <c r="Q17" s="1889" t="str">
        <f>B17</f>
        <v>交通便捷度</v>
      </c>
      <c r="R17" s="753" t="s">
        <v>28</v>
      </c>
      <c r="S17" s="754">
        <f>F17</f>
        <v>100</v>
      </c>
      <c r="T17" s="753" t="s">
        <v>28</v>
      </c>
      <c r="U17" s="754">
        <f>H17</f>
        <v>100</v>
      </c>
      <c r="V17" s="753" t="s">
        <v>28</v>
      </c>
      <c r="W17" s="754">
        <f>J17</f>
        <v>100</v>
      </c>
      <c r="X17" s="1890"/>
      <c r="Y17" s="3085"/>
      <c r="Z17" s="1892" t="str">
        <f>Q17</f>
        <v>交通便捷度</v>
      </c>
      <c r="AA17" s="1893">
        <f t="shared" si="3"/>
        <v>1</v>
      </c>
      <c r="AB17" s="1893">
        <f t="shared" si="4"/>
        <v>1</v>
      </c>
      <c r="AC17" s="1893">
        <f t="shared" si="5"/>
        <v>1</v>
      </c>
    </row>
    <row r="18" spans="1:29" ht="15">
      <c r="A18" s="408"/>
      <c r="B18" s="436"/>
      <c r="C18" s="437"/>
      <c r="D18" s="430"/>
      <c r="E18" s="1468"/>
      <c r="F18" s="433"/>
      <c r="G18" s="2397"/>
      <c r="H18" s="427"/>
      <c r="I18" s="1468"/>
      <c r="J18" s="427"/>
      <c r="K18" s="2395"/>
      <c r="L18" s="1253"/>
      <c r="M18" s="1244"/>
      <c r="N18" s="1244"/>
      <c r="O18" s="1244"/>
      <c r="P18" s="3083"/>
      <c r="Q18" s="1889"/>
      <c r="R18" s="753"/>
      <c r="S18" s="754"/>
      <c r="T18" s="753"/>
      <c r="U18" s="754"/>
      <c r="V18" s="753"/>
      <c r="W18" s="754"/>
      <c r="X18" s="1890"/>
      <c r="Y18" s="3085"/>
      <c r="Z18" s="1892"/>
      <c r="AA18" s="1893">
        <v>1</v>
      </c>
      <c r="AB18" s="1893">
        <v>1</v>
      </c>
      <c r="AC18" s="1893">
        <v>1</v>
      </c>
    </row>
    <row r="19" spans="1:29" ht="85.5">
      <c r="A19" s="408"/>
      <c r="B19" s="431" t="s">
        <v>1735</v>
      </c>
      <c r="C19" s="2396" t="str">
        <f>估价对象房地状况!C7</f>
        <v>2公里内有餐饮、医院、超市、购物中心、学校等，估价对象所在区域公共配套设施较齐备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83"/>
      <c r="Q19" s="1889" t="str">
        <f>B19</f>
        <v>公共配套设施</v>
      </c>
      <c r="R19" s="753" t="s">
        <v>28</v>
      </c>
      <c r="S19" s="754">
        <f>F19</f>
        <v>100</v>
      </c>
      <c r="T19" s="753" t="s">
        <v>28</v>
      </c>
      <c r="U19" s="754">
        <f>H19</f>
        <v>100</v>
      </c>
      <c r="V19" s="753" t="s">
        <v>28</v>
      </c>
      <c r="W19" s="754">
        <f>J19</f>
        <v>100</v>
      </c>
      <c r="X19" s="1890"/>
      <c r="Y19" s="3085"/>
      <c r="Z19" s="1892" t="str">
        <f>Q19</f>
        <v>公共配套设施</v>
      </c>
      <c r="AA19" s="1893">
        <f t="shared" si="3"/>
        <v>1</v>
      </c>
      <c r="AB19" s="1893">
        <f t="shared" si="4"/>
        <v>1</v>
      </c>
      <c r="AC19" s="1893">
        <f t="shared" si="5"/>
        <v>1</v>
      </c>
    </row>
    <row r="20" spans="1:29" ht="15">
      <c r="A20" s="408"/>
      <c r="B20" s="436"/>
      <c r="C20" s="426"/>
      <c r="D20" s="427"/>
      <c r="E20" s="428"/>
      <c r="F20" s="429"/>
      <c r="G20" s="2394"/>
      <c r="H20" s="427"/>
      <c r="I20" s="428"/>
      <c r="J20" s="427"/>
      <c r="K20" s="2395"/>
      <c r="L20" s="1253"/>
      <c r="M20" s="1244"/>
      <c r="N20" s="1244"/>
      <c r="O20" s="1244"/>
      <c r="P20" s="3083"/>
      <c r="Q20" s="1889"/>
      <c r="R20" s="753"/>
      <c r="S20" s="754"/>
      <c r="T20" s="753"/>
      <c r="U20" s="754"/>
      <c r="V20" s="753"/>
      <c r="W20" s="754"/>
      <c r="X20" s="1890"/>
      <c r="Y20" s="3085"/>
      <c r="Z20" s="1892"/>
      <c r="AA20" s="1893">
        <v>1</v>
      </c>
      <c r="AB20" s="1893">
        <v>1</v>
      </c>
      <c r="AC20" s="1893">
        <v>1</v>
      </c>
    </row>
    <row r="21" spans="1:29" ht="15">
      <c r="A21" s="408"/>
      <c r="B21" s="2398" t="s">
        <v>1738</v>
      </c>
      <c r="C21" s="2396"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83"/>
      <c r="Q21" s="1889" t="str">
        <f>B21</f>
        <v>基础设施水平</v>
      </c>
      <c r="R21" s="753" t="s">
        <v>28</v>
      </c>
      <c r="S21" s="754">
        <f>F21</f>
        <v>100</v>
      </c>
      <c r="T21" s="753" t="s">
        <v>28</v>
      </c>
      <c r="U21" s="754">
        <f>H21</f>
        <v>100</v>
      </c>
      <c r="V21" s="753" t="s">
        <v>28</v>
      </c>
      <c r="W21" s="754">
        <f>J21</f>
        <v>100</v>
      </c>
      <c r="X21" s="1890"/>
      <c r="Y21" s="3085"/>
      <c r="Z21" s="1892" t="str">
        <f>Q21</f>
        <v>基础设施水平</v>
      </c>
      <c r="AA21" s="1893">
        <f t="shared" ref="AA21" si="8">D21/F21</f>
        <v>1</v>
      </c>
      <c r="AB21" s="1893">
        <f t="shared" ref="AB21" si="9">D21/H21</f>
        <v>1</v>
      </c>
      <c r="AC21" s="1893">
        <f t="shared" ref="AC21" si="10">D21/J21</f>
        <v>1</v>
      </c>
    </row>
    <row r="22" spans="1:29" ht="15">
      <c r="A22" s="408"/>
      <c r="B22" s="2398"/>
      <c r="C22" s="437"/>
      <c r="D22" s="427"/>
      <c r="E22" s="426"/>
      <c r="F22" s="429"/>
      <c r="G22" s="426"/>
      <c r="H22" s="427"/>
      <c r="I22" s="426"/>
      <c r="J22" s="427"/>
      <c r="K22" s="2399"/>
      <c r="L22" s="1253"/>
      <c r="M22" s="1244"/>
      <c r="N22" s="1244"/>
      <c r="O22" s="1244"/>
      <c r="P22" s="3083"/>
      <c r="Q22" s="1889"/>
      <c r="R22" s="753"/>
      <c r="S22" s="754"/>
      <c r="T22" s="753"/>
      <c r="U22" s="754"/>
      <c r="V22" s="753"/>
      <c r="W22" s="754"/>
      <c r="X22" s="1890"/>
      <c r="Y22" s="3085"/>
      <c r="Z22" s="1892"/>
      <c r="AA22" s="1893">
        <v>1</v>
      </c>
      <c r="AB22" s="1893">
        <v>1</v>
      </c>
      <c r="AC22" s="1893">
        <v>1</v>
      </c>
    </row>
    <row r="23" spans="1:29" ht="71.25">
      <c r="A23" s="408"/>
      <c r="B23" s="431" t="s">
        <v>1742</v>
      </c>
      <c r="C23" s="2396" t="str">
        <f>估价对象房地状况!C9</f>
        <v>区域自然环境：元大都遗址公园；人文环境；综合评价环境状况一般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83"/>
      <c r="Q23" s="1889" t="str">
        <f>B23</f>
        <v>自然及人文环境</v>
      </c>
      <c r="R23" s="753" t="s">
        <v>28</v>
      </c>
      <c r="S23" s="754">
        <f>F23</f>
        <v>100</v>
      </c>
      <c r="T23" s="753" t="s">
        <v>28</v>
      </c>
      <c r="U23" s="754">
        <f>H23</f>
        <v>100</v>
      </c>
      <c r="V23" s="753" t="s">
        <v>28</v>
      </c>
      <c r="W23" s="754">
        <f>J23</f>
        <v>100</v>
      </c>
      <c r="X23" s="1890"/>
      <c r="Y23" s="3085"/>
      <c r="Z23" s="1892" t="str">
        <f>Q23</f>
        <v>自然及人文环境</v>
      </c>
      <c r="AA23" s="1893">
        <f t="shared" si="3"/>
        <v>1</v>
      </c>
      <c r="AB23" s="1893">
        <f t="shared" si="4"/>
        <v>1</v>
      </c>
      <c r="AC23" s="1893">
        <f t="shared" si="5"/>
        <v>1</v>
      </c>
    </row>
    <row r="24" spans="1:29" ht="15">
      <c r="A24" s="408"/>
      <c r="B24" s="436"/>
      <c r="C24" s="426"/>
      <c r="D24" s="427"/>
      <c r="E24" s="428"/>
      <c r="F24" s="429"/>
      <c r="G24" s="2394"/>
      <c r="H24" s="427"/>
      <c r="I24" s="428"/>
      <c r="J24" s="427"/>
      <c r="K24" s="2395"/>
      <c r="L24" s="1253"/>
      <c r="M24" s="1244"/>
      <c r="N24" s="1244"/>
      <c r="O24" s="1244"/>
      <c r="P24" s="3083"/>
      <c r="Q24" s="1889"/>
      <c r="R24" s="753"/>
      <c r="S24" s="754"/>
      <c r="T24" s="753"/>
      <c r="U24" s="754"/>
      <c r="V24" s="753"/>
      <c r="W24" s="754"/>
      <c r="X24" s="1890"/>
      <c r="Y24" s="3085"/>
      <c r="Z24" s="1892"/>
      <c r="AA24" s="1893">
        <v>1</v>
      </c>
      <c r="AB24" s="1893">
        <v>1</v>
      </c>
      <c r="AC24" s="1893">
        <v>1</v>
      </c>
    </row>
    <row r="25" spans="1:29" ht="15">
      <c r="A25" s="408"/>
      <c r="B25" s="402" t="s">
        <v>2355</v>
      </c>
      <c r="C25" s="441"/>
      <c r="D25" s="415">
        <v>100</v>
      </c>
      <c r="E25" s="2400"/>
      <c r="F25" s="442">
        <f>SUMIF(86:86,E25,87:87)-SUMIF(86:86,C25,87:87)+100</f>
        <v>100</v>
      </c>
      <c r="G25" s="2401"/>
      <c r="H25" s="415">
        <f>SUMIF(86:86,G25,87:87)-SUMIF(86:86,C25,87:87)+100</f>
        <v>100</v>
      </c>
      <c r="I25" s="2400"/>
      <c r="J25" s="415">
        <f>SUMIF(86:86,I25,87:87)-SUMIF(86:86,C25,87:87)+100</f>
        <v>100</v>
      </c>
      <c r="K25" s="406"/>
      <c r="L25" s="1253"/>
      <c r="M25" s="1244"/>
      <c r="N25" s="1244"/>
      <c r="O25" s="1244"/>
      <c r="P25" s="3083"/>
      <c r="Q25" s="1889" t="str">
        <f t="shared" ref="Q25:Q46" si="11">B25</f>
        <v>楼层-1</v>
      </c>
      <c r="R25" s="753" t="s">
        <v>28</v>
      </c>
      <c r="S25" s="754">
        <f>F25</f>
        <v>100</v>
      </c>
      <c r="T25" s="753" t="s">
        <v>28</v>
      </c>
      <c r="U25" s="754">
        <f>H25</f>
        <v>100</v>
      </c>
      <c r="V25" s="753" t="s">
        <v>28</v>
      </c>
      <c r="W25" s="754">
        <f>J25</f>
        <v>100</v>
      </c>
      <c r="X25" s="1890"/>
      <c r="Y25" s="3085"/>
      <c r="Z25" s="1892" t="str">
        <f>Q25</f>
        <v>楼层-1</v>
      </c>
      <c r="AA25" s="1893">
        <f t="shared" si="3"/>
        <v>1</v>
      </c>
      <c r="AB25" s="1893">
        <f t="shared" si="4"/>
        <v>1</v>
      </c>
      <c r="AC25" s="1893">
        <f t="shared" si="5"/>
        <v>1</v>
      </c>
    </row>
    <row r="26" spans="1:29" ht="15">
      <c r="A26" s="408"/>
      <c r="B26" s="402" t="s">
        <v>2356</v>
      </c>
      <c r="C26" s="441"/>
      <c r="D26" s="415">
        <v>100</v>
      </c>
      <c r="E26" s="2400"/>
      <c r="F26" s="442">
        <f>SUMIF(88:88,E26,89:89)-SUMIF(88:88,C26,89:89)+100</f>
        <v>100</v>
      </c>
      <c r="G26" s="2401"/>
      <c r="H26" s="415">
        <f>SUMIF(88:88,G26,89:89)-SUMIF(88:88,C26,89:89)+100</f>
        <v>100</v>
      </c>
      <c r="I26" s="2400"/>
      <c r="J26" s="415">
        <f>SUMIF(88:88,I26,89:89)-SUMIF(88:88,C26,89:89)+100</f>
        <v>100</v>
      </c>
      <c r="K26" s="406"/>
      <c r="L26" s="1253"/>
      <c r="M26" s="1244"/>
      <c r="N26" s="1244"/>
      <c r="O26" s="1244"/>
      <c r="P26" s="3083"/>
      <c r="Q26" s="1889" t="str">
        <f t="shared" si="11"/>
        <v>朝向</v>
      </c>
      <c r="R26" s="753" t="s">
        <v>28</v>
      </c>
      <c r="S26" s="754">
        <f>F26</f>
        <v>100</v>
      </c>
      <c r="T26" s="753" t="s">
        <v>28</v>
      </c>
      <c r="U26" s="754">
        <f>H26</f>
        <v>100</v>
      </c>
      <c r="V26" s="753" t="s">
        <v>28</v>
      </c>
      <c r="W26" s="754">
        <f>J26</f>
        <v>100</v>
      </c>
      <c r="X26" s="1890"/>
      <c r="Y26" s="3085"/>
      <c r="Z26" s="1892" t="str">
        <f>Q26</f>
        <v>朝向</v>
      </c>
      <c r="AA26" s="1893">
        <f t="shared" si="3"/>
        <v>1</v>
      </c>
      <c r="AB26" s="1893">
        <f t="shared" si="4"/>
        <v>1</v>
      </c>
      <c r="AC26" s="1893">
        <f t="shared" si="5"/>
        <v>1</v>
      </c>
    </row>
    <row r="27" spans="1:29" s="35" customFormat="1" ht="15">
      <c r="A27" s="411"/>
      <c r="B27" s="2389" t="s">
        <v>2357</v>
      </c>
      <c r="C27" s="412"/>
      <c r="D27" s="443">
        <v>100</v>
      </c>
      <c r="E27" s="444"/>
      <c r="F27" s="445">
        <f>SUMIF(90:90,E27,91:91)-SUMIF(90:90,C27,91:91)+100</f>
        <v>100</v>
      </c>
      <c r="G27" s="446"/>
      <c r="H27" s="443">
        <f>SUMIF(90:90,G27,91:91)-SUMIF(90:90,C27,91:91)+100</f>
        <v>100</v>
      </c>
      <c r="I27" s="444"/>
      <c r="J27" s="443">
        <f>SUMIF(90:90,I27,91:91)-SUMIF(90:90,C27,91:91)+100</f>
        <v>100</v>
      </c>
      <c r="K27" s="2390"/>
      <c r="L27" s="1245"/>
      <c r="M27" s="1246"/>
      <c r="N27" s="1246"/>
      <c r="O27" s="1246"/>
      <c r="P27" s="3083"/>
      <c r="Q27" s="1877" t="str">
        <f t="shared" si="11"/>
        <v>道路级别</v>
      </c>
      <c r="R27" s="749" t="s">
        <v>28</v>
      </c>
      <c r="S27" s="750">
        <f>F27</f>
        <v>100</v>
      </c>
      <c r="T27" s="749" t="s">
        <v>28</v>
      </c>
      <c r="U27" s="750">
        <f>H27</f>
        <v>100</v>
      </c>
      <c r="V27" s="749" t="s">
        <v>28</v>
      </c>
      <c r="W27" s="750">
        <f>J27</f>
        <v>100</v>
      </c>
      <c r="X27" s="751"/>
      <c r="Y27" s="3085"/>
      <c r="Z27" s="23" t="str">
        <f>Q27</f>
        <v>道路级别</v>
      </c>
      <c r="AA27" s="1893">
        <f>D27/F27</f>
        <v>1</v>
      </c>
      <c r="AB27" s="1893">
        <f>D27/H27</f>
        <v>1</v>
      </c>
      <c r="AC27" s="1893">
        <f>D27/J27</f>
        <v>1</v>
      </c>
    </row>
    <row r="28" spans="1:29" ht="15">
      <c r="A28" s="408"/>
      <c r="B28" s="2402">
        <v>111</v>
      </c>
      <c r="C28" s="414"/>
      <c r="D28" s="415">
        <v>100</v>
      </c>
      <c r="E28" s="414"/>
      <c r="F28" s="442">
        <f>SUMIF(92:92,E28,93:93)-SUMIF(92:92,C28,93:93)+100</f>
        <v>100</v>
      </c>
      <c r="G28" s="414"/>
      <c r="H28" s="415">
        <f>SUMIF(92:92,G28,93:93)-SUMIF(92:92,C28,93:93)+100</f>
        <v>100</v>
      </c>
      <c r="I28" s="414"/>
      <c r="J28" s="415">
        <f>SUMIF(92:92,I28,93:93)-SUMIF(92:92,C28,93:93)+100</f>
        <v>100</v>
      </c>
      <c r="K28" s="2390"/>
      <c r="L28" s="1253"/>
      <c r="M28" s="1244"/>
      <c r="N28" s="1244"/>
      <c r="O28" s="1244"/>
      <c r="P28" s="3083"/>
      <c r="Q28" s="1889">
        <f t="shared" si="11"/>
        <v>111</v>
      </c>
      <c r="R28" s="753" t="s">
        <v>28</v>
      </c>
      <c r="S28" s="754">
        <f t="shared" ref="S28:S46" si="12">F28</f>
        <v>100</v>
      </c>
      <c r="T28" s="753" t="s">
        <v>28</v>
      </c>
      <c r="U28" s="754">
        <f t="shared" ref="U28:U46" si="13">H28</f>
        <v>100</v>
      </c>
      <c r="V28" s="753" t="s">
        <v>28</v>
      </c>
      <c r="W28" s="754">
        <f t="shared" ref="W28:W46" si="14">J28</f>
        <v>100</v>
      </c>
      <c r="X28" s="1890"/>
      <c r="Y28" s="3085"/>
      <c r="Z28" s="1892">
        <f t="shared" ref="Z28:Z46" si="15">Q28</f>
        <v>111</v>
      </c>
      <c r="AA28" s="1893">
        <f t="shared" si="3"/>
        <v>1</v>
      </c>
      <c r="AB28" s="1893">
        <f t="shared" si="4"/>
        <v>1</v>
      </c>
      <c r="AC28" s="1893">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53"/>
      <c r="M29" s="1244"/>
      <c r="N29" s="1244"/>
      <c r="O29" s="1244"/>
      <c r="P29" s="3083"/>
      <c r="Q29" s="1889">
        <f t="shared" si="11"/>
        <v>111</v>
      </c>
      <c r="R29" s="753" t="s">
        <v>28</v>
      </c>
      <c r="S29" s="754">
        <f t="shared" si="12"/>
        <v>100</v>
      </c>
      <c r="T29" s="753" t="s">
        <v>28</v>
      </c>
      <c r="U29" s="754">
        <f t="shared" si="13"/>
        <v>100</v>
      </c>
      <c r="V29" s="753" t="s">
        <v>28</v>
      </c>
      <c r="W29" s="754">
        <f t="shared" si="14"/>
        <v>100</v>
      </c>
      <c r="X29" s="1890"/>
      <c r="Y29" s="3085"/>
      <c r="Z29" s="1892">
        <f t="shared" si="15"/>
        <v>111</v>
      </c>
      <c r="AA29" s="1893">
        <f t="shared" si="3"/>
        <v>1</v>
      </c>
      <c r="AB29" s="1893">
        <f t="shared" si="4"/>
        <v>1</v>
      </c>
      <c r="AC29" s="1893">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53"/>
      <c r="M30" s="1244"/>
      <c r="N30" s="1244"/>
      <c r="O30" s="1244"/>
      <c r="P30" s="3083"/>
      <c r="Q30" s="1889">
        <f t="shared" si="11"/>
        <v>111</v>
      </c>
      <c r="R30" s="753" t="s">
        <v>28</v>
      </c>
      <c r="S30" s="754">
        <f t="shared" si="12"/>
        <v>100</v>
      </c>
      <c r="T30" s="753" t="s">
        <v>28</v>
      </c>
      <c r="U30" s="754">
        <f t="shared" si="13"/>
        <v>100</v>
      </c>
      <c r="V30" s="753" t="s">
        <v>28</v>
      </c>
      <c r="W30" s="754">
        <f t="shared" si="14"/>
        <v>100</v>
      </c>
      <c r="X30" s="1890"/>
      <c r="Y30" s="3085"/>
      <c r="Z30" s="1892">
        <f t="shared" si="15"/>
        <v>111</v>
      </c>
      <c r="AA30" s="1893">
        <f t="shared" si="3"/>
        <v>1</v>
      </c>
      <c r="AB30" s="1893">
        <f t="shared" si="4"/>
        <v>1</v>
      </c>
      <c r="AC30" s="1893">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53"/>
      <c r="M31" s="1244"/>
      <c r="N31" s="1244"/>
      <c r="O31" s="1244"/>
      <c r="P31" s="3083"/>
      <c r="Q31" s="1889">
        <f t="shared" si="11"/>
        <v>111</v>
      </c>
      <c r="R31" s="753" t="s">
        <v>28</v>
      </c>
      <c r="S31" s="754">
        <f t="shared" si="12"/>
        <v>100</v>
      </c>
      <c r="T31" s="753" t="s">
        <v>28</v>
      </c>
      <c r="U31" s="754">
        <f t="shared" si="13"/>
        <v>100</v>
      </c>
      <c r="V31" s="753" t="s">
        <v>28</v>
      </c>
      <c r="W31" s="754">
        <f t="shared" si="14"/>
        <v>100</v>
      </c>
      <c r="X31" s="1890"/>
      <c r="Y31" s="3085"/>
      <c r="Z31" s="1892">
        <f t="shared" si="15"/>
        <v>111</v>
      </c>
      <c r="AA31" s="1893">
        <f t="shared" si="3"/>
        <v>1</v>
      </c>
      <c r="AB31" s="1893">
        <f t="shared" si="4"/>
        <v>1</v>
      </c>
      <c r="AC31" s="1893">
        <f t="shared" si="5"/>
        <v>1</v>
      </c>
    </row>
    <row r="32" spans="1:29" ht="15">
      <c r="A32" s="419" t="s">
        <v>2358</v>
      </c>
      <c r="B32" s="28" t="s">
        <v>2359</v>
      </c>
      <c r="C32" s="2403"/>
      <c r="D32" s="448">
        <v>100</v>
      </c>
      <c r="E32" s="2404"/>
      <c r="F32" s="442">
        <f>SUMIF(100:100,E32,101:101)-SUMIF(100:100,C32,101:101)+100</f>
        <v>100</v>
      </c>
      <c r="G32" s="2403"/>
      <c r="H32" s="448">
        <f>SUMIF(100:100,G32,101:101)-SUMIF(100:100,C32,101:101)+100</f>
        <v>100</v>
      </c>
      <c r="I32" s="2404"/>
      <c r="J32" s="415">
        <f>SUMIF(100:100,I32,101:101)-SUMIF(100:100,C32,101:101)+100</f>
        <v>100</v>
      </c>
      <c r="K32" s="406"/>
      <c r="L32" s="1253"/>
      <c r="M32" s="1244"/>
      <c r="N32" s="1244"/>
      <c r="O32" s="1244"/>
      <c r="P32" s="3086" t="s">
        <v>2360</v>
      </c>
      <c r="Q32" s="1889" t="str">
        <f t="shared" si="11"/>
        <v>建筑类型</v>
      </c>
      <c r="R32" s="753" t="s">
        <v>28</v>
      </c>
      <c r="S32" s="754">
        <f t="shared" si="12"/>
        <v>100</v>
      </c>
      <c r="T32" s="753" t="s">
        <v>28</v>
      </c>
      <c r="U32" s="754">
        <f t="shared" si="13"/>
        <v>100</v>
      </c>
      <c r="V32" s="753" t="s">
        <v>28</v>
      </c>
      <c r="W32" s="754">
        <f t="shared" si="14"/>
        <v>100</v>
      </c>
      <c r="X32" s="1890"/>
      <c r="Y32" s="3089" t="s">
        <v>2360</v>
      </c>
      <c r="Z32" s="1892" t="str">
        <f t="shared" si="15"/>
        <v>建筑类型</v>
      </c>
      <c r="AA32" s="1893">
        <f t="shared" si="3"/>
        <v>1</v>
      </c>
      <c r="AB32" s="1893">
        <f t="shared" si="4"/>
        <v>1</v>
      </c>
      <c r="AC32" s="1893">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0"/>
      <c r="L33" s="1251"/>
      <c r="M33" s="1254"/>
      <c r="N33" s="1254"/>
      <c r="O33" s="1254"/>
      <c r="P33" s="3087"/>
      <c r="Q33" s="755" t="str">
        <f t="shared" si="11"/>
        <v>项目建筑规模</v>
      </c>
      <c r="R33" s="756" t="s">
        <v>28</v>
      </c>
      <c r="S33" s="757" t="e">
        <f t="shared" si="12"/>
        <v>#N/A</v>
      </c>
      <c r="T33" s="756" t="s">
        <v>28</v>
      </c>
      <c r="U33" s="757" t="e">
        <f t="shared" si="13"/>
        <v>#N/A</v>
      </c>
      <c r="V33" s="756" t="s">
        <v>28</v>
      </c>
      <c r="W33" s="757" t="e">
        <f t="shared" si="14"/>
        <v>#N/A</v>
      </c>
      <c r="X33" s="758"/>
      <c r="Y33" s="3089"/>
      <c r="Z33" s="759" t="str">
        <f t="shared" si="15"/>
        <v>项目建筑规模</v>
      </c>
      <c r="AA33" s="1893" t="e">
        <f t="shared" si="3"/>
        <v>#N/A</v>
      </c>
      <c r="AB33" s="1893" t="e">
        <f t="shared" si="4"/>
        <v>#N/A</v>
      </c>
      <c r="AC33" s="1893" t="e">
        <f t="shared" si="5"/>
        <v>#N/A</v>
      </c>
    </row>
    <row r="34" spans="1:29" ht="15">
      <c r="A34" s="453"/>
      <c r="B34" s="402" t="s">
        <v>2362</v>
      </c>
      <c r="C34" s="2405"/>
      <c r="D34" s="415">
        <v>100</v>
      </c>
      <c r="E34" s="2406"/>
      <c r="F34" s="442">
        <f>SUMIF(105:105,E34,106:106)-SUMIF(105:105,C34,106:106)+100</f>
        <v>100</v>
      </c>
      <c r="G34" s="2405"/>
      <c r="H34" s="415">
        <f>SUMIF(105:105,G34,106:106)-SUMIF(105:105,C34,106:106)+100</f>
        <v>100</v>
      </c>
      <c r="I34" s="2406"/>
      <c r="J34" s="415">
        <f>SUMIF(105:105,I34,106:106)-SUMIF(105:105,C34,106:106)+100</f>
        <v>100</v>
      </c>
      <c r="K34" s="406"/>
      <c r="L34" s="1253"/>
      <c r="M34" s="1244"/>
      <c r="N34" s="1244"/>
      <c r="O34" s="1244"/>
      <c r="P34" s="3087"/>
      <c r="Q34" s="1889" t="str">
        <f t="shared" si="11"/>
        <v>建筑结构</v>
      </c>
      <c r="R34" s="753" t="s">
        <v>28</v>
      </c>
      <c r="S34" s="754">
        <f t="shared" si="12"/>
        <v>100</v>
      </c>
      <c r="T34" s="753" t="s">
        <v>28</v>
      </c>
      <c r="U34" s="754">
        <f t="shared" si="13"/>
        <v>100</v>
      </c>
      <c r="V34" s="753" t="s">
        <v>28</v>
      </c>
      <c r="W34" s="754">
        <f t="shared" si="14"/>
        <v>100</v>
      </c>
      <c r="X34" s="1890"/>
      <c r="Y34" s="3089"/>
      <c r="Z34" s="1892" t="str">
        <f t="shared" si="15"/>
        <v>建筑结构</v>
      </c>
      <c r="AA34" s="1893">
        <f t="shared" si="3"/>
        <v>1</v>
      </c>
      <c r="AB34" s="1893">
        <f t="shared" si="4"/>
        <v>1</v>
      </c>
      <c r="AC34" s="1893">
        <f t="shared" si="5"/>
        <v>1</v>
      </c>
    </row>
    <row r="35" spans="1:29" ht="15">
      <c r="A35" s="453"/>
      <c r="B35" s="402" t="s">
        <v>2363</v>
      </c>
      <c r="C35" s="2401"/>
      <c r="D35" s="415">
        <v>100</v>
      </c>
      <c r="E35" s="2400"/>
      <c r="F35" s="442">
        <f>SUMIF(107:107,E35,108:108)-SUMIF(107:107,C35,108:108)+100</f>
        <v>100</v>
      </c>
      <c r="G35" s="2401"/>
      <c r="H35" s="415">
        <f>SUMIF(107:107,G35,108:108)-SUMIF(107:107,C35,108:108)+100</f>
        <v>100</v>
      </c>
      <c r="I35" s="2400"/>
      <c r="J35" s="415">
        <f>SUMIF(107:107,I35,108:108)-SUMIF(107:107,C35,108:108)+100</f>
        <v>100</v>
      </c>
      <c r="K35" s="406"/>
      <c r="L35" s="1253"/>
      <c r="M35" s="1244"/>
      <c r="N35" s="1244"/>
      <c r="O35" s="1244"/>
      <c r="P35" s="3087"/>
      <c r="Q35" s="1889" t="str">
        <f t="shared" si="11"/>
        <v>建筑品质</v>
      </c>
      <c r="R35" s="753" t="s">
        <v>28</v>
      </c>
      <c r="S35" s="754">
        <f t="shared" si="12"/>
        <v>100</v>
      </c>
      <c r="T35" s="753" t="s">
        <v>28</v>
      </c>
      <c r="U35" s="754">
        <f t="shared" si="13"/>
        <v>100</v>
      </c>
      <c r="V35" s="753" t="s">
        <v>28</v>
      </c>
      <c r="W35" s="754">
        <f t="shared" si="14"/>
        <v>100</v>
      </c>
      <c r="X35" s="1890"/>
      <c r="Y35" s="3089"/>
      <c r="Z35" s="1892" t="str">
        <f t="shared" si="15"/>
        <v>建筑品质</v>
      </c>
      <c r="AA35" s="1893">
        <f t="shared" si="3"/>
        <v>1</v>
      </c>
      <c r="AB35" s="1893">
        <f t="shared" si="4"/>
        <v>1</v>
      </c>
      <c r="AC35" s="1893">
        <f t="shared" si="5"/>
        <v>1</v>
      </c>
    </row>
    <row r="36" spans="1:29" ht="15">
      <c r="A36" s="453"/>
      <c r="B36" s="402" t="s">
        <v>2364</v>
      </c>
      <c r="C36" s="2401"/>
      <c r="D36" s="415">
        <v>100</v>
      </c>
      <c r="E36" s="2400"/>
      <c r="F36" s="442">
        <f>SUMIF(109:109,E36,110:110)-SUMIF(109:109,C36,110:110)+100</f>
        <v>100</v>
      </c>
      <c r="G36" s="2401"/>
      <c r="H36" s="415">
        <f>SUMIF(109:109,G36,110:110)-SUMIF(109:109,C36,110:110)+100</f>
        <v>100</v>
      </c>
      <c r="I36" s="2400"/>
      <c r="J36" s="415">
        <f>SUMIF(109:109,I36,110:110)-SUMIF(109:109,C36,110:110)+100</f>
        <v>100</v>
      </c>
      <c r="K36" s="406"/>
      <c r="L36" s="1253"/>
      <c r="M36" s="1244"/>
      <c r="N36" s="1244"/>
      <c r="O36" s="1244"/>
      <c r="P36" s="3087"/>
      <c r="Q36" s="1889" t="str">
        <f t="shared" si="11"/>
        <v>公共部分装修</v>
      </c>
      <c r="R36" s="753" t="s">
        <v>28</v>
      </c>
      <c r="S36" s="754">
        <f t="shared" si="12"/>
        <v>100</v>
      </c>
      <c r="T36" s="753" t="s">
        <v>28</v>
      </c>
      <c r="U36" s="754">
        <f t="shared" si="13"/>
        <v>100</v>
      </c>
      <c r="V36" s="753" t="s">
        <v>28</v>
      </c>
      <c r="W36" s="754">
        <f t="shared" si="14"/>
        <v>100</v>
      </c>
      <c r="X36" s="1890"/>
      <c r="Y36" s="3089"/>
      <c r="Z36" s="1892" t="str">
        <f t="shared" si="15"/>
        <v>公共部分装修</v>
      </c>
      <c r="AA36" s="1893">
        <f t="shared" si="3"/>
        <v>1</v>
      </c>
      <c r="AB36" s="1893">
        <f t="shared" si="4"/>
        <v>1</v>
      </c>
      <c r="AC36" s="1893">
        <f t="shared" si="5"/>
        <v>1</v>
      </c>
    </row>
    <row r="37" spans="1:29" s="35" customFormat="1" ht="15">
      <c r="A37" s="454"/>
      <c r="B37" s="402" t="s">
        <v>2365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87"/>
      <c r="Q37" s="1877" t="str">
        <f t="shared" si="11"/>
        <v>成新度</v>
      </c>
      <c r="R37" s="749" t="s">
        <v>28</v>
      </c>
      <c r="S37" s="750" t="e">
        <f t="shared" si="12"/>
        <v>#N/A</v>
      </c>
      <c r="T37" s="749" t="s">
        <v>28</v>
      </c>
      <c r="U37" s="750" t="e">
        <f t="shared" si="13"/>
        <v>#N/A</v>
      </c>
      <c r="V37" s="749" t="s">
        <v>28</v>
      </c>
      <c r="W37" s="750" t="e">
        <f t="shared" si="14"/>
        <v>#N/A</v>
      </c>
      <c r="X37" s="751"/>
      <c r="Y37" s="3089"/>
      <c r="Z37" s="23" t="str">
        <f t="shared" si="15"/>
        <v>成新度</v>
      </c>
      <c r="AA37" s="752" t="e">
        <f t="shared" si="3"/>
        <v>#N/A</v>
      </c>
      <c r="AB37" s="752" t="e">
        <f t="shared" si="4"/>
        <v>#N/A</v>
      </c>
      <c r="AC37" s="752" t="e">
        <f t="shared" si="5"/>
        <v>#N/A</v>
      </c>
    </row>
    <row r="38" spans="1:29" ht="15">
      <c r="A38" s="453"/>
      <c r="B38" s="402" t="s">
        <v>2366</v>
      </c>
      <c r="C38" s="2401"/>
      <c r="D38" s="415">
        <v>100</v>
      </c>
      <c r="E38" s="2400"/>
      <c r="F38" s="442">
        <f>SUMIF(114:114,E38,115:115)-SUMIF(114:114,C38,115:115)+100</f>
        <v>100</v>
      </c>
      <c r="G38" s="2401"/>
      <c r="H38" s="415">
        <f>SUMIF(114:114,G38,115:115)-SUMIF(114:114,C38,115:115)+100</f>
        <v>100</v>
      </c>
      <c r="I38" s="2400"/>
      <c r="J38" s="415">
        <f>SUMIF(114:114,I38,115:115)-SUMIF(114:114,C38,115:115)+100</f>
        <v>100</v>
      </c>
      <c r="K38" s="406"/>
      <c r="L38" s="1253"/>
      <c r="M38" s="1244"/>
      <c r="N38" s="1244"/>
      <c r="O38" s="1244"/>
      <c r="P38" s="3087" t="s">
        <v>2360</v>
      </c>
      <c r="Q38" s="1889" t="str">
        <f t="shared" si="11"/>
        <v>物业管理</v>
      </c>
      <c r="R38" s="753" t="s">
        <v>28</v>
      </c>
      <c r="S38" s="754">
        <f t="shared" si="12"/>
        <v>100</v>
      </c>
      <c r="T38" s="753" t="s">
        <v>28</v>
      </c>
      <c r="U38" s="754">
        <f t="shared" si="13"/>
        <v>100</v>
      </c>
      <c r="V38" s="753" t="s">
        <v>28</v>
      </c>
      <c r="W38" s="754">
        <f t="shared" si="14"/>
        <v>100</v>
      </c>
      <c r="X38" s="1890"/>
      <c r="Y38" s="3089" t="s">
        <v>2360</v>
      </c>
      <c r="Z38" s="1892" t="str">
        <f t="shared" si="15"/>
        <v>物业管理</v>
      </c>
      <c r="AA38" s="1893">
        <f t="shared" si="3"/>
        <v>1</v>
      </c>
      <c r="AB38" s="1893">
        <f t="shared" si="4"/>
        <v>1</v>
      </c>
      <c r="AC38" s="1893">
        <f t="shared" si="5"/>
        <v>1</v>
      </c>
    </row>
    <row r="39" spans="1:29" ht="15">
      <c r="A39" s="453"/>
      <c r="B39" s="402" t="s">
        <v>2367</v>
      </c>
      <c r="C39" s="2401"/>
      <c r="D39" s="415">
        <v>100</v>
      </c>
      <c r="E39" s="2400"/>
      <c r="F39" s="442">
        <f>SUMIF(116:116,E39,117:117)-SUMIF(116:116,C39,117:117)+100</f>
        <v>100</v>
      </c>
      <c r="G39" s="2401"/>
      <c r="H39" s="415">
        <f>SUMIF(116:116,G39,117:117)-SUMIF(116:116,C39,117:117)+100</f>
        <v>100</v>
      </c>
      <c r="I39" s="2400"/>
      <c r="J39" s="415">
        <f>SUMIF(116:116,I39,117:117)-SUMIF(116:116,C39,117:117)+100</f>
        <v>100</v>
      </c>
      <c r="K39" s="406"/>
      <c r="L39" s="1253"/>
      <c r="M39" s="1244"/>
      <c r="N39" s="1244"/>
      <c r="O39" s="1244"/>
      <c r="P39" s="3087"/>
      <c r="Q39" s="1889" t="str">
        <f t="shared" si="11"/>
        <v>市政基础设施</v>
      </c>
      <c r="R39" s="753" t="s">
        <v>28</v>
      </c>
      <c r="S39" s="754">
        <f t="shared" si="12"/>
        <v>100</v>
      </c>
      <c r="T39" s="753" t="s">
        <v>28</v>
      </c>
      <c r="U39" s="754">
        <f t="shared" si="13"/>
        <v>100</v>
      </c>
      <c r="V39" s="753" t="s">
        <v>28</v>
      </c>
      <c r="W39" s="754">
        <f t="shared" si="14"/>
        <v>100</v>
      </c>
      <c r="X39" s="1890"/>
      <c r="Y39" s="3089"/>
      <c r="Z39" s="1892" t="str">
        <f t="shared" si="15"/>
        <v>市政基础设施</v>
      </c>
      <c r="AA39" s="1893">
        <f t="shared" si="3"/>
        <v>1</v>
      </c>
      <c r="AB39" s="1893">
        <f t="shared" si="4"/>
        <v>1</v>
      </c>
      <c r="AC39" s="1893">
        <f t="shared" si="5"/>
        <v>1</v>
      </c>
    </row>
    <row r="40" spans="1:29" ht="15">
      <c r="A40" s="453"/>
      <c r="B40" s="402" t="s">
        <v>2368</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c r="L40" s="1253"/>
      <c r="M40" s="1244"/>
      <c r="N40" s="1244"/>
      <c r="O40" s="1244"/>
      <c r="P40" s="3087"/>
      <c r="Q40" s="1889" t="str">
        <f t="shared" si="11"/>
        <v>房型</v>
      </c>
      <c r="R40" s="753" t="s">
        <v>28</v>
      </c>
      <c r="S40" s="754">
        <f t="shared" si="12"/>
        <v>100</v>
      </c>
      <c r="T40" s="753" t="s">
        <v>28</v>
      </c>
      <c r="U40" s="754">
        <f t="shared" si="13"/>
        <v>100</v>
      </c>
      <c r="V40" s="753" t="s">
        <v>28</v>
      </c>
      <c r="W40" s="754">
        <f t="shared" si="14"/>
        <v>100</v>
      </c>
      <c r="X40" s="1890"/>
      <c r="Y40" s="3089"/>
      <c r="Z40" s="1892" t="str">
        <f t="shared" si="15"/>
        <v>房型</v>
      </c>
      <c r="AA40" s="1893">
        <f t="shared" si="3"/>
        <v>1</v>
      </c>
      <c r="AB40" s="1893">
        <f t="shared" si="4"/>
        <v>1</v>
      </c>
      <c r="AC40" s="1893">
        <f t="shared" si="5"/>
        <v>1</v>
      </c>
    </row>
    <row r="41" spans="1:29" s="452" customFormat="1" ht="28.5">
      <c r="A41" s="449"/>
      <c r="B41" s="402" t="s">
        <v>2369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51"/>
      <c r="M41" s="1254"/>
      <c r="N41" s="1254"/>
      <c r="O41" s="1254"/>
      <c r="P41" s="3087"/>
      <c r="Q41" s="755" t="str">
        <f t="shared" si="11"/>
        <v>单套/主力户型建筑面积</v>
      </c>
      <c r="R41" s="756" t="s">
        <v>28</v>
      </c>
      <c r="S41" s="757">
        <f t="shared" si="12"/>
        <v>100</v>
      </c>
      <c r="T41" s="756" t="s">
        <v>28</v>
      </c>
      <c r="U41" s="757">
        <f t="shared" si="13"/>
        <v>100</v>
      </c>
      <c r="V41" s="756" t="s">
        <v>28</v>
      </c>
      <c r="W41" s="757">
        <f t="shared" si="14"/>
        <v>100</v>
      </c>
      <c r="X41" s="758"/>
      <c r="Y41" s="3089"/>
      <c r="Z41" s="759" t="str">
        <f t="shared" si="15"/>
        <v>单套/主力户型建筑面积</v>
      </c>
      <c r="AA41" s="1893">
        <f t="shared" si="3"/>
        <v>1</v>
      </c>
      <c r="AB41" s="1893">
        <f t="shared" si="4"/>
        <v>1</v>
      </c>
      <c r="AC41" s="1893">
        <f t="shared" si="5"/>
        <v>1</v>
      </c>
    </row>
    <row r="42" spans="1:29" ht="15">
      <c r="A42" s="453"/>
      <c r="B42" s="402" t="s">
        <v>2370</v>
      </c>
      <c r="C42" s="2401"/>
      <c r="D42" s="415">
        <v>100</v>
      </c>
      <c r="E42" s="2400"/>
      <c r="F42" s="442">
        <f>SUMIF(122:122,E42,123:123)-SUMIF(122:122,C42,123:123)+100</f>
        <v>100</v>
      </c>
      <c r="G42" s="2401"/>
      <c r="H42" s="415">
        <f>SUMIF(122:122,G42,123:123)-SUMIF(122:122,C42,123:123)+100</f>
        <v>100</v>
      </c>
      <c r="I42" s="2400"/>
      <c r="J42" s="415">
        <f>SUMIF(122:122,I42,123:123)-SUMIF(122:122,C42,123:123)+100</f>
        <v>100</v>
      </c>
      <c r="K42" s="406"/>
      <c r="L42" s="1253"/>
      <c r="M42" s="1244"/>
      <c r="N42" s="1244"/>
      <c r="O42" s="1244"/>
      <c r="P42" s="3087"/>
      <c r="Q42" s="1889" t="str">
        <f t="shared" si="11"/>
        <v>内部装修</v>
      </c>
      <c r="R42" s="753" t="s">
        <v>28</v>
      </c>
      <c r="S42" s="754">
        <f t="shared" si="12"/>
        <v>100</v>
      </c>
      <c r="T42" s="753" t="s">
        <v>28</v>
      </c>
      <c r="U42" s="754">
        <f t="shared" si="13"/>
        <v>100</v>
      </c>
      <c r="V42" s="753" t="s">
        <v>28</v>
      </c>
      <c r="W42" s="754">
        <f t="shared" si="14"/>
        <v>100</v>
      </c>
      <c r="X42" s="1890"/>
      <c r="Y42" s="3089"/>
      <c r="Z42" s="1892" t="str">
        <f t="shared" si="15"/>
        <v>内部装修</v>
      </c>
      <c r="AA42" s="1893">
        <f t="shared" si="3"/>
        <v>1</v>
      </c>
      <c r="AB42" s="1893">
        <f t="shared" si="4"/>
        <v>1</v>
      </c>
      <c r="AC42" s="1893">
        <f t="shared" si="5"/>
        <v>1</v>
      </c>
    </row>
    <row r="43" spans="1:29" ht="15">
      <c r="A43" s="453"/>
      <c r="B43" s="402" t="s">
        <v>2371</v>
      </c>
      <c r="C43" s="2401"/>
      <c r="D43" s="415">
        <v>100</v>
      </c>
      <c r="E43" s="2400"/>
      <c r="F43" s="442">
        <f>SUMIF(124:124,E43,125:125)-SUMIF(124:124,C43,125:125)+100</f>
        <v>100</v>
      </c>
      <c r="G43" s="2401"/>
      <c r="H43" s="415">
        <f>SUMIF(124:124,G43,125:125)-SUMIF(124:124,C43,125:125)+100</f>
        <v>100</v>
      </c>
      <c r="I43" s="2400"/>
      <c r="J43" s="415">
        <f>SUMIF(124:124,I43,125:125)-SUMIF(124:124,C43,125:125)+100</f>
        <v>100</v>
      </c>
      <c r="K43" s="406"/>
      <c r="L43" s="1253"/>
      <c r="M43" s="1244"/>
      <c r="N43" s="1244"/>
      <c r="O43" s="1244"/>
      <c r="P43" s="3087"/>
      <c r="Q43" s="1889" t="str">
        <f t="shared" si="11"/>
        <v>内部装修维护情况</v>
      </c>
      <c r="R43" s="753" t="s">
        <v>28</v>
      </c>
      <c r="S43" s="754">
        <f t="shared" si="12"/>
        <v>100</v>
      </c>
      <c r="T43" s="753" t="s">
        <v>28</v>
      </c>
      <c r="U43" s="754">
        <f t="shared" si="13"/>
        <v>100</v>
      </c>
      <c r="V43" s="753" t="s">
        <v>28</v>
      </c>
      <c r="W43" s="754">
        <f t="shared" si="14"/>
        <v>100</v>
      </c>
      <c r="X43" s="1890"/>
      <c r="Y43" s="3089"/>
      <c r="Z43" s="1892" t="str">
        <f t="shared" si="15"/>
        <v>内部装修维护情况</v>
      </c>
      <c r="AA43" s="1893">
        <f t="shared" si="3"/>
        <v>1</v>
      </c>
      <c r="AB43" s="1893">
        <f t="shared" si="4"/>
        <v>1</v>
      </c>
      <c r="AC43" s="1893">
        <f t="shared" si="5"/>
        <v>1</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45"/>
      <c r="M44" s="1246"/>
      <c r="N44" s="1246"/>
      <c r="O44" s="1246"/>
      <c r="P44" s="3087"/>
      <c r="Q44" s="1877">
        <f t="shared" si="11"/>
        <v>111</v>
      </c>
      <c r="R44" s="749" t="s">
        <v>28</v>
      </c>
      <c r="S44" s="750">
        <f t="shared" si="12"/>
        <v>100</v>
      </c>
      <c r="T44" s="749" t="s">
        <v>28</v>
      </c>
      <c r="U44" s="750">
        <f t="shared" si="13"/>
        <v>100</v>
      </c>
      <c r="V44" s="749" t="s">
        <v>28</v>
      </c>
      <c r="W44" s="750">
        <f t="shared" si="14"/>
        <v>100</v>
      </c>
      <c r="X44" s="751"/>
      <c r="Y44" s="3089"/>
      <c r="Z44" s="23">
        <f t="shared" si="15"/>
        <v>111</v>
      </c>
      <c r="AA44" s="752">
        <f t="shared" si="3"/>
        <v>1</v>
      </c>
      <c r="AB44" s="752">
        <f t="shared" si="4"/>
        <v>1</v>
      </c>
      <c r="AC44" s="752">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53"/>
      <c r="M45" s="1244"/>
      <c r="N45" s="1244"/>
      <c r="O45" s="1244"/>
      <c r="P45" s="3087"/>
      <c r="Q45" s="1889">
        <f t="shared" si="11"/>
        <v>111</v>
      </c>
      <c r="R45" s="753" t="s">
        <v>28</v>
      </c>
      <c r="S45" s="754">
        <f t="shared" si="12"/>
        <v>100</v>
      </c>
      <c r="T45" s="753" t="s">
        <v>28</v>
      </c>
      <c r="U45" s="754">
        <f t="shared" si="13"/>
        <v>100</v>
      </c>
      <c r="V45" s="753" t="s">
        <v>28</v>
      </c>
      <c r="W45" s="754">
        <f t="shared" si="14"/>
        <v>100</v>
      </c>
      <c r="X45" s="1890"/>
      <c r="Y45" s="3089"/>
      <c r="Z45" s="1892">
        <f t="shared" si="15"/>
        <v>111</v>
      </c>
      <c r="AA45" s="1893">
        <f t="shared" si="3"/>
        <v>1</v>
      </c>
      <c r="AB45" s="1893">
        <f t="shared" si="4"/>
        <v>1</v>
      </c>
      <c r="AC45" s="1893">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53"/>
      <c r="M46" s="1244"/>
      <c r="N46" s="1244"/>
      <c r="O46" s="1244"/>
      <c r="P46" s="3088"/>
      <c r="Q46" s="1889">
        <f t="shared" si="11"/>
        <v>111</v>
      </c>
      <c r="R46" s="753" t="s">
        <v>27</v>
      </c>
      <c r="S46" s="754">
        <f t="shared" si="12"/>
        <v>100</v>
      </c>
      <c r="T46" s="753" t="s">
        <v>27</v>
      </c>
      <c r="U46" s="754">
        <f t="shared" si="13"/>
        <v>100</v>
      </c>
      <c r="V46" s="753" t="s">
        <v>27</v>
      </c>
      <c r="W46" s="754">
        <f t="shared" si="14"/>
        <v>100</v>
      </c>
      <c r="X46" s="1890"/>
      <c r="Y46" s="3090"/>
      <c r="Z46" s="1892">
        <f t="shared" si="15"/>
        <v>111</v>
      </c>
      <c r="AA46" s="1893">
        <f t="shared" si="3"/>
        <v>1</v>
      </c>
      <c r="AB46" s="1893">
        <f t="shared" si="4"/>
        <v>1</v>
      </c>
      <c r="AC46" s="1893">
        <f t="shared" si="5"/>
        <v>1</v>
      </c>
    </row>
    <row r="47" spans="1:29" ht="15">
      <c r="A47" s="460" t="s">
        <v>2372</v>
      </c>
      <c r="B47" s="461"/>
      <c r="C47" s="1502" t="s">
        <v>26</v>
      </c>
      <c r="D47" s="1503"/>
      <c r="E47" s="1504"/>
      <c r="F47" s="1505"/>
      <c r="G47" s="1506"/>
      <c r="H47" s="1507"/>
      <c r="I47" s="1504"/>
      <c r="J47" s="1507"/>
      <c r="K47" s="2407"/>
      <c r="L47" s="1256"/>
      <c r="M47" s="1257"/>
      <c r="N47" s="1244"/>
      <c r="O47" s="1257"/>
      <c r="P47" s="3081" t="str">
        <f>A47</f>
        <v>成交单价（元/平方米）</v>
      </c>
      <c r="Q47" s="3081"/>
      <c r="R47" s="3077">
        <f>E47</f>
        <v>0</v>
      </c>
      <c r="S47" s="3077"/>
      <c r="T47" s="3077">
        <f>G47</f>
        <v>0</v>
      </c>
      <c r="U47" s="3077"/>
      <c r="V47" s="3077">
        <f>I47</f>
        <v>0</v>
      </c>
      <c r="W47" s="3077"/>
      <c r="X47" s="738"/>
      <c r="Y47" s="760"/>
      <c r="Z47" s="738"/>
      <c r="AA47" s="738"/>
      <c r="AB47" s="738"/>
      <c r="AC47" s="738"/>
    </row>
    <row r="48" spans="1:29" ht="15.75" thickBot="1">
      <c r="A48" s="467" t="s">
        <v>2373</v>
      </c>
      <c r="B48" s="468"/>
      <c r="C48" s="1508" t="e">
        <f>R49</f>
        <v>#DIV/0!</v>
      </c>
      <c r="D48" s="1509"/>
      <c r="E48" s="1510" t="e">
        <f>R48</f>
        <v>#DIV/0!</v>
      </c>
      <c r="F48" s="1510"/>
      <c r="G48" s="1508" t="e">
        <f>T48</f>
        <v>#DIV/0!</v>
      </c>
      <c r="H48" s="1509"/>
      <c r="I48" s="1510" t="e">
        <f>V48</f>
        <v>#DIV/0!</v>
      </c>
      <c r="J48" s="1509"/>
      <c r="K48" s="2408"/>
      <c r="L48" s="1256"/>
      <c r="M48" s="1257"/>
      <c r="N48" s="1257"/>
      <c r="O48" s="1257"/>
      <c r="P48" s="3081" t="str">
        <f>A48</f>
        <v>比较价值（元/平方米）</v>
      </c>
      <c r="Q48" s="3081"/>
      <c r="R48" s="3077" t="e">
        <f>IF(E1="售价",ROUND(PRODUCT(R47,AA7:AA46),0),ROUND(PRODUCT(R47,AA7:AA46),1))</f>
        <v>#DIV/0!</v>
      </c>
      <c r="S48" s="3077"/>
      <c r="T48" s="3075" t="e">
        <f>IF(E1="售价",ROUND(PRODUCT(T47,AB7:AB46),0),ROUND(PRODUCT(T47,AB7:AB46),1))</f>
        <v>#DIV/0!</v>
      </c>
      <c r="U48" s="3076"/>
      <c r="V48" s="3077" t="e">
        <f>IF(E1="售价",ROUND(PRODUCT(V47,AC7:AC46),0),ROUND(PRODUCT(V47,AC7:AC46),1))</f>
        <v>#DIV/0!</v>
      </c>
      <c r="W48" s="3077"/>
      <c r="X48" s="738"/>
      <c r="Y48" s="738"/>
      <c r="Z48" s="738"/>
      <c r="AA48" s="738"/>
      <c r="AB48" s="738"/>
      <c r="AC48" s="738"/>
    </row>
    <row r="49" spans="1:29" ht="15.75" thickBot="1">
      <c r="A49" s="473" t="s">
        <v>2374</v>
      </c>
      <c r="B49" s="474"/>
      <c r="C49" s="1511" t="e">
        <f>R49</f>
        <v>#DIV/0!</v>
      </c>
      <c r="D49" s="1512"/>
      <c r="E49" s="1512"/>
      <c r="F49" s="1512"/>
      <c r="G49" s="1512"/>
      <c r="H49" s="1512"/>
      <c r="I49" s="1512"/>
      <c r="J49" s="1512"/>
      <c r="K49" s="2409"/>
      <c r="L49" s="1256"/>
      <c r="M49" s="1257"/>
      <c r="N49" s="1257"/>
      <c r="O49" s="1257"/>
      <c r="P49" s="3078" t="str">
        <f>A49</f>
        <v>估价对象XX用房的比较价值（楼面单价，元/平方米）</v>
      </c>
      <c r="Q49" s="3079"/>
      <c r="R49" s="3080" t="e">
        <f>IF(E1="售价",ROUND(AVERAGE(R48:V48),0),ROUND(AVERAGE(R48:V48),1))</f>
        <v>#DIV/0!</v>
      </c>
      <c r="S49" s="3080"/>
      <c r="T49" s="3080"/>
      <c r="U49" s="3080"/>
      <c r="V49" s="3080"/>
      <c r="W49" s="308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2375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2376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2377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1"/>
    </row>
    <row r="55" spans="1:29" s="483" customFormat="1">
      <c r="A55" s="1259"/>
      <c r="B55" s="1260"/>
      <c r="C55" s="1265"/>
      <c r="D55" s="1259"/>
      <c r="E55" s="1259"/>
      <c r="F55" s="1259"/>
      <c r="G55" s="1259"/>
      <c r="H55" s="1259"/>
      <c r="I55" s="1259"/>
      <c r="J55" s="1259"/>
      <c r="K55" s="1263"/>
      <c r="L55" s="1264"/>
      <c r="M55" s="1259"/>
      <c r="N55" s="1259"/>
      <c r="O55" s="1259"/>
      <c r="P55" s="2411"/>
    </row>
    <row r="56" spans="1:29">
      <c r="A56" s="1257"/>
      <c r="B56" s="1260"/>
      <c r="C56" s="1265"/>
      <c r="D56" s="1257"/>
      <c r="E56" s="1257"/>
      <c r="F56" s="1257"/>
      <c r="G56" s="1257"/>
      <c r="H56" s="1257"/>
      <c r="I56" s="1257"/>
      <c r="J56" s="1257"/>
      <c r="K56" s="1262"/>
      <c r="L56" s="1258"/>
      <c r="M56" s="1257"/>
      <c r="N56" s="1257"/>
      <c r="O56" s="1257"/>
    </row>
    <row r="57" spans="1:29" ht="21.75" thickBot="1">
      <c r="A57" s="742" t="s">
        <v>2378</v>
      </c>
      <c r="B57" s="738"/>
      <c r="C57" s="743"/>
      <c r="D57" s="743"/>
      <c r="E57" s="743"/>
      <c r="F57" s="744"/>
      <c r="G57" s="744"/>
      <c r="H57" s="743"/>
      <c r="I57" s="743"/>
      <c r="J57" s="743"/>
      <c r="K57" s="745"/>
      <c r="L57" s="746"/>
      <c r="M57" s="743"/>
      <c r="N57" s="743"/>
      <c r="O57" s="743"/>
      <c r="P57" s="2412"/>
      <c r="Q57" s="485"/>
    </row>
    <row r="58" spans="1:29" s="489" customFormat="1" ht="15">
      <c r="A58" s="486" t="s">
        <v>2379</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2381</v>
      </c>
      <c r="B61" s="491"/>
      <c r="C61" s="503" t="s">
        <v>2382</v>
      </c>
      <c r="D61" s="504"/>
      <c r="E61" s="504"/>
      <c r="F61" s="504"/>
      <c r="G61" s="504"/>
      <c r="H61" s="504"/>
      <c r="I61" s="504"/>
      <c r="J61" s="504"/>
      <c r="K61" s="504"/>
      <c r="L61" s="505"/>
      <c r="M61" s="506"/>
      <c r="N61" s="1266"/>
      <c r="O61" s="1266"/>
      <c r="P61" s="2415"/>
      <c r="Q61" s="485"/>
    </row>
    <row r="62" spans="1:29" s="35" customFormat="1" ht="15.75" thickBot="1">
      <c r="A62" s="502"/>
      <c r="B62" s="491"/>
      <c r="C62" s="492">
        <v>100</v>
      </c>
      <c r="D62" s="493"/>
      <c r="E62" s="493"/>
      <c r="F62" s="493"/>
      <c r="G62" s="493"/>
      <c r="H62" s="493"/>
      <c r="I62" s="493"/>
      <c r="J62" s="493"/>
      <c r="K62" s="493"/>
      <c r="L62" s="493"/>
      <c r="M62" s="495"/>
      <c r="N62" s="1266"/>
      <c r="O62" s="1266"/>
      <c r="P62" s="2414"/>
      <c r="Q62" s="485"/>
    </row>
    <row r="63" spans="1:29">
      <c r="A63" s="508" t="s">
        <v>2383</v>
      </c>
      <c r="B63" s="509" t="s">
        <v>2348</v>
      </c>
      <c r="C63" s="510">
        <f>C9</f>
        <v>0</v>
      </c>
      <c r="D63" s="511"/>
      <c r="E63" s="511"/>
      <c r="F63" s="511"/>
      <c r="G63" s="511"/>
      <c r="H63" s="511"/>
      <c r="I63" s="511"/>
      <c r="J63" s="511"/>
      <c r="K63" s="512"/>
      <c r="L63" s="513"/>
      <c r="M63" s="514"/>
      <c r="N63" s="1267"/>
      <c r="O63" s="1267"/>
      <c r="P63" s="2416"/>
      <c r="Q63" s="485"/>
    </row>
    <row r="64" spans="1:29" ht="15.75" thickBot="1">
      <c r="A64" s="516"/>
      <c r="B64" s="517"/>
      <c r="C64" s="518">
        <v>100</v>
      </c>
      <c r="D64" s="518"/>
      <c r="E64" s="518"/>
      <c r="F64" s="518"/>
      <c r="G64" s="518"/>
      <c r="H64" s="518"/>
      <c r="I64" s="518"/>
      <c r="J64" s="518"/>
      <c r="K64" s="518"/>
      <c r="L64" s="518"/>
      <c r="M64" s="519"/>
      <c r="N64" s="1268"/>
      <c r="O64" s="1268"/>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7"/>
      <c r="O65" s="1267"/>
      <c r="P65" s="241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16"/>
      <c r="Q66" s="485"/>
    </row>
    <row r="67" spans="1:17" ht="15.75" thickTop="1">
      <c r="A67" s="516"/>
      <c r="B67" s="529" t="s">
        <v>2352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16"/>
      <c r="Q67" s="485"/>
    </row>
    <row r="68" spans="1:17" ht="15">
      <c r="A68" s="516"/>
      <c r="B68" s="531"/>
      <c r="C68" s="532"/>
      <c r="D68" s="532"/>
      <c r="E68" s="532"/>
      <c r="F68" s="532"/>
      <c r="G68" s="532"/>
      <c r="H68" s="532"/>
      <c r="I68" s="532"/>
      <c r="J68" s="532"/>
      <c r="K68" s="533"/>
      <c r="L68" s="534"/>
      <c r="M68" s="535"/>
      <c r="N68" s="1267"/>
      <c r="O68" s="1267"/>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16"/>
      <c r="Q69" s="485"/>
    </row>
    <row r="70" spans="1:17" s="452" customFormat="1" ht="15.75" thickTop="1">
      <c r="A70" s="536"/>
      <c r="B70" s="521">
        <f>B12</f>
        <v>111</v>
      </c>
      <c r="C70" s="537"/>
      <c r="D70" s="537"/>
      <c r="E70" s="537"/>
      <c r="F70" s="537"/>
      <c r="G70" s="537"/>
      <c r="H70" s="538"/>
      <c r="I70" s="538"/>
      <c r="J70" s="538"/>
      <c r="K70" s="538"/>
      <c r="L70" s="539"/>
      <c r="M70" s="540"/>
      <c r="N70" s="1269"/>
      <c r="O70" s="1269"/>
      <c r="P70" s="2417"/>
      <c r="Q70" s="543"/>
    </row>
    <row r="71" spans="1:17" s="452" customFormat="1" ht="15.75" thickBot="1">
      <c r="A71" s="536"/>
      <c r="B71" s="526"/>
      <c r="C71" s="544"/>
      <c r="D71" s="518"/>
      <c r="E71" s="518"/>
      <c r="F71" s="518"/>
      <c r="G71" s="518"/>
      <c r="H71" s="518"/>
      <c r="I71" s="518"/>
      <c r="J71" s="518"/>
      <c r="K71" s="518"/>
      <c r="L71" s="518"/>
      <c r="M71" s="519"/>
      <c r="N71" s="1268"/>
      <c r="O71" s="1268"/>
      <c r="P71" s="2417"/>
      <c r="Q71" s="543"/>
    </row>
    <row r="72" spans="1:17" s="452" customFormat="1" ht="15.75" thickTop="1">
      <c r="A72" s="536"/>
      <c r="B72" s="521">
        <f>B13</f>
        <v>111</v>
      </c>
      <c r="C72" s="537"/>
      <c r="D72" s="537"/>
      <c r="E72" s="537"/>
      <c r="F72" s="537"/>
      <c r="G72" s="537"/>
      <c r="H72" s="538"/>
      <c r="I72" s="538"/>
      <c r="J72" s="538"/>
      <c r="K72" s="538"/>
      <c r="L72" s="539"/>
      <c r="M72" s="540"/>
      <c r="N72" s="1269"/>
      <c r="O72" s="1269"/>
      <c r="P72" s="2418"/>
      <c r="Q72" s="545"/>
    </row>
    <row r="73" spans="1:17" s="452" customFormat="1" ht="15.75" thickBot="1">
      <c r="A73" s="536"/>
      <c r="B73" s="526"/>
      <c r="C73" s="544"/>
      <c r="D73" s="544"/>
      <c r="E73" s="544"/>
      <c r="F73" s="544"/>
      <c r="G73" s="544"/>
      <c r="H73" s="546"/>
      <c r="I73" s="546"/>
      <c r="J73" s="546"/>
      <c r="K73" s="546"/>
      <c r="L73" s="546"/>
      <c r="M73" s="547"/>
      <c r="N73" s="1269"/>
      <c r="O73" s="1269"/>
      <c r="P73" s="2417"/>
      <c r="Q73" s="543"/>
    </row>
    <row r="74" spans="1:17" s="452" customFormat="1" ht="15.75" thickTop="1">
      <c r="A74" s="536"/>
      <c r="B74" s="529">
        <f>B14</f>
        <v>111</v>
      </c>
      <c r="C74" s="537"/>
      <c r="D74" s="537"/>
      <c r="E74" s="537"/>
      <c r="F74" s="537"/>
      <c r="G74" s="504"/>
      <c r="H74" s="548"/>
      <c r="I74" s="548"/>
      <c r="J74" s="548"/>
      <c r="K74" s="548"/>
      <c r="L74" s="549"/>
      <c r="M74" s="550"/>
      <c r="N74" s="1269"/>
      <c r="O74" s="1269"/>
      <c r="P74" s="2419"/>
      <c r="Q74" s="543"/>
    </row>
    <row r="75" spans="1:17" s="452" customFormat="1" ht="15.75" thickBot="1">
      <c r="A75" s="552"/>
      <c r="B75" s="553"/>
      <c r="C75" s="554"/>
      <c r="D75" s="554"/>
      <c r="E75" s="554"/>
      <c r="F75" s="554"/>
      <c r="G75" s="554"/>
      <c r="H75" s="555"/>
      <c r="I75" s="555"/>
      <c r="J75" s="555"/>
      <c r="K75" s="555"/>
      <c r="L75" s="555"/>
      <c r="M75" s="556"/>
      <c r="N75" s="1269"/>
      <c r="O75" s="1269"/>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7"/>
      <c r="O76" s="1267"/>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7"/>
      <c r="O78" s="1267"/>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7"/>
      <c r="O80" s="1267"/>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6"/>
      <c r="Q81" s="485"/>
    </row>
    <row r="82" spans="1:17" ht="15.75" thickTop="1">
      <c r="A82" s="516"/>
      <c r="B82" s="529" t="s">
        <v>1738</v>
      </c>
      <c r="C82" s="522" t="s">
        <v>2399</v>
      </c>
      <c r="D82" s="522" t="s">
        <v>2400</v>
      </c>
      <c r="E82" s="522" t="s">
        <v>2401</v>
      </c>
      <c r="F82" s="522" t="s">
        <v>2402</v>
      </c>
      <c r="G82" s="522" t="s">
        <v>2403</v>
      </c>
      <c r="H82" s="522"/>
      <c r="I82" s="522"/>
      <c r="J82" s="522"/>
      <c r="K82" s="522"/>
      <c r="L82" s="522"/>
      <c r="M82" s="1467"/>
      <c r="N82" s="1268"/>
      <c r="O82" s="1268"/>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7"/>
      <c r="O84" s="1267"/>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16"/>
      <c r="Q85" s="485"/>
    </row>
    <row r="86" spans="1:17" s="35" customFormat="1" ht="15.75" thickTop="1">
      <c r="A86" s="563"/>
      <c r="B86" s="521" t="s">
        <v>2405</v>
      </c>
      <c r="C86" s="537"/>
      <c r="D86" s="537"/>
      <c r="E86" s="537"/>
      <c r="F86" s="537"/>
      <c r="G86" s="537"/>
      <c r="H86" s="537"/>
      <c r="I86" s="537"/>
      <c r="J86" s="537"/>
      <c r="K86" s="537"/>
      <c r="L86" s="564"/>
      <c r="M86" s="565"/>
      <c r="N86" s="1266"/>
      <c r="O86" s="1266"/>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16"/>
      <c r="Q87" s="485"/>
    </row>
    <row r="88" spans="1:17" s="35" customFormat="1" ht="15.75" thickTop="1">
      <c r="A88" s="563"/>
      <c r="B88" s="521" t="s">
        <v>2406</v>
      </c>
      <c r="C88" s="537"/>
      <c r="D88" s="537"/>
      <c r="E88" s="537"/>
      <c r="F88" s="2421"/>
      <c r="G88" s="537"/>
      <c r="H88" s="537"/>
      <c r="I88" s="537"/>
      <c r="J88" s="537"/>
      <c r="K88" s="537"/>
      <c r="L88" s="537"/>
      <c r="M88" s="565"/>
      <c r="N88" s="1266"/>
      <c r="O88" s="1266"/>
      <c r="P88" s="241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1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17"/>
      <c r="Q90" s="543"/>
    </row>
    <row r="91" spans="1:17" s="452" customFormat="1" ht="15.75" thickBot="1">
      <c r="A91" s="536"/>
      <c r="B91" s="526"/>
      <c r="C91" s="544"/>
      <c r="D91" s="544"/>
      <c r="E91" s="544"/>
      <c r="F91" s="544"/>
      <c r="G91" s="544"/>
      <c r="H91" s="546"/>
      <c r="I91" s="546"/>
      <c r="J91" s="546"/>
      <c r="K91" s="546"/>
      <c r="L91" s="546"/>
      <c r="M91" s="547"/>
      <c r="N91" s="1269"/>
      <c r="O91" s="1269"/>
      <c r="P91" s="2417"/>
      <c r="Q91" s="543"/>
    </row>
    <row r="92" spans="1:17" ht="15.75" thickTop="1">
      <c r="A92" s="516"/>
      <c r="B92" s="521">
        <f>B28</f>
        <v>111</v>
      </c>
      <c r="C92" s="537"/>
      <c r="D92" s="537"/>
      <c r="E92" s="537"/>
      <c r="F92" s="537"/>
      <c r="G92" s="567"/>
      <c r="H92" s="567"/>
      <c r="I92" s="567"/>
      <c r="J92" s="567"/>
      <c r="K92" s="568"/>
      <c r="L92" s="569"/>
      <c r="M92" s="570"/>
      <c r="N92" s="1267"/>
      <c r="O92" s="1267"/>
      <c r="P92" s="2416"/>
      <c r="Q92" s="485"/>
    </row>
    <row r="93" spans="1:17" ht="15.75" thickBot="1">
      <c r="A93" s="516"/>
      <c r="B93" s="526"/>
      <c r="C93" s="544"/>
      <c r="D93" s="518"/>
      <c r="E93" s="518"/>
      <c r="F93" s="518"/>
      <c r="G93" s="518"/>
      <c r="H93" s="518"/>
      <c r="I93" s="518"/>
      <c r="J93" s="518"/>
      <c r="K93" s="518"/>
      <c r="L93" s="518"/>
      <c r="M93" s="519"/>
      <c r="N93" s="1268"/>
      <c r="O93" s="1268"/>
      <c r="P93" s="2416"/>
      <c r="Q93" s="485"/>
    </row>
    <row r="94" spans="1:17" ht="15.75" thickTop="1">
      <c r="A94" s="516"/>
      <c r="B94" s="521">
        <f>B29</f>
        <v>111</v>
      </c>
      <c r="C94" s="537"/>
      <c r="D94" s="537"/>
      <c r="E94" s="537"/>
      <c r="F94" s="537"/>
      <c r="G94" s="567"/>
      <c r="H94" s="567"/>
      <c r="I94" s="567"/>
      <c r="J94" s="567"/>
      <c r="K94" s="568"/>
      <c r="L94" s="569"/>
      <c r="M94" s="570"/>
      <c r="N94" s="1267"/>
      <c r="O94" s="1267"/>
      <c r="P94" s="2416"/>
      <c r="Q94" s="485"/>
    </row>
    <row r="95" spans="1:17" ht="15.75" thickBot="1">
      <c r="A95" s="516"/>
      <c r="B95" s="526"/>
      <c r="C95" s="544"/>
      <c r="D95" s="544"/>
      <c r="E95" s="544"/>
      <c r="F95" s="544"/>
      <c r="G95" s="518"/>
      <c r="H95" s="518"/>
      <c r="I95" s="518"/>
      <c r="J95" s="518"/>
      <c r="K95" s="518"/>
      <c r="L95" s="518"/>
      <c r="M95" s="519"/>
      <c r="N95" s="1268"/>
      <c r="O95" s="1268"/>
      <c r="P95" s="2416"/>
      <c r="Q95" s="485"/>
    </row>
    <row r="96" spans="1:17" ht="15.75" thickTop="1">
      <c r="A96" s="516"/>
      <c r="B96" s="521">
        <f>B30</f>
        <v>111</v>
      </c>
      <c r="C96" s="537"/>
      <c r="D96" s="537"/>
      <c r="E96" s="537"/>
      <c r="F96" s="537"/>
      <c r="G96" s="567"/>
      <c r="H96" s="567"/>
      <c r="I96" s="567"/>
      <c r="J96" s="567"/>
      <c r="K96" s="568"/>
      <c r="L96" s="569"/>
      <c r="M96" s="570"/>
      <c r="N96" s="1267"/>
      <c r="O96" s="1267"/>
      <c r="P96" s="2416"/>
      <c r="Q96" s="485"/>
    </row>
    <row r="97" spans="1:17" ht="15.75" thickBot="1">
      <c r="A97" s="516"/>
      <c r="B97" s="526"/>
      <c r="C97" s="554"/>
      <c r="D97" s="554"/>
      <c r="E97" s="554"/>
      <c r="F97" s="554"/>
      <c r="G97" s="518"/>
      <c r="H97" s="518"/>
      <c r="I97" s="518"/>
      <c r="J97" s="518"/>
      <c r="K97" s="518"/>
      <c r="L97" s="518"/>
      <c r="M97" s="519"/>
      <c r="N97" s="1268"/>
      <c r="O97" s="1268"/>
      <c r="P97" s="2416"/>
      <c r="Q97" s="485"/>
    </row>
    <row r="98" spans="1:17" ht="15.75" thickTop="1">
      <c r="A98" s="516"/>
      <c r="B98" s="529">
        <f>B31</f>
        <v>111</v>
      </c>
      <c r="C98" s="571"/>
      <c r="D98" s="571"/>
      <c r="E98" s="571"/>
      <c r="F98" s="571"/>
      <c r="G98" s="571"/>
      <c r="H98" s="571"/>
      <c r="I98" s="571"/>
      <c r="J98" s="571"/>
      <c r="K98" s="572"/>
      <c r="L98" s="573"/>
      <c r="M98" s="574"/>
      <c r="N98" s="1267"/>
      <c r="O98" s="1267"/>
      <c r="P98" s="2416"/>
      <c r="Q98" s="485"/>
    </row>
    <row r="99" spans="1:17" ht="15.75" thickBot="1">
      <c r="A99" s="2422"/>
      <c r="B99" s="553"/>
      <c r="C99" s="575"/>
      <c r="D99" s="575"/>
      <c r="E99" s="575"/>
      <c r="F99" s="575"/>
      <c r="G99" s="575"/>
      <c r="H99" s="575"/>
      <c r="I99" s="575"/>
      <c r="J99" s="575"/>
      <c r="K99" s="575"/>
      <c r="L99" s="575"/>
      <c r="M99" s="576"/>
      <c r="N99" s="1268"/>
      <c r="O99" s="1268"/>
      <c r="P99" s="2416"/>
      <c r="Q99" s="485"/>
    </row>
    <row r="100" spans="1:17">
      <c r="A100" s="508" t="s">
        <v>2358</v>
      </c>
      <c r="B100" s="509" t="s">
        <v>2407</v>
      </c>
      <c r="C100" s="511"/>
      <c r="D100" s="511"/>
      <c r="E100" s="511"/>
      <c r="F100" s="511"/>
      <c r="G100" s="511"/>
      <c r="H100" s="511"/>
      <c r="I100" s="511"/>
      <c r="J100" s="511"/>
      <c r="K100" s="512"/>
      <c r="L100" s="513"/>
      <c r="M100" s="514"/>
      <c r="N100" s="1267"/>
      <c r="O100" s="1267"/>
      <c r="P100" s="241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16"/>
      <c r="Q101" s="485"/>
    </row>
    <row r="102" spans="1:17" ht="15.75" thickTop="1">
      <c r="A102" s="516"/>
      <c r="B102" s="521" t="s">
        <v>2408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16"/>
      <c r="Q102" s="485"/>
    </row>
    <row r="103" spans="1:17" s="452" customFormat="1">
      <c r="A103" s="577"/>
      <c r="B103" s="578"/>
      <c r="C103" s="579"/>
      <c r="D103" s="579"/>
      <c r="E103" s="579"/>
      <c r="F103" s="579"/>
      <c r="G103" s="579"/>
      <c r="H103" s="579"/>
      <c r="I103" s="579"/>
      <c r="J103" s="580"/>
      <c r="K103" s="580"/>
      <c r="L103" s="581"/>
      <c r="M103" s="582"/>
      <c r="N103" s="1269"/>
      <c r="O103" s="1269"/>
      <c r="P103" s="2417"/>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17"/>
      <c r="Q104" s="543"/>
    </row>
    <row r="105" spans="1:17" ht="15" thickTop="1">
      <c r="A105" s="583"/>
      <c r="B105" s="521" t="s">
        <v>2409</v>
      </c>
      <c r="C105" s="537"/>
      <c r="D105" s="537"/>
      <c r="E105" s="567"/>
      <c r="F105" s="567"/>
      <c r="G105" s="567"/>
      <c r="H105" s="567"/>
      <c r="I105" s="567"/>
      <c r="J105" s="567"/>
      <c r="K105" s="568"/>
      <c r="L105" s="569"/>
      <c r="M105" s="570"/>
      <c r="N105" s="1267"/>
      <c r="O105" s="1267"/>
      <c r="P105" s="241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16"/>
      <c r="Q106" s="485"/>
    </row>
    <row r="107" spans="1:17" ht="15" thickTop="1">
      <c r="A107" s="583"/>
      <c r="B107" s="521" t="s">
        <v>2410</v>
      </c>
      <c r="C107" s="567"/>
      <c r="D107" s="567"/>
      <c r="E107" s="567"/>
      <c r="F107" s="567"/>
      <c r="G107" s="567"/>
      <c r="H107" s="567"/>
      <c r="I107" s="567"/>
      <c r="J107" s="567"/>
      <c r="K107" s="568"/>
      <c r="L107" s="569"/>
      <c r="M107" s="570"/>
      <c r="N107" s="1267"/>
      <c r="O107" s="1267"/>
      <c r="P107" s="241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16"/>
      <c r="Q108" s="485"/>
    </row>
    <row r="109" spans="1:17" ht="15" thickTop="1">
      <c r="A109" s="583"/>
      <c r="B109" s="521" t="s">
        <v>2411</v>
      </c>
      <c r="C109" s="537"/>
      <c r="D109" s="537"/>
      <c r="E109" s="537"/>
      <c r="F109" s="567"/>
      <c r="G109" s="567"/>
      <c r="H109" s="567"/>
      <c r="I109" s="567"/>
      <c r="J109" s="567"/>
      <c r="K109" s="568"/>
      <c r="L109" s="569"/>
      <c r="M109" s="570"/>
      <c r="N109" s="1267"/>
      <c r="O109" s="1267"/>
      <c r="P109" s="241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16"/>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1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17"/>
      <c r="Q113" s="543"/>
    </row>
    <row r="114" spans="1:17" ht="15" thickTop="1">
      <c r="A114" s="583"/>
      <c r="B114" s="521" t="s">
        <v>2413</v>
      </c>
      <c r="C114" s="537"/>
      <c r="D114" s="537"/>
      <c r="E114" s="567"/>
      <c r="F114" s="567"/>
      <c r="G114" s="567"/>
      <c r="H114" s="567"/>
      <c r="I114" s="567"/>
      <c r="J114" s="567"/>
      <c r="K114" s="568"/>
      <c r="L114" s="569"/>
      <c r="M114" s="570"/>
      <c r="N114" s="1267"/>
      <c r="O114" s="1267"/>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16"/>
      <c r="Q115" s="485"/>
    </row>
    <row r="116" spans="1:17" ht="15" thickTop="1">
      <c r="A116" s="583"/>
      <c r="B116" s="521" t="s">
        <v>2414</v>
      </c>
      <c r="C116" s="537"/>
      <c r="D116" s="537"/>
      <c r="E116" s="537"/>
      <c r="F116" s="537"/>
      <c r="G116" s="537"/>
      <c r="H116" s="567"/>
      <c r="I116" s="567"/>
      <c r="J116" s="567"/>
      <c r="K116" s="568"/>
      <c r="L116" s="569"/>
      <c r="M116" s="570"/>
      <c r="N116" s="1267"/>
      <c r="O116" s="1267"/>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6"/>
      <c r="Q117" s="485"/>
    </row>
    <row r="118" spans="1:17" ht="15" thickTop="1">
      <c r="A118" s="583"/>
      <c r="B118" s="521" t="s">
        <v>2415</v>
      </c>
      <c r="C118" s="567"/>
      <c r="D118" s="567"/>
      <c r="E118" s="567"/>
      <c r="F118" s="567"/>
      <c r="G118" s="567"/>
      <c r="H118" s="567"/>
      <c r="I118" s="567"/>
      <c r="J118" s="567"/>
      <c r="K118" s="568"/>
      <c r="L118" s="569"/>
      <c r="M118" s="570"/>
      <c r="N118" s="1267"/>
      <c r="O118" s="1267"/>
      <c r="P118" s="241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16"/>
      <c r="Q119" s="485"/>
    </row>
    <row r="120" spans="1:17" s="452" customFormat="1" ht="28.5" thickTop="1">
      <c r="A120" s="577"/>
      <c r="B120" s="521" t="s">
        <v>2369</v>
      </c>
      <c r="C120" s="537"/>
      <c r="D120" s="537"/>
      <c r="E120" s="537"/>
      <c r="F120" s="537"/>
      <c r="G120" s="537"/>
      <c r="H120" s="537"/>
      <c r="I120" s="537"/>
      <c r="J120" s="537"/>
      <c r="K120" s="537"/>
      <c r="L120" s="564"/>
      <c r="M120" s="565"/>
      <c r="N120" s="1269"/>
      <c r="O120" s="1269"/>
      <c r="P120" s="241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17"/>
      <c r="Q121" s="543"/>
    </row>
    <row r="122" spans="1:17" ht="15" thickTop="1">
      <c r="A122" s="583"/>
      <c r="B122" s="521" t="s">
        <v>2416</v>
      </c>
      <c r="C122" s="537"/>
      <c r="D122" s="537"/>
      <c r="E122" s="537"/>
      <c r="F122" s="567"/>
      <c r="G122" s="567"/>
      <c r="H122" s="567"/>
      <c r="I122" s="567"/>
      <c r="J122" s="567"/>
      <c r="K122" s="568"/>
      <c r="L122" s="569"/>
      <c r="M122" s="570"/>
      <c r="N122" s="1267"/>
      <c r="O122" s="1267"/>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7"/>
      <c r="O124" s="1267"/>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1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17"/>
      <c r="Q127" s="543"/>
    </row>
    <row r="128" spans="1:17" ht="15" thickTop="1">
      <c r="A128" s="583"/>
      <c r="B128" s="521">
        <f>B45</f>
        <v>111</v>
      </c>
      <c r="C128" s="537"/>
      <c r="D128" s="537"/>
      <c r="E128" s="537"/>
      <c r="F128" s="537"/>
      <c r="G128" s="567"/>
      <c r="H128" s="567"/>
      <c r="I128" s="567"/>
      <c r="J128" s="567"/>
      <c r="K128" s="568"/>
      <c r="L128" s="569"/>
      <c r="M128" s="570"/>
      <c r="N128" s="1267"/>
      <c r="O128" s="1267"/>
      <c r="P128" s="2416"/>
      <c r="Q128" s="485"/>
    </row>
    <row r="129" spans="1:17" ht="15.75" thickBot="1">
      <c r="A129" s="516"/>
      <c r="B129" s="526"/>
      <c r="C129" s="544"/>
      <c r="D129" s="544"/>
      <c r="E129" s="544"/>
      <c r="F129" s="544"/>
      <c r="G129" s="518"/>
      <c r="H129" s="518"/>
      <c r="I129" s="518"/>
      <c r="J129" s="518"/>
      <c r="K129" s="518"/>
      <c r="L129" s="518"/>
      <c r="M129" s="519"/>
      <c r="N129" s="1268"/>
      <c r="O129" s="1268"/>
      <c r="P129" s="2416"/>
      <c r="Q129" s="485"/>
    </row>
    <row r="130" spans="1:17" ht="15" thickTop="1">
      <c r="A130" s="583"/>
      <c r="B130" s="529">
        <f>B46</f>
        <v>111</v>
      </c>
      <c r="C130" s="537"/>
      <c r="D130" s="537"/>
      <c r="E130" s="537"/>
      <c r="F130" s="537"/>
      <c r="G130" s="571"/>
      <c r="H130" s="571"/>
      <c r="I130" s="571"/>
      <c r="J130" s="571"/>
      <c r="K130" s="504"/>
      <c r="L130" s="505"/>
      <c r="M130" s="574"/>
      <c r="N130" s="1267"/>
      <c r="O130" s="1267"/>
      <c r="P130" s="2416"/>
      <c r="Q130" s="485"/>
    </row>
    <row r="131" spans="1:17" ht="15.75" thickBot="1">
      <c r="A131" s="2422"/>
      <c r="B131" s="553"/>
      <c r="C131" s="554"/>
      <c r="D131" s="554"/>
      <c r="E131" s="554"/>
      <c r="F131" s="554"/>
      <c r="G131" s="575"/>
      <c r="H131" s="575"/>
      <c r="I131" s="575"/>
      <c r="J131" s="575"/>
      <c r="K131" s="575"/>
      <c r="L131" s="575"/>
      <c r="M131" s="576"/>
      <c r="N131" s="1268"/>
      <c r="O131" s="1268"/>
      <c r="P131" s="2416"/>
      <c r="Q131" s="485"/>
    </row>
    <row r="136" spans="1:17" ht="15" thickBot="1">
      <c r="B136" s="2423" t="s">
        <v>2418</v>
      </c>
    </row>
    <row r="137" spans="1:17" ht="15">
      <c r="B137" s="2424" t="s">
        <v>2419</v>
      </c>
      <c r="C137" s="2425"/>
      <c r="D137" s="2425"/>
      <c r="E137" s="2425"/>
      <c r="F137" s="2425"/>
      <c r="G137" s="2426"/>
      <c r="H137" s="2427"/>
      <c r="I137" s="2428" t="s">
        <v>2420</v>
      </c>
      <c r="J137" s="2425"/>
      <c r="K137" s="2429"/>
    </row>
    <row r="138" spans="1:17" ht="15">
      <c r="B138" s="2430"/>
      <c r="C138" s="62" t="s">
        <v>2421</v>
      </c>
      <c r="D138" s="62" t="s">
        <v>2422</v>
      </c>
      <c r="E138" s="2431" t="s">
        <v>2423</v>
      </c>
      <c r="F138" s="2432" t="s">
        <v>2424</v>
      </c>
      <c r="G138" s="62" t="s">
        <v>2422</v>
      </c>
      <c r="H138" s="63" t="s">
        <v>2423</v>
      </c>
      <c r="I138" s="2433"/>
      <c r="J138" s="62" t="s">
        <v>2425</v>
      </c>
      <c r="K138" s="63" t="s">
        <v>2426</v>
      </c>
    </row>
    <row r="139" spans="1:17" ht="15">
      <c r="B139" s="1125">
        <v>6</v>
      </c>
      <c r="C139" s="1133">
        <v>96</v>
      </c>
      <c r="D139" s="2434" t="s">
        <v>2427</v>
      </c>
      <c r="E139" s="1134">
        <v>100</v>
      </c>
      <c r="F139" s="1135">
        <v>102.5</v>
      </c>
      <c r="G139" s="2434" t="s">
        <v>2427</v>
      </c>
      <c r="H139" s="1136">
        <v>105</v>
      </c>
      <c r="I139" s="2435" t="s">
        <v>2428</v>
      </c>
      <c r="J139" s="1133">
        <v>20</v>
      </c>
      <c r="K139" s="1127">
        <f>C145/(J139-2)</f>
        <v>4.0555555555555553E-3</v>
      </c>
    </row>
    <row r="140" spans="1:17" ht="15">
      <c r="B140" s="1126">
        <v>5</v>
      </c>
      <c r="C140" s="1137">
        <v>100</v>
      </c>
      <c r="D140" s="1137"/>
      <c r="E140" s="1138"/>
      <c r="F140" s="1139">
        <v>102</v>
      </c>
      <c r="G140" s="1137"/>
      <c r="H140" s="1140"/>
      <c r="I140" s="2436" t="s">
        <v>2429</v>
      </c>
      <c r="J140" s="217">
        <f>ROUNDUP((J139-1)/2,0)</f>
        <v>10</v>
      </c>
      <c r="K140" s="1128">
        <v>100</v>
      </c>
    </row>
    <row r="141" spans="1:17" ht="15">
      <c r="B141" s="1126">
        <v>4</v>
      </c>
      <c r="C141" s="1137">
        <v>102</v>
      </c>
      <c r="D141" s="1137"/>
      <c r="E141" s="1138"/>
      <c r="F141" s="1139">
        <v>101.5</v>
      </c>
      <c r="G141" s="1137"/>
      <c r="H141" s="1140"/>
      <c r="I141" s="2436" t="s">
        <v>2430</v>
      </c>
      <c r="J141" s="217">
        <v>1</v>
      </c>
      <c r="K141" s="1129">
        <f>ROUND(100+(J141-J140)*K139*100,1)</f>
        <v>96.4</v>
      </c>
    </row>
    <row r="142" spans="1:17" ht="15">
      <c r="B142" s="1126">
        <v>3</v>
      </c>
      <c r="C142" s="1137">
        <v>103</v>
      </c>
      <c r="D142" s="1137"/>
      <c r="E142" s="1138"/>
      <c r="F142" s="1139">
        <v>101</v>
      </c>
      <c r="G142" s="1137"/>
      <c r="H142" s="1140"/>
      <c r="I142" s="2436" t="s">
        <v>2431</v>
      </c>
      <c r="J142" s="217">
        <f>J139</f>
        <v>20</v>
      </c>
      <c r="K142" s="1142">
        <v>95</v>
      </c>
    </row>
    <row r="143" spans="1:17" ht="15">
      <c r="B143" s="1126">
        <v>2</v>
      </c>
      <c r="C143" s="1137">
        <v>100</v>
      </c>
      <c r="D143" s="1137"/>
      <c r="E143" s="1138"/>
      <c r="F143" s="1139">
        <v>100.5</v>
      </c>
      <c r="G143" s="1137"/>
      <c r="H143" s="1140"/>
      <c r="I143" s="2436" t="s">
        <v>2432</v>
      </c>
      <c r="J143" s="1137">
        <v>15</v>
      </c>
      <c r="K143" s="1129">
        <f>ROUND(100+(J143-J140)*K139*100,1)</f>
        <v>102</v>
      </c>
    </row>
    <row r="144" spans="1:17" ht="15">
      <c r="B144" s="1126">
        <v>1</v>
      </c>
      <c r="C144" s="1137">
        <v>98</v>
      </c>
      <c r="D144" s="2437" t="s">
        <v>2433</v>
      </c>
      <c r="E144" s="1138">
        <v>102</v>
      </c>
      <c r="F144" s="1141">
        <v>100</v>
      </c>
      <c r="G144" s="2437" t="s">
        <v>2433</v>
      </c>
      <c r="H144" s="1140">
        <v>105</v>
      </c>
      <c r="I144" s="2436" t="s">
        <v>2432</v>
      </c>
      <c r="J144" s="1137">
        <v>18</v>
      </c>
      <c r="K144" s="1129">
        <f>ROUND(100+(J144-J140)*K139*100,1)</f>
        <v>103.2</v>
      </c>
    </row>
    <row r="145" spans="2:11" ht="15.75" thickBot="1">
      <c r="B145" s="2438" t="s">
        <v>2434</v>
      </c>
      <c r="C145" s="1131">
        <f>ROUND(MAX(C139:C144)/MIN(C139:C144)-1,3)</f>
        <v>7.2999999999999995E-2</v>
      </c>
      <c r="D145" s="1132"/>
      <c r="E145" s="1132"/>
      <c r="F145" s="2439" t="s">
        <v>2435</v>
      </c>
      <c r="G145" s="2440"/>
      <c r="H145" s="2441"/>
      <c r="I145" s="2442" t="s">
        <v>2432</v>
      </c>
      <c r="J145" s="1143">
        <v>8</v>
      </c>
      <c r="K145" s="1130">
        <f>ROUND(100+(J145-J140)*K139*100,1)</f>
        <v>99.2</v>
      </c>
    </row>
    <row r="147" spans="2:11">
      <c r="B147" s="2423" t="s">
        <v>2436</v>
      </c>
    </row>
    <row r="148" spans="2:11">
      <c r="B148" s="2423"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0" zoomScale="90" zoomScaleNormal="90" workbookViewId="0">
      <selection activeCell="K26" sqref="K2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2325</v>
      </c>
      <c r="B1" s="1735" t="s">
        <v>2438</v>
      </c>
      <c r="C1" s="1727" t="s">
        <v>3015</v>
      </c>
      <c r="D1" s="2443"/>
      <c r="E1" s="2372"/>
      <c r="F1" s="1741" t="s">
        <v>2327</v>
      </c>
      <c r="G1" s="1740"/>
      <c r="H1" s="1740"/>
      <c r="I1" s="1740"/>
      <c r="J1" s="1740"/>
      <c r="K1" s="1742"/>
      <c r="L1" s="1734"/>
      <c r="M1" s="1735"/>
      <c r="N1" s="1735"/>
      <c r="O1" s="1735"/>
      <c r="P1" s="2373"/>
      <c r="Q1" s="1736"/>
      <c r="R1" s="1736"/>
      <c r="S1" s="1736"/>
      <c r="T1" s="1736"/>
      <c r="U1" s="1736"/>
      <c r="V1" s="1736"/>
      <c r="W1" s="1736"/>
      <c r="X1" s="1736"/>
      <c r="Y1" s="1736"/>
      <c r="Z1" s="1736"/>
      <c r="AA1" s="1736"/>
      <c r="AB1" s="1736"/>
      <c r="AC1" s="1737"/>
    </row>
    <row r="2" spans="1:29" s="377" customFormat="1" ht="28.5" customHeight="1" thickTop="1">
      <c r="A2" s="1728" t="s">
        <v>1994</v>
      </c>
      <c r="B2" s="1726" t="e">
        <f ca="1">IF(D2="——",IF(C2="元",ROUND(C49*D3,0),ROUND(C49*D3/10000,0)),IF(C2="元",ROUND(C49*D3,0),ROUND(C49*D3/10000,0))-E2)</f>
        <v>#REF!</v>
      </c>
      <c r="C2" s="163" t="str">
        <f>'数据-取费表'!B3</f>
        <v>元</v>
      </c>
      <c r="D2" s="2374"/>
      <c r="E2" s="2444" t="e">
        <f ca="1">SUMIF(INDIRECT("'"&amp;G2&amp;"'"&amp;"!A:A"),"承租人权益价值",INDIRECT("'"&amp;G2&amp;"'"&amp;"!c:c"))</f>
        <v>#REF!</v>
      </c>
      <c r="F2" s="2375" t="str">
        <f>C2</f>
        <v>元</v>
      </c>
      <c r="G2" s="2376"/>
      <c r="H2" s="981"/>
      <c r="I2" s="981"/>
      <c r="J2" s="981"/>
      <c r="K2" s="981"/>
      <c r="L2" s="1241"/>
      <c r="M2" s="1242"/>
      <c r="N2" s="1242"/>
      <c r="O2" s="1242"/>
      <c r="P2" s="2445"/>
      <c r="Q2" s="747"/>
      <c r="R2" s="747"/>
      <c r="S2" s="747"/>
      <c r="T2" s="747"/>
      <c r="U2" s="747"/>
      <c r="V2" s="747"/>
      <c r="W2" s="747"/>
      <c r="X2" s="747"/>
      <c r="Y2" s="747"/>
      <c r="Z2" s="747"/>
      <c r="AA2" s="747"/>
      <c r="AB2" s="747"/>
      <c r="AC2" s="748"/>
    </row>
    <row r="3" spans="1:29" s="377" customFormat="1" ht="28.5" customHeight="1" thickBot="1">
      <c r="A3" s="167" t="s">
        <v>1995</v>
      </c>
      <c r="B3" s="593" t="e">
        <f ca="1">ROUND(IF(D2="——",C49,IF(C2="万元",B2*10000/D3,B2/D3)),0)</f>
        <v>#REF!</v>
      </c>
      <c r="C3" s="379" t="s">
        <v>2328</v>
      </c>
      <c r="D3" s="378">
        <f>IF(C1="仅计算典型户型",'数据-取费表'!E5,'数据-取费表'!B5)</f>
        <v>110</v>
      </c>
      <c r="E3" s="2446"/>
      <c r="F3" s="982"/>
      <c r="G3" s="981"/>
      <c r="H3" s="981"/>
      <c r="I3" s="981"/>
      <c r="J3" s="981"/>
      <c r="K3" s="983"/>
      <c r="L3" s="1241"/>
      <c r="M3" s="1242"/>
      <c r="N3" s="1242"/>
      <c r="O3" s="1242"/>
      <c r="P3" s="2445"/>
      <c r="Q3" s="747"/>
      <c r="R3" s="747"/>
      <c r="S3" s="747"/>
      <c r="T3" s="747"/>
      <c r="U3" s="747"/>
      <c r="V3" s="747"/>
      <c r="W3" s="747"/>
      <c r="X3" s="747"/>
      <c r="Y3" s="747"/>
      <c r="Z3" s="747"/>
      <c r="AA3" s="747"/>
      <c r="AB3" s="747"/>
      <c r="AC3" s="761"/>
    </row>
    <row r="4" spans="1:29" ht="15">
      <c r="A4" s="380" t="s">
        <v>2329</v>
      </c>
      <c r="B4" s="381"/>
      <c r="C4" s="3108" t="s">
        <v>2330</v>
      </c>
      <c r="D4" s="3109"/>
      <c r="E4" s="3110" t="s">
        <v>2331</v>
      </c>
      <c r="F4" s="3111"/>
      <c r="G4" s="3108" t="s">
        <v>2332</v>
      </c>
      <c r="H4" s="3109"/>
      <c r="I4" s="3108" t="s">
        <v>2333</v>
      </c>
      <c r="J4" s="3109"/>
      <c r="K4" s="594" t="s">
        <v>2334</v>
      </c>
      <c r="L4" s="1243"/>
      <c r="M4" s="1244"/>
      <c r="N4" s="1244"/>
      <c r="O4" s="1244"/>
      <c r="P4" s="3112" t="s">
        <v>2335</v>
      </c>
      <c r="Q4" s="3113"/>
      <c r="R4" s="3097" t="s">
        <v>2331</v>
      </c>
      <c r="S4" s="3098"/>
      <c r="T4" s="3097" t="s">
        <v>2332</v>
      </c>
      <c r="U4" s="3098"/>
      <c r="V4" s="3118" t="s">
        <v>2333</v>
      </c>
      <c r="W4" s="3118"/>
      <c r="X4" s="1890"/>
      <c r="Y4" s="3097" t="s">
        <v>2335</v>
      </c>
      <c r="Z4" s="3098"/>
      <c r="AA4" s="3105" t="s">
        <v>2331</v>
      </c>
      <c r="AB4" s="3118" t="s">
        <v>2332</v>
      </c>
      <c r="AC4" s="3105" t="s">
        <v>2333</v>
      </c>
    </row>
    <row r="5" spans="1:29" ht="15">
      <c r="A5" s="383"/>
      <c r="B5" s="384"/>
      <c r="C5" s="3093" t="str">
        <f>项目基本情况!C8</f>
        <v>北京市海淀区花园东路8-37号</v>
      </c>
      <c r="D5" s="3094"/>
      <c r="E5" s="3123" t="s">
        <v>2947</v>
      </c>
      <c r="F5" s="3120"/>
      <c r="G5" s="3124" t="s">
        <v>3018</v>
      </c>
      <c r="H5" s="3094"/>
      <c r="I5" s="3124" t="s">
        <v>3022</v>
      </c>
      <c r="J5" s="3094"/>
      <c r="K5" s="594"/>
      <c r="L5" s="1243"/>
      <c r="M5" s="1244"/>
      <c r="N5" s="1244"/>
      <c r="O5" s="1244"/>
      <c r="P5" s="3114"/>
      <c r="Q5" s="3115"/>
      <c r="R5" s="3099"/>
      <c r="S5" s="3100"/>
      <c r="T5" s="3099"/>
      <c r="U5" s="3100"/>
      <c r="V5" s="3118"/>
      <c r="W5" s="3118"/>
      <c r="X5" s="1890"/>
      <c r="Y5" s="3099"/>
      <c r="Z5" s="3100"/>
      <c r="AA5" s="3106"/>
      <c r="AB5" s="3118"/>
      <c r="AC5" s="3106"/>
    </row>
    <row r="6" spans="1:29" ht="15.75" thickBot="1">
      <c r="A6" s="385"/>
      <c r="B6" s="386"/>
      <c r="C6" s="3091" t="s">
        <v>2340</v>
      </c>
      <c r="D6" s="3092"/>
      <c r="E6" s="3125" t="s">
        <v>2946</v>
      </c>
      <c r="F6" s="3122"/>
      <c r="G6" s="3091" t="s">
        <v>2340</v>
      </c>
      <c r="H6" s="3092"/>
      <c r="I6" s="3091" t="s">
        <v>2340</v>
      </c>
      <c r="J6" s="3092"/>
      <c r="K6" s="594" t="s">
        <v>2341</v>
      </c>
      <c r="L6" s="1243"/>
      <c r="M6" s="1244"/>
      <c r="N6" s="1244"/>
      <c r="O6" s="1244"/>
      <c r="P6" s="3116"/>
      <c r="Q6" s="3117"/>
      <c r="R6" s="3099"/>
      <c r="S6" s="3100"/>
      <c r="T6" s="3101"/>
      <c r="U6" s="3102"/>
      <c r="V6" s="3118"/>
      <c r="W6" s="3118"/>
      <c r="X6" s="1890"/>
      <c r="Y6" s="3101"/>
      <c r="Z6" s="3102"/>
      <c r="AA6" s="3107"/>
      <c r="AB6" s="3118"/>
      <c r="AC6" s="3107"/>
    </row>
    <row r="7" spans="1:29" s="35" customFormat="1" ht="15.75" thickBot="1">
      <c r="A7" s="387" t="s">
        <v>2342</v>
      </c>
      <c r="B7" s="388"/>
      <c r="C7" s="389">
        <f>'数据-取费表'!B2</f>
        <v>43077</v>
      </c>
      <c r="D7" s="390">
        <v>100</v>
      </c>
      <c r="E7" s="391">
        <v>43070</v>
      </c>
      <c r="F7" s="392">
        <f>SUMIF(58:58,YEAR(E7)&amp;"-"&amp;MONTH(E7),59:59)</f>
        <v>100</v>
      </c>
      <c r="G7" s="391">
        <v>43070</v>
      </c>
      <c r="H7" s="390">
        <f>SUMIF(58:58,YEAR(G7)&amp;"-"&amp;MONTH(G7),59:59)</f>
        <v>100</v>
      </c>
      <c r="I7" s="391">
        <v>43070</v>
      </c>
      <c r="J7" s="390">
        <f>SUMIF(58:58,YEAR(I7)&amp;"-"&amp;MONTH(I7),59:59)</f>
        <v>100</v>
      </c>
      <c r="K7" s="595"/>
      <c r="L7" s="1245"/>
      <c r="M7" s="1246"/>
      <c r="N7" s="1246"/>
      <c r="O7" s="1246"/>
      <c r="P7" s="3095" t="s">
        <v>2343</v>
      </c>
      <c r="Q7" s="3103"/>
      <c r="R7" s="749" t="s">
        <v>25</v>
      </c>
      <c r="S7" s="750">
        <f t="shared" ref="S7:S15" si="0">F7</f>
        <v>100</v>
      </c>
      <c r="T7" s="749" t="s">
        <v>25</v>
      </c>
      <c r="U7" s="750">
        <f t="shared" ref="U7:U15" si="1">H7</f>
        <v>100</v>
      </c>
      <c r="V7" s="749" t="s">
        <v>25</v>
      </c>
      <c r="W7" s="750">
        <f t="shared" ref="W7:W15" si="2">J7</f>
        <v>100</v>
      </c>
      <c r="X7" s="751"/>
      <c r="Y7" s="3095" t="s">
        <v>2343</v>
      </c>
      <c r="Z7" s="3096"/>
      <c r="AA7" s="752">
        <f>D7/F7</f>
        <v>1</v>
      </c>
      <c r="AB7" s="752">
        <f>D7/H7</f>
        <v>1</v>
      </c>
      <c r="AC7" s="752">
        <f>D7/J7</f>
        <v>1</v>
      </c>
    </row>
    <row r="8" spans="1:29" s="35" customFormat="1" ht="15.75" thickBot="1">
      <c r="A8" s="387" t="s">
        <v>2344</v>
      </c>
      <c r="B8" s="388"/>
      <c r="C8" s="394" t="s">
        <v>2345</v>
      </c>
      <c r="D8" s="390">
        <v>100</v>
      </c>
      <c r="E8" s="394" t="s">
        <v>2948</v>
      </c>
      <c r="F8" s="392">
        <f>SUMIF(61:61,E8,62:62)-SUMIF(61:61,C8,62:62)+100</f>
        <v>100</v>
      </c>
      <c r="G8" s="394" t="s">
        <v>2948</v>
      </c>
      <c r="H8" s="390">
        <f>SUMIF(61:61,G8,62:62)-SUMIF(61:61,C8,62:62)+100</f>
        <v>100</v>
      </c>
      <c r="I8" s="394" t="s">
        <v>2948</v>
      </c>
      <c r="J8" s="390">
        <f>SUMIF(61:61,I8,62:62)-SUMIF(61:61,C8,62:62)+100</f>
        <v>100</v>
      </c>
      <c r="K8" s="595"/>
      <c r="L8" s="1245"/>
      <c r="M8" s="1246"/>
      <c r="N8" s="1246"/>
      <c r="O8" s="1246"/>
      <c r="P8" s="3095" t="s">
        <v>2346</v>
      </c>
      <c r="Q8" s="3096"/>
      <c r="R8" s="749" t="s">
        <v>25</v>
      </c>
      <c r="S8" s="750">
        <f t="shared" si="0"/>
        <v>100</v>
      </c>
      <c r="T8" s="749" t="s">
        <v>25</v>
      </c>
      <c r="U8" s="750">
        <f t="shared" si="1"/>
        <v>100</v>
      </c>
      <c r="V8" s="749" t="s">
        <v>25</v>
      </c>
      <c r="W8" s="750">
        <f t="shared" si="2"/>
        <v>100</v>
      </c>
      <c r="X8" s="751"/>
      <c r="Y8" s="3095" t="s">
        <v>2346</v>
      </c>
      <c r="Z8" s="3096"/>
      <c r="AA8" s="752">
        <f t="shared" ref="AA8:AA46" si="3">D8/F8</f>
        <v>1</v>
      </c>
      <c r="AB8" s="752">
        <f t="shared" ref="AB8:AB46" si="4">D8/H8</f>
        <v>1</v>
      </c>
      <c r="AC8" s="752">
        <f t="shared" ref="AC8:AC46" si="5">D8/J8</f>
        <v>1</v>
      </c>
    </row>
    <row r="9" spans="1:29" s="35" customFormat="1" ht="15" thickBot="1">
      <c r="A9" s="395" t="s">
        <v>2347</v>
      </c>
      <c r="B9" s="28" t="s">
        <v>2348</v>
      </c>
      <c r="C9" s="2781" t="s">
        <v>2950</v>
      </c>
      <c r="D9" s="51">
        <v>100</v>
      </c>
      <c r="E9" s="397" t="s">
        <v>2949</v>
      </c>
      <c r="F9" s="398">
        <f>SUMIF(63:63,E9,64:64)-SUMIF(63:63,C9,64:64)+100</f>
        <v>100</v>
      </c>
      <c r="G9" s="397" t="s">
        <v>2949</v>
      </c>
      <c r="H9" s="51">
        <f>SUMIF(63:63,G9,64:64)-SUMIF(63:63,C9,64:64)+100</f>
        <v>100</v>
      </c>
      <c r="I9" s="397" t="s">
        <v>2949</v>
      </c>
      <c r="J9" s="51">
        <f>SUMIF(63:63,I9,64:64)-SUMIF(63:63,C9,64:64)+100</f>
        <v>100</v>
      </c>
      <c r="K9" s="595"/>
      <c r="L9" s="1245"/>
      <c r="M9" s="1246"/>
      <c r="N9" s="1246"/>
      <c r="O9" s="1246"/>
      <c r="P9" s="3104" t="s">
        <v>2349</v>
      </c>
      <c r="Q9" s="1877" t="str">
        <f t="shared" ref="Q9:Q15" si="6">B9</f>
        <v>用途</v>
      </c>
      <c r="R9" s="749" t="s">
        <v>25</v>
      </c>
      <c r="S9" s="750">
        <f t="shared" si="0"/>
        <v>100</v>
      </c>
      <c r="T9" s="749" t="s">
        <v>25</v>
      </c>
      <c r="U9" s="750">
        <f t="shared" si="1"/>
        <v>100</v>
      </c>
      <c r="V9" s="749" t="s">
        <v>25</v>
      </c>
      <c r="W9" s="750">
        <f t="shared" si="2"/>
        <v>100</v>
      </c>
      <c r="X9" s="751"/>
      <c r="Y9" s="2907" t="s">
        <v>2350</v>
      </c>
      <c r="Z9" s="23" t="str">
        <f t="shared" ref="Z9:Z15" si="7">Q9</f>
        <v>用途</v>
      </c>
      <c r="AA9" s="752">
        <f t="shared" si="3"/>
        <v>1</v>
      </c>
      <c r="AB9" s="752">
        <f t="shared" si="4"/>
        <v>1</v>
      </c>
      <c r="AC9" s="752">
        <f t="shared" si="5"/>
        <v>1</v>
      </c>
    </row>
    <row r="10" spans="1:29" s="407" customFormat="1" ht="27" hidden="1">
      <c r="A10" s="401"/>
      <c r="B10" s="402" t="s">
        <v>2351</v>
      </c>
      <c r="C10" s="403" t="s">
        <v>2951</v>
      </c>
      <c r="D10" s="52">
        <v>100</v>
      </c>
      <c r="E10" s="404" t="s">
        <v>2951</v>
      </c>
      <c r="F10" s="405">
        <f>SUMIF(65:65,E10,66:66)-SUMIF(65:65,C10,66:66)+100</f>
        <v>100</v>
      </c>
      <c r="G10" s="403" t="s">
        <v>2951</v>
      </c>
      <c r="H10" s="52">
        <f>SUMIF(65:65,G10,66:66)-SUMIF(65:65,C10,66:66)+100</f>
        <v>100</v>
      </c>
      <c r="I10" s="403" t="s">
        <v>2951</v>
      </c>
      <c r="J10" s="52">
        <f>SUMIF(65:65,I10,66:66)-SUMIF(65:65,C10,66:66)+100</f>
        <v>100</v>
      </c>
      <c r="K10" s="596">
        <v>0</v>
      </c>
      <c r="L10" s="1248"/>
      <c r="M10" s="1249"/>
      <c r="N10" s="1249"/>
      <c r="O10" s="1249"/>
      <c r="P10" s="3104"/>
      <c r="Q10" s="1877" t="str">
        <f t="shared" si="6"/>
        <v>土地使用年限（年）</v>
      </c>
      <c r="R10" s="749" t="s">
        <v>25</v>
      </c>
      <c r="S10" s="750">
        <f t="shared" si="0"/>
        <v>100</v>
      </c>
      <c r="T10" s="749" t="s">
        <v>25</v>
      </c>
      <c r="U10" s="750">
        <f t="shared" si="1"/>
        <v>100</v>
      </c>
      <c r="V10" s="749" t="s">
        <v>25</v>
      </c>
      <c r="W10" s="750">
        <f t="shared" si="2"/>
        <v>100</v>
      </c>
      <c r="X10" s="751"/>
      <c r="Y10" s="2907"/>
      <c r="Z10" s="23" t="str">
        <f t="shared" si="7"/>
        <v>土地使用年限（年）</v>
      </c>
      <c r="AA10" s="752">
        <f t="shared" si="3"/>
        <v>1</v>
      </c>
      <c r="AB10" s="752">
        <f t="shared" si="4"/>
        <v>1</v>
      </c>
      <c r="AC10" s="752">
        <f t="shared" si="5"/>
        <v>1</v>
      </c>
    </row>
    <row r="11" spans="1:29" ht="15" hidden="1">
      <c r="A11" s="408"/>
      <c r="B11" s="402" t="s">
        <v>2352</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596"/>
      <c r="L11" s="1251"/>
      <c r="M11" s="1244"/>
      <c r="N11" s="1244"/>
      <c r="O11" s="1244"/>
      <c r="P11" s="3104"/>
      <c r="Q11" s="1877" t="str">
        <f t="shared" si="6"/>
        <v>容积率</v>
      </c>
      <c r="R11" s="749" t="s">
        <v>25</v>
      </c>
      <c r="S11" s="750">
        <f t="shared" si="0"/>
        <v>100</v>
      </c>
      <c r="T11" s="749" t="s">
        <v>25</v>
      </c>
      <c r="U11" s="750">
        <f t="shared" si="1"/>
        <v>100</v>
      </c>
      <c r="V11" s="749" t="s">
        <v>25</v>
      </c>
      <c r="W11" s="750">
        <f t="shared" si="2"/>
        <v>100</v>
      </c>
      <c r="X11" s="751"/>
      <c r="Y11" s="2907"/>
      <c r="Z11" s="23" t="str">
        <f t="shared" si="7"/>
        <v>容积率</v>
      </c>
      <c r="AA11" s="752">
        <f t="shared" si="3"/>
        <v>1</v>
      </c>
      <c r="AB11" s="752">
        <f t="shared" si="4"/>
        <v>1</v>
      </c>
      <c r="AC11" s="752">
        <f t="shared" si="5"/>
        <v>1</v>
      </c>
    </row>
    <row r="12" spans="1:29" s="35" customFormat="1" ht="15" hidden="1">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04"/>
      <c r="Q12" s="1877">
        <f t="shared" si="6"/>
        <v>111</v>
      </c>
      <c r="R12" s="749" t="s">
        <v>25</v>
      </c>
      <c r="S12" s="750">
        <f t="shared" si="0"/>
        <v>100</v>
      </c>
      <c r="T12" s="749" t="s">
        <v>25</v>
      </c>
      <c r="U12" s="750">
        <f t="shared" si="1"/>
        <v>100</v>
      </c>
      <c r="V12" s="749" t="s">
        <v>25</v>
      </c>
      <c r="W12" s="750">
        <f t="shared" si="2"/>
        <v>100</v>
      </c>
      <c r="X12" s="751"/>
      <c r="Y12" s="2907"/>
      <c r="Z12" s="23">
        <f t="shared" si="7"/>
        <v>111</v>
      </c>
      <c r="AA12" s="752">
        <f>D12/F12</f>
        <v>1</v>
      </c>
      <c r="AB12" s="752">
        <f>D12/H12</f>
        <v>1</v>
      </c>
      <c r="AC12" s="752">
        <f>D12/J12</f>
        <v>1</v>
      </c>
    </row>
    <row r="13" spans="1:29" ht="15" hidden="1">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04"/>
      <c r="Q13" s="1877">
        <f t="shared" si="6"/>
        <v>111</v>
      </c>
      <c r="R13" s="749" t="s">
        <v>25</v>
      </c>
      <c r="S13" s="750">
        <f t="shared" si="0"/>
        <v>100</v>
      </c>
      <c r="T13" s="749" t="s">
        <v>25</v>
      </c>
      <c r="U13" s="750">
        <f t="shared" si="1"/>
        <v>100</v>
      </c>
      <c r="V13" s="749" t="s">
        <v>25</v>
      </c>
      <c r="W13" s="750">
        <f t="shared" si="2"/>
        <v>100</v>
      </c>
      <c r="X13" s="751"/>
      <c r="Y13" s="2907"/>
      <c r="Z13" s="23">
        <f t="shared" si="7"/>
        <v>111</v>
      </c>
      <c r="AA13" s="752">
        <f t="shared" si="3"/>
        <v>1</v>
      </c>
      <c r="AB13" s="752">
        <f t="shared" si="4"/>
        <v>1</v>
      </c>
      <c r="AC13" s="752">
        <f t="shared" si="5"/>
        <v>1</v>
      </c>
    </row>
    <row r="14" spans="1:29" ht="15.75" hidden="1"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04"/>
      <c r="Q14" s="1877">
        <f t="shared" si="6"/>
        <v>111</v>
      </c>
      <c r="R14" s="749" t="s">
        <v>25</v>
      </c>
      <c r="S14" s="750">
        <f t="shared" si="0"/>
        <v>100</v>
      </c>
      <c r="T14" s="749" t="s">
        <v>25</v>
      </c>
      <c r="U14" s="750">
        <f t="shared" si="1"/>
        <v>100</v>
      </c>
      <c r="V14" s="749" t="s">
        <v>25</v>
      </c>
      <c r="W14" s="750">
        <f t="shared" si="2"/>
        <v>100</v>
      </c>
      <c r="X14" s="751"/>
      <c r="Y14" s="2907"/>
      <c r="Z14" s="23">
        <f t="shared" si="7"/>
        <v>111</v>
      </c>
      <c r="AA14" s="752">
        <f t="shared" si="3"/>
        <v>1</v>
      </c>
      <c r="AB14" s="752">
        <f t="shared" si="4"/>
        <v>1</v>
      </c>
      <c r="AC14" s="752">
        <f t="shared" si="5"/>
        <v>1</v>
      </c>
    </row>
    <row r="15" spans="1:29" ht="99.75">
      <c r="A15" s="419" t="s">
        <v>2353</v>
      </c>
      <c r="B15" s="26" t="s">
        <v>2439</v>
      </c>
      <c r="C15" s="2393" t="str">
        <f>估价对象房地状况!C4</f>
        <v>隶属于蓟门桥商圈，周边2公里内有翠微百货（牡丹园店）、花园路百货商场、物美超市等，商业繁华度较好</v>
      </c>
      <c r="D15" s="420">
        <v>100</v>
      </c>
      <c r="E15" s="421" t="str">
        <f>C15</f>
        <v>隶属于蓟门桥商圈，周边2公里内有翠微百货（牡丹园店）、花园路百货商场、物美超市等，商业繁华度较好</v>
      </c>
      <c r="F15" s="422">
        <f>SUMIF(76:76,E16,77:77)-SUMIF(76:76,C16,77:77)+100</f>
        <v>100</v>
      </c>
      <c r="G15" s="423" t="str">
        <f>C15</f>
        <v>隶属于蓟门桥商圈，周边2公里内有翠微百货（牡丹园店）、花园路百货商场、物美超市等，商业繁华度较好</v>
      </c>
      <c r="H15" s="420">
        <f>SUMIF(76:76,G16,77:77)-SUMIF(76:76,C16,77:77)+100</f>
        <v>100</v>
      </c>
      <c r="I15" s="421" t="str">
        <f>C15</f>
        <v>隶属于蓟门桥商圈，周边2公里内有翠微百货（牡丹园店）、花园路百货商场、物美超市等，商业繁华度较好</v>
      </c>
      <c r="J15" s="420">
        <f>SUMIF(76:76,I16,77:77)-SUMIF(76:76,C16,77:77)+100</f>
        <v>100</v>
      </c>
      <c r="K15" s="598"/>
      <c r="L15" s="1253"/>
      <c r="M15" s="1244"/>
      <c r="N15" s="1244"/>
      <c r="O15" s="1244"/>
      <c r="P15" s="3082" t="s">
        <v>2354</v>
      </c>
      <c r="Q15" s="1889" t="str">
        <f t="shared" si="6"/>
        <v>商业繁华度</v>
      </c>
      <c r="R15" s="753" t="s">
        <v>25</v>
      </c>
      <c r="S15" s="754">
        <f t="shared" si="0"/>
        <v>100</v>
      </c>
      <c r="T15" s="753" t="s">
        <v>25</v>
      </c>
      <c r="U15" s="754">
        <f t="shared" si="1"/>
        <v>100</v>
      </c>
      <c r="V15" s="753" t="s">
        <v>25</v>
      </c>
      <c r="W15" s="754">
        <f t="shared" si="2"/>
        <v>100</v>
      </c>
      <c r="X15" s="1890"/>
      <c r="Y15" s="3084" t="s">
        <v>2354</v>
      </c>
      <c r="Z15" s="1892" t="str">
        <f t="shared" si="7"/>
        <v>商业繁华度</v>
      </c>
      <c r="AA15" s="1893">
        <f t="shared" si="3"/>
        <v>1</v>
      </c>
      <c r="AB15" s="1893">
        <f t="shared" si="4"/>
        <v>1</v>
      </c>
      <c r="AC15" s="1893">
        <f t="shared" si="5"/>
        <v>1</v>
      </c>
    </row>
    <row r="16" spans="1:29" ht="15">
      <c r="A16" s="408"/>
      <c r="B16" s="425"/>
      <c r="C16" s="426" t="s">
        <v>30</v>
      </c>
      <c r="D16" s="427"/>
      <c r="E16" s="426" t="s">
        <v>30</v>
      </c>
      <c r="F16" s="429"/>
      <c r="G16" s="426" t="s">
        <v>30</v>
      </c>
      <c r="H16" s="430"/>
      <c r="I16" s="426" t="s">
        <v>30</v>
      </c>
      <c r="J16" s="427"/>
      <c r="K16" s="599"/>
      <c r="L16" s="1253"/>
      <c r="M16" s="1244"/>
      <c r="N16" s="1244"/>
      <c r="O16" s="1244"/>
      <c r="P16" s="3083"/>
      <c r="Q16" s="1889"/>
      <c r="R16" s="753"/>
      <c r="S16" s="754"/>
      <c r="T16" s="753"/>
      <c r="U16" s="754"/>
      <c r="V16" s="753"/>
      <c r="W16" s="754"/>
      <c r="X16" s="1890"/>
      <c r="Y16" s="3085"/>
      <c r="Z16" s="1892"/>
      <c r="AA16" s="1893">
        <v>1</v>
      </c>
      <c r="AB16" s="1893">
        <v>1</v>
      </c>
      <c r="AC16" s="1893">
        <v>1</v>
      </c>
    </row>
    <row r="17" spans="1:29" ht="137.25">
      <c r="A17" s="408"/>
      <c r="B17" s="431" t="s">
        <v>1737</v>
      </c>
      <c r="C17" s="2396" t="str">
        <f>估价对象房地状况!C6</f>
        <v>周边2公里内最高级别道路高速公路—G6，周边遍布十余条公交站点及地铁10号线（牡丹园站）等，综合评价交通便捷度较好</v>
      </c>
      <c r="D17" s="430">
        <v>100</v>
      </c>
      <c r="E17" s="2791" t="s">
        <v>2982</v>
      </c>
      <c r="F17" s="433">
        <f>SUMIF(78:78,E18,79:79)-SUMIF(78:78,C18,79:79)+100</f>
        <v>100</v>
      </c>
      <c r="G17" s="2792" t="str">
        <f>C17</f>
        <v>周边2公里内最高级别道路高速公路—G6，周边遍布十余条公交站点及地铁10号线（牡丹园站）等，综合评价交通便捷度较好</v>
      </c>
      <c r="H17" s="435">
        <f>SUMIF(78:78,G18,79:79)-SUMIF(78:78,C18,79:79)+100</f>
        <v>100</v>
      </c>
      <c r="I17" s="2791" t="str">
        <f>C17</f>
        <v>周边2公里内最高级别道路高速公路—G6，周边遍布十余条公交站点及地铁10号线（牡丹园站）等，综合评价交通便捷度较好</v>
      </c>
      <c r="J17" s="435">
        <f>SUMIF(78:78,I18,79:79)-SUMIF(78:78,C18,79:79)+100</f>
        <v>100</v>
      </c>
      <c r="K17" s="598"/>
      <c r="L17" s="1253"/>
      <c r="M17" s="1244"/>
      <c r="N17" s="1244"/>
      <c r="O17" s="1244"/>
      <c r="P17" s="3083"/>
      <c r="Q17" s="1889" t="str">
        <f>B17</f>
        <v>交通便捷度</v>
      </c>
      <c r="R17" s="753" t="s">
        <v>25</v>
      </c>
      <c r="S17" s="754">
        <f>F17</f>
        <v>100</v>
      </c>
      <c r="T17" s="753" t="s">
        <v>25</v>
      </c>
      <c r="U17" s="754">
        <f>H17</f>
        <v>100</v>
      </c>
      <c r="V17" s="753" t="s">
        <v>25</v>
      </c>
      <c r="W17" s="754">
        <f>J17</f>
        <v>100</v>
      </c>
      <c r="X17" s="1890"/>
      <c r="Y17" s="3085"/>
      <c r="Z17" s="1892" t="str">
        <f>Q17</f>
        <v>交通便捷度</v>
      </c>
      <c r="AA17" s="1893">
        <f t="shared" si="3"/>
        <v>1</v>
      </c>
      <c r="AB17" s="1893">
        <f t="shared" si="4"/>
        <v>1</v>
      </c>
      <c r="AC17" s="1893">
        <f t="shared" si="5"/>
        <v>1</v>
      </c>
    </row>
    <row r="18" spans="1:29" ht="15">
      <c r="A18" s="408"/>
      <c r="B18" s="436"/>
      <c r="C18" s="437" t="s">
        <v>30</v>
      </c>
      <c r="D18" s="430"/>
      <c r="E18" s="1468" t="s">
        <v>30</v>
      </c>
      <c r="F18" s="433"/>
      <c r="G18" s="2397" t="s">
        <v>30</v>
      </c>
      <c r="H18" s="427"/>
      <c r="I18" s="1468" t="s">
        <v>30</v>
      </c>
      <c r="J18" s="427"/>
      <c r="K18" s="599"/>
      <c r="L18" s="1253"/>
      <c r="M18" s="1244"/>
      <c r="N18" s="1244"/>
      <c r="O18" s="1244"/>
      <c r="P18" s="3083"/>
      <c r="Q18" s="1889"/>
      <c r="R18" s="753"/>
      <c r="S18" s="754"/>
      <c r="T18" s="753"/>
      <c r="U18" s="754"/>
      <c r="V18" s="753"/>
      <c r="W18" s="754"/>
      <c r="X18" s="1890"/>
      <c r="Y18" s="3085"/>
      <c r="Z18" s="1892"/>
      <c r="AA18" s="1893">
        <v>1</v>
      </c>
      <c r="AB18" s="1893">
        <v>1</v>
      </c>
      <c r="AC18" s="1893">
        <v>1</v>
      </c>
    </row>
    <row r="19" spans="1:29" ht="85.5">
      <c r="A19" s="408"/>
      <c r="B19" s="431" t="s">
        <v>2440</v>
      </c>
      <c r="C19" s="2396" t="str">
        <f>估价对象房地状况!C7</f>
        <v>2公里内有餐饮、医院、超市、购物中心、学校等，估价对象所在区域公共配套设施较齐备</v>
      </c>
      <c r="D19" s="435">
        <v>100</v>
      </c>
      <c r="E19" s="2793" t="str">
        <f>C19</f>
        <v>2公里内有餐饮、医院、超市、购物中心、学校等，估价对象所在区域公共配套设施较齐备</v>
      </c>
      <c r="F19" s="439">
        <f>SUMIF(80:80,E20,81:81)-SUMIF(80:80,C20,81:81)+100</f>
        <v>100</v>
      </c>
      <c r="G19" s="2794" t="str">
        <f>C19</f>
        <v>2公里内有餐饮、医院、超市、购物中心、学校等，估价对象所在区域公共配套设施较齐备</v>
      </c>
      <c r="H19" s="430">
        <f>SUMIF(80:80,G20,81:81)-SUMIF(80:80,C20,81:81)+100</f>
        <v>100</v>
      </c>
      <c r="I19" s="2793" t="str">
        <f>C19</f>
        <v>2公里内有餐饮、医院、超市、购物中心、学校等，估价对象所在区域公共配套设施较齐备</v>
      </c>
      <c r="J19" s="430">
        <f>SUMIF(80:80,I20,81:81)-SUMIF(80:80,C20,81:81)+100</f>
        <v>100</v>
      </c>
      <c r="K19" s="598"/>
      <c r="L19" s="1253"/>
      <c r="M19" s="1244"/>
      <c r="N19" s="1244"/>
      <c r="O19" s="1244"/>
      <c r="P19" s="3083"/>
      <c r="Q19" s="1889" t="str">
        <f>B19</f>
        <v>公共配套设施</v>
      </c>
      <c r="R19" s="753" t="s">
        <v>25</v>
      </c>
      <c r="S19" s="754">
        <f>F19</f>
        <v>100</v>
      </c>
      <c r="T19" s="753" t="s">
        <v>25</v>
      </c>
      <c r="U19" s="754">
        <f>H19</f>
        <v>100</v>
      </c>
      <c r="V19" s="753" t="s">
        <v>25</v>
      </c>
      <c r="W19" s="754">
        <f>J19</f>
        <v>100</v>
      </c>
      <c r="X19" s="1890"/>
      <c r="Y19" s="3085"/>
      <c r="Z19" s="1892" t="str">
        <f>Q19</f>
        <v>公共配套设施</v>
      </c>
      <c r="AA19" s="1893">
        <f t="shared" si="3"/>
        <v>1</v>
      </c>
      <c r="AB19" s="1893">
        <f t="shared" si="4"/>
        <v>1</v>
      </c>
      <c r="AC19" s="1893">
        <f t="shared" si="5"/>
        <v>1</v>
      </c>
    </row>
    <row r="20" spans="1:29" ht="15">
      <c r="A20" s="408"/>
      <c r="B20" s="436"/>
      <c r="C20" s="426" t="s">
        <v>30</v>
      </c>
      <c r="D20" s="427"/>
      <c r="E20" s="428" t="s">
        <v>30</v>
      </c>
      <c r="F20" s="429"/>
      <c r="G20" s="2394" t="s">
        <v>30</v>
      </c>
      <c r="H20" s="427"/>
      <c r="I20" s="428" t="s">
        <v>30</v>
      </c>
      <c r="J20" s="427"/>
      <c r="K20" s="599"/>
      <c r="L20" s="1253"/>
      <c r="M20" s="1244"/>
      <c r="N20" s="1244"/>
      <c r="O20" s="1244"/>
      <c r="P20" s="3083"/>
      <c r="Q20" s="1889"/>
      <c r="R20" s="753"/>
      <c r="S20" s="754"/>
      <c r="T20" s="753"/>
      <c r="U20" s="754"/>
      <c r="V20" s="753"/>
      <c r="W20" s="754"/>
      <c r="X20" s="1890"/>
      <c r="Y20" s="3085"/>
      <c r="Z20" s="1892"/>
      <c r="AA20" s="1893">
        <v>1</v>
      </c>
      <c r="AB20" s="1893">
        <v>1</v>
      </c>
      <c r="AC20" s="1893">
        <v>1</v>
      </c>
    </row>
    <row r="21" spans="1:29" ht="15" hidden="1">
      <c r="A21" s="408"/>
      <c r="B21" s="2398" t="s">
        <v>2441</v>
      </c>
      <c r="C21" s="2396" t="str">
        <f>估价对象房地状况!C8</f>
        <v>五通</v>
      </c>
      <c r="D21" s="435">
        <v>100</v>
      </c>
      <c r="E21" s="2795" t="s">
        <v>2981</v>
      </c>
      <c r="F21" s="439">
        <f>SUMIF(82:82,E22,83:83)-SUMIF(82:82,C22,83:83)+100</f>
        <v>100</v>
      </c>
      <c r="G21" s="2794"/>
      <c r="H21" s="430">
        <f>SUMIF(82:82,G22,83:83)-SUMIF(82:82,C22,83:83)+100</f>
        <v>100</v>
      </c>
      <c r="I21" s="2793"/>
      <c r="J21" s="430">
        <f>SUMIF(82:82,I22,83:83)-SUMIF(82:82,C22,83:83)+100</f>
        <v>100</v>
      </c>
      <c r="K21" s="598">
        <v>2</v>
      </c>
      <c r="L21" s="1253"/>
      <c r="M21" s="1244"/>
      <c r="N21" s="1244"/>
      <c r="O21" s="1244"/>
      <c r="P21" s="3083"/>
      <c r="Q21" s="1889" t="str">
        <f>B21</f>
        <v>基础设施水平</v>
      </c>
      <c r="R21" s="753" t="s">
        <v>25</v>
      </c>
      <c r="S21" s="754">
        <f>F21</f>
        <v>100</v>
      </c>
      <c r="T21" s="753" t="s">
        <v>25</v>
      </c>
      <c r="U21" s="754">
        <f>H21</f>
        <v>100</v>
      </c>
      <c r="V21" s="753" t="s">
        <v>25</v>
      </c>
      <c r="W21" s="754">
        <f>J21</f>
        <v>100</v>
      </c>
      <c r="X21" s="1890"/>
      <c r="Y21" s="3085"/>
      <c r="Z21" s="1892" t="str">
        <f>Q21</f>
        <v>基础设施水平</v>
      </c>
      <c r="AA21" s="1893">
        <f t="shared" ref="AA21" si="8">D21/F21</f>
        <v>1</v>
      </c>
      <c r="AB21" s="1893">
        <f t="shared" ref="AB21" si="9">D21/H21</f>
        <v>1</v>
      </c>
      <c r="AC21" s="1893">
        <f t="shared" ref="AC21" si="10">D21/J21</f>
        <v>1</v>
      </c>
    </row>
    <row r="22" spans="1:29" ht="15" hidden="1">
      <c r="A22" s="408"/>
      <c r="B22" s="2398"/>
      <c r="C22" s="437" t="s">
        <v>2992</v>
      </c>
      <c r="D22" s="427"/>
      <c r="E22" s="426" t="s">
        <v>2992</v>
      </c>
      <c r="F22" s="429"/>
      <c r="G22" s="426" t="s">
        <v>2992</v>
      </c>
      <c r="H22" s="427"/>
      <c r="I22" s="426" t="s">
        <v>2992</v>
      </c>
      <c r="J22" s="427"/>
      <c r="K22" s="1469"/>
      <c r="L22" s="1253"/>
      <c r="M22" s="1244"/>
      <c r="N22" s="1244"/>
      <c r="O22" s="1244"/>
      <c r="P22" s="3083"/>
      <c r="Q22" s="1889"/>
      <c r="R22" s="753"/>
      <c r="S22" s="754"/>
      <c r="T22" s="753"/>
      <c r="U22" s="754"/>
      <c r="V22" s="753"/>
      <c r="W22" s="754"/>
      <c r="X22" s="1890"/>
      <c r="Y22" s="3085"/>
      <c r="Z22" s="1892"/>
      <c r="AA22" s="1893">
        <v>1</v>
      </c>
      <c r="AB22" s="1893">
        <v>1</v>
      </c>
      <c r="AC22" s="1893">
        <v>1</v>
      </c>
    </row>
    <row r="23" spans="1:29" ht="94.5">
      <c r="A23" s="408"/>
      <c r="B23" s="431" t="s">
        <v>1742</v>
      </c>
      <c r="C23" s="2447" t="str">
        <f>估价对象房地状况!C9</f>
        <v>区域自然环境：元大都遗址公园；人文环境；综合评价环境状况一般</v>
      </c>
      <c r="D23" s="430">
        <v>100</v>
      </c>
      <c r="E23" s="2796" t="s">
        <v>3019</v>
      </c>
      <c r="F23" s="433">
        <f>SUMIF(84:84,E24,85:85)-SUMIF(84:84,C24,85:85)+100</f>
        <v>102</v>
      </c>
      <c r="G23" s="434" t="str">
        <f>C23</f>
        <v>区域自然环境：元大都遗址公园；人文环境；综合评价环境状况一般</v>
      </c>
      <c r="H23" s="430">
        <f>SUMIF(84:84,G24,85:85)-SUMIF(84:84,C24,85:85)+100</f>
        <v>100</v>
      </c>
      <c r="I23" s="432" t="str">
        <f>C23</f>
        <v>区域自然环境：元大都遗址公园；人文环境；综合评价环境状况一般</v>
      </c>
      <c r="J23" s="430">
        <f>SUMIF(84:84,I24,85:85)-SUMIF(84:84,C24,85:85)+100</f>
        <v>100</v>
      </c>
      <c r="K23" s="598">
        <v>2</v>
      </c>
      <c r="L23" s="1253"/>
      <c r="M23" s="1244"/>
      <c r="N23" s="1244"/>
      <c r="O23" s="1244"/>
      <c r="P23" s="3083"/>
      <c r="Q23" s="1889" t="str">
        <f>B23</f>
        <v>自然及人文环境</v>
      </c>
      <c r="R23" s="753" t="s">
        <v>25</v>
      </c>
      <c r="S23" s="754">
        <f>F23</f>
        <v>102</v>
      </c>
      <c r="T23" s="753" t="s">
        <v>25</v>
      </c>
      <c r="U23" s="754">
        <f>H23</f>
        <v>100</v>
      </c>
      <c r="V23" s="753" t="s">
        <v>25</v>
      </c>
      <c r="W23" s="754">
        <f>J23</f>
        <v>100</v>
      </c>
      <c r="X23" s="1890"/>
      <c r="Y23" s="3085"/>
      <c r="Z23" s="1892" t="str">
        <f>Q23</f>
        <v>自然及人文环境</v>
      </c>
      <c r="AA23" s="1893">
        <f t="shared" si="3"/>
        <v>0.98039215686274506</v>
      </c>
      <c r="AB23" s="1893">
        <f t="shared" si="4"/>
        <v>1</v>
      </c>
      <c r="AC23" s="1893">
        <f t="shared" si="5"/>
        <v>1</v>
      </c>
    </row>
    <row r="24" spans="1:29" ht="15">
      <c r="A24" s="408"/>
      <c r="B24" s="436"/>
      <c r="C24" s="426" t="s">
        <v>31</v>
      </c>
      <c r="D24" s="427"/>
      <c r="E24" s="428" t="s">
        <v>30</v>
      </c>
      <c r="F24" s="429"/>
      <c r="G24" s="2394" t="s">
        <v>31</v>
      </c>
      <c r="H24" s="427"/>
      <c r="I24" s="428" t="s">
        <v>31</v>
      </c>
      <c r="J24" s="427"/>
      <c r="K24" s="599"/>
      <c r="L24" s="1253"/>
      <c r="M24" s="1244"/>
      <c r="N24" s="1244"/>
      <c r="O24" s="1244"/>
      <c r="P24" s="3083"/>
      <c r="Q24" s="1889"/>
      <c r="R24" s="753"/>
      <c r="S24" s="754"/>
      <c r="T24" s="753"/>
      <c r="U24" s="754"/>
      <c r="V24" s="753"/>
      <c r="W24" s="754"/>
      <c r="X24" s="1890"/>
      <c r="Y24" s="3085"/>
      <c r="Z24" s="1892"/>
      <c r="AA24" s="1893">
        <v>1</v>
      </c>
      <c r="AB24" s="1893">
        <v>1</v>
      </c>
      <c r="AC24" s="1893">
        <v>1</v>
      </c>
    </row>
    <row r="25" spans="1:29" ht="15">
      <c r="A25" s="408"/>
      <c r="B25" s="402" t="s">
        <v>2442</v>
      </c>
      <c r="C25" s="600" t="s">
        <v>2968</v>
      </c>
      <c r="D25" s="415">
        <v>100</v>
      </c>
      <c r="E25" s="600" t="s">
        <v>2972</v>
      </c>
      <c r="F25" s="442">
        <f>SUMIF(86:86,E25,87:87)-SUMIF(86:86,C25,87:87)+100</f>
        <v>98</v>
      </c>
      <c r="G25" s="600" t="s">
        <v>2965</v>
      </c>
      <c r="H25" s="415">
        <f>SUMIF(86:86,G25,87:87)-SUMIF(86:86,C25,87:87)+100</f>
        <v>102</v>
      </c>
      <c r="I25" s="600" t="s">
        <v>2970</v>
      </c>
      <c r="J25" s="415">
        <f>SUMIF(86:86,I25,87:87)-SUMIF(86:86,C25,87:87)+100</f>
        <v>99</v>
      </c>
      <c r="K25" s="596">
        <v>1</v>
      </c>
      <c r="L25" s="1253"/>
      <c r="M25" s="1244"/>
      <c r="N25" s="1244"/>
      <c r="O25" s="1244"/>
      <c r="P25" s="3083"/>
      <c r="Q25" s="1889" t="str">
        <f t="shared" ref="Q25:Q46" si="11">B25</f>
        <v>临街状况</v>
      </c>
      <c r="R25" s="753" t="s">
        <v>25</v>
      </c>
      <c r="S25" s="754">
        <f>F25</f>
        <v>98</v>
      </c>
      <c r="T25" s="753" t="s">
        <v>25</v>
      </c>
      <c r="U25" s="754">
        <f>H25</f>
        <v>102</v>
      </c>
      <c r="V25" s="753" t="s">
        <v>25</v>
      </c>
      <c r="W25" s="754">
        <f>J25</f>
        <v>99</v>
      </c>
      <c r="X25" s="1890"/>
      <c r="Y25" s="3085"/>
      <c r="Z25" s="1892" t="str">
        <f>Q25</f>
        <v>临街状况</v>
      </c>
      <c r="AA25" s="1893">
        <f t="shared" si="3"/>
        <v>1.0204081632653061</v>
      </c>
      <c r="AB25" s="1893">
        <f t="shared" si="4"/>
        <v>0.98039215686274506</v>
      </c>
      <c r="AC25" s="1893">
        <f t="shared" si="5"/>
        <v>1.0101010101010102</v>
      </c>
    </row>
    <row r="26" spans="1:29" ht="15">
      <c r="A26" s="408"/>
      <c r="B26" s="2402" t="s">
        <v>2443</v>
      </c>
      <c r="C26" s="2782" t="s">
        <v>2974</v>
      </c>
      <c r="D26" s="415">
        <v>100</v>
      </c>
      <c r="E26" s="2782" t="s">
        <v>2974</v>
      </c>
      <c r="F26" s="442">
        <f>SUMIF(88:88,E26,89:89)-SUMIF(88:88,C26,89:89)+100</f>
        <v>100</v>
      </c>
      <c r="G26" s="2782" t="s">
        <v>3021</v>
      </c>
      <c r="H26" s="415">
        <f>SUMIF(88:88,G26,89:89)-SUMIF(88:88,C26,89:89)+100</f>
        <v>101</v>
      </c>
      <c r="I26" s="2782" t="s">
        <v>2974</v>
      </c>
      <c r="J26" s="415">
        <f>SUMIF(88:88,I26,89:89)-SUMIF(88:88,C26,89:89)+100</f>
        <v>100</v>
      </c>
      <c r="K26" s="597"/>
      <c r="L26" s="1253"/>
      <c r="M26" s="1244"/>
      <c r="N26" s="1244"/>
      <c r="O26" s="1244"/>
      <c r="P26" s="3083"/>
      <c r="Q26" s="1889" t="str">
        <f t="shared" si="11"/>
        <v>平面位置/可视性</v>
      </c>
      <c r="R26" s="753" t="s">
        <v>25</v>
      </c>
      <c r="S26" s="754">
        <f>F26</f>
        <v>100</v>
      </c>
      <c r="T26" s="753" t="s">
        <v>25</v>
      </c>
      <c r="U26" s="754">
        <f>H26</f>
        <v>101</v>
      </c>
      <c r="V26" s="753" t="s">
        <v>25</v>
      </c>
      <c r="W26" s="754">
        <f>J26</f>
        <v>100</v>
      </c>
      <c r="X26" s="1890"/>
      <c r="Y26" s="3085"/>
      <c r="Z26" s="1892" t="str">
        <f>Q26</f>
        <v>平面位置/可视性</v>
      </c>
      <c r="AA26" s="1893">
        <f t="shared" si="3"/>
        <v>1</v>
      </c>
      <c r="AB26" s="1893">
        <f t="shared" si="4"/>
        <v>0.99009900990099009</v>
      </c>
      <c r="AC26" s="1893">
        <f t="shared" si="5"/>
        <v>1</v>
      </c>
    </row>
    <row r="27" spans="1:29" s="35" customFormat="1" ht="15">
      <c r="A27" s="411"/>
      <c r="B27" s="431" t="s">
        <v>2444</v>
      </c>
      <c r="C27" s="2448" t="s">
        <v>31</v>
      </c>
      <c r="D27" s="443">
        <v>100</v>
      </c>
      <c r="E27" s="2448" t="s">
        <v>31</v>
      </c>
      <c r="F27" s="445">
        <f>SUMIF(90:90,E27,91:91)-SUMIF(90:90,C27,91:91)+100</f>
        <v>100</v>
      </c>
      <c r="G27" s="2448" t="s">
        <v>2976</v>
      </c>
      <c r="H27" s="443">
        <f>SUMIF(90:90,G27,91:91)-SUMIF(90:90,C27,91:91)+100</f>
        <v>101</v>
      </c>
      <c r="I27" s="2448" t="s">
        <v>31</v>
      </c>
      <c r="J27" s="443">
        <f>SUMIF(90:90,I27,91:91)-SUMIF(90:90,C27,91:91)+100</f>
        <v>100</v>
      </c>
      <c r="K27" s="596">
        <v>1</v>
      </c>
      <c r="L27" s="1245"/>
      <c r="M27" s="1246"/>
      <c r="N27" s="1246"/>
      <c r="O27" s="1246"/>
      <c r="P27" s="3083"/>
      <c r="Q27" s="1877" t="str">
        <f t="shared" si="11"/>
        <v>人流量</v>
      </c>
      <c r="R27" s="749" t="s">
        <v>25</v>
      </c>
      <c r="S27" s="750">
        <f>F27</f>
        <v>100</v>
      </c>
      <c r="T27" s="749" t="s">
        <v>25</v>
      </c>
      <c r="U27" s="750">
        <f>H27</f>
        <v>101</v>
      </c>
      <c r="V27" s="749" t="s">
        <v>25</v>
      </c>
      <c r="W27" s="750">
        <f>J27</f>
        <v>100</v>
      </c>
      <c r="X27" s="751"/>
      <c r="Y27" s="3085"/>
      <c r="Z27" s="23" t="str">
        <f>Q27</f>
        <v>人流量</v>
      </c>
      <c r="AA27" s="1893">
        <f>D27/F27</f>
        <v>1</v>
      </c>
      <c r="AB27" s="1893">
        <f>D27/H27</f>
        <v>0.99009900990099009</v>
      </c>
      <c r="AC27" s="1893">
        <f>D27/J27</f>
        <v>1</v>
      </c>
    </row>
    <row r="28" spans="1:29" ht="15.75" thickBot="1">
      <c r="A28" s="408"/>
      <c r="B28" s="402" t="s">
        <v>2445</v>
      </c>
      <c r="C28" s="600">
        <v>1</v>
      </c>
      <c r="D28" s="415">
        <v>100</v>
      </c>
      <c r="E28" s="600" t="s">
        <v>2978</v>
      </c>
      <c r="F28" s="442">
        <f>SUMIF(92:92,E28,93:93)-SUMIF(92:92,C28,93:93)+100</f>
        <v>77</v>
      </c>
      <c r="G28" s="600">
        <v>1</v>
      </c>
      <c r="H28" s="415">
        <f>SUMIF(92:92,G28,93:93)-SUMIF(92:92,C28,93:93)+100</f>
        <v>100</v>
      </c>
      <c r="I28" s="600" t="s">
        <v>2978</v>
      </c>
      <c r="J28" s="415">
        <f>SUMIF(92:92,I28,93:93)-SUMIF(92:92,C28,93:93)+100</f>
        <v>77</v>
      </c>
      <c r="K28" s="597"/>
      <c r="L28" s="1253"/>
      <c r="M28" s="1244"/>
      <c r="N28" s="1244"/>
      <c r="O28" s="1244"/>
      <c r="P28" s="3083"/>
      <c r="Q28" s="1889" t="str">
        <f t="shared" si="11"/>
        <v>楼层</v>
      </c>
      <c r="R28" s="753" t="s">
        <v>25</v>
      </c>
      <c r="S28" s="754">
        <f t="shared" ref="S28:S46" si="12">F28</f>
        <v>77</v>
      </c>
      <c r="T28" s="753" t="s">
        <v>25</v>
      </c>
      <c r="U28" s="754">
        <f t="shared" ref="U28:U46" si="13">H28</f>
        <v>100</v>
      </c>
      <c r="V28" s="753" t="s">
        <v>25</v>
      </c>
      <c r="W28" s="754">
        <f t="shared" ref="W28:W46" si="14">J28</f>
        <v>77</v>
      </c>
      <c r="X28" s="1890"/>
      <c r="Y28" s="3085"/>
      <c r="Z28" s="1892" t="str">
        <f t="shared" ref="Z28:Z46" si="15">Q28</f>
        <v>楼层</v>
      </c>
      <c r="AA28" s="1893">
        <f t="shared" si="3"/>
        <v>1.2987012987012987</v>
      </c>
      <c r="AB28" s="1893">
        <f t="shared" si="4"/>
        <v>1</v>
      </c>
      <c r="AC28" s="1893">
        <f t="shared" si="5"/>
        <v>1.2987012987012987</v>
      </c>
    </row>
    <row r="29" spans="1:29" ht="15" hidden="1">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3"/>
      <c r="Q29" s="1889">
        <f t="shared" si="11"/>
        <v>111</v>
      </c>
      <c r="R29" s="753" t="s">
        <v>25</v>
      </c>
      <c r="S29" s="754">
        <f t="shared" si="12"/>
        <v>100</v>
      </c>
      <c r="T29" s="753" t="s">
        <v>25</v>
      </c>
      <c r="U29" s="754">
        <f t="shared" si="13"/>
        <v>100</v>
      </c>
      <c r="V29" s="753" t="s">
        <v>25</v>
      </c>
      <c r="W29" s="754">
        <f t="shared" si="14"/>
        <v>100</v>
      </c>
      <c r="X29" s="1890"/>
      <c r="Y29" s="3085"/>
      <c r="Z29" s="1892">
        <f t="shared" si="15"/>
        <v>111</v>
      </c>
      <c r="AA29" s="1893">
        <f t="shared" si="3"/>
        <v>1</v>
      </c>
      <c r="AB29" s="1893">
        <f t="shared" si="4"/>
        <v>1</v>
      </c>
      <c r="AC29" s="1893">
        <f t="shared" si="5"/>
        <v>1</v>
      </c>
    </row>
    <row r="30" spans="1:29" ht="15" hidden="1">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3"/>
      <c r="Q30" s="1889">
        <f t="shared" si="11"/>
        <v>111</v>
      </c>
      <c r="R30" s="753" t="s">
        <v>25</v>
      </c>
      <c r="S30" s="754">
        <f t="shared" si="12"/>
        <v>100</v>
      </c>
      <c r="T30" s="753" t="s">
        <v>25</v>
      </c>
      <c r="U30" s="754">
        <f t="shared" si="13"/>
        <v>100</v>
      </c>
      <c r="V30" s="753" t="s">
        <v>25</v>
      </c>
      <c r="W30" s="754">
        <f t="shared" si="14"/>
        <v>100</v>
      </c>
      <c r="X30" s="1890"/>
      <c r="Y30" s="3085"/>
      <c r="Z30" s="1892">
        <f t="shared" si="15"/>
        <v>111</v>
      </c>
      <c r="AA30" s="1893">
        <f t="shared" si="3"/>
        <v>1</v>
      </c>
      <c r="AB30" s="1893">
        <f t="shared" si="4"/>
        <v>1</v>
      </c>
      <c r="AC30" s="1893">
        <f t="shared" si="5"/>
        <v>1</v>
      </c>
    </row>
    <row r="31" spans="1:29" ht="15.75" hidden="1"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3"/>
      <c r="Q31" s="1889">
        <f t="shared" si="11"/>
        <v>111</v>
      </c>
      <c r="R31" s="753" t="s">
        <v>25</v>
      </c>
      <c r="S31" s="754">
        <f t="shared" si="12"/>
        <v>100</v>
      </c>
      <c r="T31" s="753" t="s">
        <v>25</v>
      </c>
      <c r="U31" s="754">
        <f t="shared" si="13"/>
        <v>100</v>
      </c>
      <c r="V31" s="753" t="s">
        <v>25</v>
      </c>
      <c r="W31" s="754">
        <f t="shared" si="14"/>
        <v>100</v>
      </c>
      <c r="X31" s="1890"/>
      <c r="Y31" s="3085"/>
      <c r="Z31" s="1892">
        <f t="shared" si="15"/>
        <v>111</v>
      </c>
      <c r="AA31" s="1893">
        <f t="shared" si="3"/>
        <v>1</v>
      </c>
      <c r="AB31" s="1893">
        <f t="shared" si="4"/>
        <v>1</v>
      </c>
      <c r="AC31" s="1893">
        <f t="shared" si="5"/>
        <v>1</v>
      </c>
    </row>
    <row r="32" spans="1:29" ht="15">
      <c r="A32" s="419" t="s">
        <v>2358</v>
      </c>
      <c r="B32" s="28" t="s">
        <v>2446</v>
      </c>
      <c r="C32" s="2403" t="s">
        <v>2983</v>
      </c>
      <c r="D32" s="448">
        <v>100</v>
      </c>
      <c r="E32" s="2403" t="s">
        <v>2985</v>
      </c>
      <c r="F32" s="442">
        <f>SUMIF(100:100,E32,101:101)-SUMIF(100:100,C32,101:101)+100</f>
        <v>100</v>
      </c>
      <c r="G32" s="2403" t="s">
        <v>2983</v>
      </c>
      <c r="H32" s="415">
        <f>SUMIF(100:100,G32,101:101)-SUMIF(100:100,C32,101:101)+100</f>
        <v>100</v>
      </c>
      <c r="I32" s="2403" t="s">
        <v>2985</v>
      </c>
      <c r="J32" s="448">
        <f>SUMIF(100:100,I32,101:101)-SUMIF(100:100,C32,101:101)+100</f>
        <v>100</v>
      </c>
      <c r="K32" s="596"/>
      <c r="L32" s="1253"/>
      <c r="M32" s="1244"/>
      <c r="N32" s="1244"/>
      <c r="O32" s="1244"/>
      <c r="P32" s="3086" t="s">
        <v>2360</v>
      </c>
      <c r="Q32" s="1889" t="str">
        <f t="shared" si="11"/>
        <v>商业类型</v>
      </c>
      <c r="R32" s="753" t="s">
        <v>25</v>
      </c>
      <c r="S32" s="754">
        <f t="shared" si="12"/>
        <v>100</v>
      </c>
      <c r="T32" s="753" t="s">
        <v>25</v>
      </c>
      <c r="U32" s="754">
        <f t="shared" si="13"/>
        <v>100</v>
      </c>
      <c r="V32" s="753" t="s">
        <v>25</v>
      </c>
      <c r="W32" s="754">
        <f t="shared" si="14"/>
        <v>100</v>
      </c>
      <c r="X32" s="1890"/>
      <c r="Y32" s="3089" t="s">
        <v>2360</v>
      </c>
      <c r="Z32" s="1892" t="str">
        <f t="shared" si="15"/>
        <v>商业类型</v>
      </c>
      <c r="AA32" s="1893">
        <f t="shared" si="3"/>
        <v>1</v>
      </c>
      <c r="AB32" s="1893">
        <f t="shared" si="4"/>
        <v>1</v>
      </c>
      <c r="AC32" s="1893">
        <f t="shared" si="5"/>
        <v>1</v>
      </c>
    </row>
    <row r="33" spans="1:29" s="452" customFormat="1" ht="15">
      <c r="A33" s="449"/>
      <c r="B33" s="402" t="s">
        <v>2361</v>
      </c>
      <c r="C33" s="450">
        <f>项目基本情况!C12</f>
        <v>110</v>
      </c>
      <c r="D33" s="52">
        <v>100</v>
      </c>
      <c r="E33" s="410">
        <v>225</v>
      </c>
      <c r="F33" s="405">
        <f>LOOKUP(E33,103:103,104:104)-LOOKUP(C33,103:103,104:104)+100</f>
        <v>101</v>
      </c>
      <c r="G33" s="409">
        <v>360</v>
      </c>
      <c r="H33" s="52">
        <f>LOOKUP(G33,103:103,104:104)-LOOKUP(C33,103:103,104:104)+100</f>
        <v>100</v>
      </c>
      <c r="I33" s="409">
        <v>200</v>
      </c>
      <c r="J33" s="52">
        <f>LOOKUP(I33,103:103,104:104)-LOOKUP(C33,103:103,104:104)+100</f>
        <v>101</v>
      </c>
      <c r="K33" s="597"/>
      <c r="L33" s="1251"/>
      <c r="M33" s="1254"/>
      <c r="N33" s="1254"/>
      <c r="O33" s="1254"/>
      <c r="P33" s="3087"/>
      <c r="Q33" s="755" t="str">
        <f t="shared" si="11"/>
        <v>项目建筑规模</v>
      </c>
      <c r="R33" s="756" t="s">
        <v>25</v>
      </c>
      <c r="S33" s="757">
        <f t="shared" si="12"/>
        <v>101</v>
      </c>
      <c r="T33" s="756" t="s">
        <v>25</v>
      </c>
      <c r="U33" s="757">
        <f t="shared" si="13"/>
        <v>100</v>
      </c>
      <c r="V33" s="756" t="s">
        <v>25</v>
      </c>
      <c r="W33" s="757">
        <f t="shared" si="14"/>
        <v>101</v>
      </c>
      <c r="X33" s="758"/>
      <c r="Y33" s="3089"/>
      <c r="Z33" s="759" t="str">
        <f t="shared" si="15"/>
        <v>项目建筑规模</v>
      </c>
      <c r="AA33" s="1893">
        <f t="shared" si="3"/>
        <v>0.99009900990099009</v>
      </c>
      <c r="AB33" s="1893">
        <f t="shared" si="4"/>
        <v>1</v>
      </c>
      <c r="AC33" s="1893">
        <f t="shared" si="5"/>
        <v>0.99009900990099009</v>
      </c>
    </row>
    <row r="34" spans="1:29" ht="15">
      <c r="A34" s="453"/>
      <c r="B34" s="402" t="s">
        <v>2362</v>
      </c>
      <c r="C34" s="2405" t="s">
        <v>3014</v>
      </c>
      <c r="D34" s="415">
        <v>100</v>
      </c>
      <c r="E34" s="2406" t="s">
        <v>3014</v>
      </c>
      <c r="F34" s="442">
        <f>SUMIF(105:105,E34,106:106)-SUMIF(105:105,C34,106:106)+100</f>
        <v>100</v>
      </c>
      <c r="G34" s="2405" t="s">
        <v>3014</v>
      </c>
      <c r="H34" s="415">
        <f>SUMIF(105:105,G34,106:106)-SUMIF(105:105,C34,106:106)+100</f>
        <v>100</v>
      </c>
      <c r="I34" s="2405" t="s">
        <v>3014</v>
      </c>
      <c r="J34" s="415">
        <f>SUMIF(105:105,I34,106:106)-SUMIF(105:105,C34,106:106)+100</f>
        <v>100</v>
      </c>
      <c r="K34" s="596">
        <v>4</v>
      </c>
      <c r="L34" s="1253"/>
      <c r="M34" s="1244"/>
      <c r="N34" s="1244"/>
      <c r="O34" s="1244"/>
      <c r="P34" s="3087"/>
      <c r="Q34" s="1889" t="str">
        <f t="shared" si="11"/>
        <v>建筑结构</v>
      </c>
      <c r="R34" s="753" t="s">
        <v>25</v>
      </c>
      <c r="S34" s="754">
        <f t="shared" si="12"/>
        <v>100</v>
      </c>
      <c r="T34" s="753" t="s">
        <v>25</v>
      </c>
      <c r="U34" s="754">
        <f t="shared" si="13"/>
        <v>100</v>
      </c>
      <c r="V34" s="753" t="s">
        <v>25</v>
      </c>
      <c r="W34" s="754">
        <f t="shared" si="14"/>
        <v>100</v>
      </c>
      <c r="X34" s="1890"/>
      <c r="Y34" s="3089"/>
      <c r="Z34" s="1892" t="str">
        <f t="shared" si="15"/>
        <v>建筑结构</v>
      </c>
      <c r="AA34" s="1893">
        <f t="shared" si="3"/>
        <v>1</v>
      </c>
      <c r="AB34" s="1893">
        <f t="shared" si="4"/>
        <v>1</v>
      </c>
      <c r="AC34" s="1893">
        <f t="shared" si="5"/>
        <v>1</v>
      </c>
    </row>
    <row r="35" spans="1:29" ht="15" hidden="1">
      <c r="A35" s="453"/>
      <c r="B35" s="402" t="s">
        <v>2447</v>
      </c>
      <c r="C35" s="2401"/>
      <c r="D35" s="415">
        <v>100</v>
      </c>
      <c r="E35" s="2401"/>
      <c r="F35" s="442">
        <f>SUMIF(107:107,E35,108:108)-SUMIF(107:107,C35,108:108)+100</f>
        <v>100</v>
      </c>
      <c r="G35" s="2401"/>
      <c r="H35" s="415">
        <f>SUMIF(107:107,G35,108:108)-SUMIF(107:107,C35,108:108)+100</f>
        <v>100</v>
      </c>
      <c r="I35" s="2401"/>
      <c r="J35" s="415">
        <f>SUMIF(107:107,I35,108:108)-SUMIF(107:107,C35,108:108)+100</f>
        <v>100</v>
      </c>
      <c r="K35" s="596"/>
      <c r="L35" s="1253"/>
      <c r="M35" s="1244"/>
      <c r="N35" s="1244"/>
      <c r="O35" s="1244"/>
      <c r="P35" s="3087"/>
      <c r="Q35" s="1889" t="str">
        <f t="shared" si="11"/>
        <v>公共部分装修</v>
      </c>
      <c r="R35" s="753" t="s">
        <v>25</v>
      </c>
      <c r="S35" s="754">
        <f t="shared" si="12"/>
        <v>100</v>
      </c>
      <c r="T35" s="753" t="s">
        <v>25</v>
      </c>
      <c r="U35" s="754">
        <f t="shared" si="13"/>
        <v>100</v>
      </c>
      <c r="V35" s="753" t="s">
        <v>25</v>
      </c>
      <c r="W35" s="754">
        <f t="shared" si="14"/>
        <v>100</v>
      </c>
      <c r="X35" s="1890"/>
      <c r="Y35" s="3089"/>
      <c r="Z35" s="1892" t="str">
        <f t="shared" si="15"/>
        <v>公共部分装修</v>
      </c>
      <c r="AA35" s="1893">
        <f t="shared" si="3"/>
        <v>1</v>
      </c>
      <c r="AB35" s="1893">
        <f t="shared" si="4"/>
        <v>1</v>
      </c>
      <c r="AC35" s="1893">
        <f t="shared" si="5"/>
        <v>1</v>
      </c>
    </row>
    <row r="36" spans="1:29" ht="15">
      <c r="A36" s="453"/>
      <c r="B36" s="402" t="s">
        <v>2448</v>
      </c>
      <c r="C36" s="455">
        <v>0.6</v>
      </c>
      <c r="D36" s="415">
        <v>100</v>
      </c>
      <c r="E36" s="455">
        <v>0.6</v>
      </c>
      <c r="F36" s="442">
        <f>LOOKUP(E36,110:110,111:111)-LOOKUP(C36,110:110,111:111)+100</f>
        <v>100</v>
      </c>
      <c r="G36" s="455">
        <v>0.65</v>
      </c>
      <c r="H36" s="442">
        <f>LOOKUP(G36,110:110,111:111)-LOOKUP(C36,110:110,111:111)+100</f>
        <v>100</v>
      </c>
      <c r="I36" s="455">
        <v>0.6</v>
      </c>
      <c r="J36" s="415">
        <f>LOOKUP(I36,110:110,111:111)-LOOKUP(C36,110:110,111:111)+100</f>
        <v>100</v>
      </c>
      <c r="K36" s="596"/>
      <c r="L36" s="1253"/>
      <c r="M36" s="1244"/>
      <c r="N36" s="1244"/>
      <c r="O36" s="1244"/>
      <c r="P36" s="3087"/>
      <c r="Q36" s="1889" t="str">
        <f t="shared" si="11"/>
        <v>成新度</v>
      </c>
      <c r="R36" s="753" t="s">
        <v>25</v>
      </c>
      <c r="S36" s="754">
        <f t="shared" si="12"/>
        <v>100</v>
      </c>
      <c r="T36" s="753" t="s">
        <v>25</v>
      </c>
      <c r="U36" s="754">
        <f t="shared" si="13"/>
        <v>100</v>
      </c>
      <c r="V36" s="753" t="s">
        <v>25</v>
      </c>
      <c r="W36" s="754">
        <f t="shared" si="14"/>
        <v>100</v>
      </c>
      <c r="X36" s="1890"/>
      <c r="Y36" s="3089"/>
      <c r="Z36" s="1892" t="str">
        <f t="shared" si="15"/>
        <v>成新度</v>
      </c>
      <c r="AA36" s="1893">
        <f t="shared" si="3"/>
        <v>1</v>
      </c>
      <c r="AB36" s="1893">
        <f t="shared" si="4"/>
        <v>1</v>
      </c>
      <c r="AC36" s="1893">
        <f t="shared" si="5"/>
        <v>1</v>
      </c>
    </row>
    <row r="37" spans="1:29" s="35" customFormat="1" ht="15">
      <c r="A37" s="454"/>
      <c r="B37" s="402" t="s">
        <v>2449</v>
      </c>
      <c r="C37" s="2401" t="s">
        <v>2959</v>
      </c>
      <c r="D37" s="52">
        <v>100</v>
      </c>
      <c r="E37" s="2401" t="s">
        <v>2980</v>
      </c>
      <c r="F37" s="442">
        <f>SUMIF(112:112,E37,113:113)-SUMIF(112:112,C37,113:113)+100</f>
        <v>102</v>
      </c>
      <c r="G37" s="2401" t="s">
        <v>2980</v>
      </c>
      <c r="H37" s="415">
        <f>SUMIF(112:112,G37,113:113)-SUMIF(112:112,C37,113:113)+100</f>
        <v>102</v>
      </c>
      <c r="I37" s="2401" t="s">
        <v>2992</v>
      </c>
      <c r="J37" s="415">
        <f>SUMIF(112:112,I37,113:113)-SUMIF(112:112,C37,113:113)+100</f>
        <v>104</v>
      </c>
      <c r="K37" s="596">
        <v>2</v>
      </c>
      <c r="L37" s="1245"/>
      <c r="M37" s="1246"/>
      <c r="N37" s="1246"/>
      <c r="O37" s="1246"/>
      <c r="P37" s="3087"/>
      <c r="Q37" s="1877" t="str">
        <f t="shared" si="11"/>
        <v>市政基础设施</v>
      </c>
      <c r="R37" s="749" t="s">
        <v>25</v>
      </c>
      <c r="S37" s="750">
        <f t="shared" si="12"/>
        <v>102</v>
      </c>
      <c r="T37" s="749" t="s">
        <v>25</v>
      </c>
      <c r="U37" s="750">
        <f t="shared" si="13"/>
        <v>102</v>
      </c>
      <c r="V37" s="749" t="s">
        <v>25</v>
      </c>
      <c r="W37" s="750">
        <f t="shared" si="14"/>
        <v>104</v>
      </c>
      <c r="X37" s="751"/>
      <c r="Y37" s="3089"/>
      <c r="Z37" s="23" t="str">
        <f t="shared" si="15"/>
        <v>市政基础设施</v>
      </c>
      <c r="AA37" s="752">
        <f t="shared" si="3"/>
        <v>0.98039215686274506</v>
      </c>
      <c r="AB37" s="752">
        <f t="shared" si="4"/>
        <v>0.98039215686274506</v>
      </c>
      <c r="AC37" s="752">
        <f t="shared" si="5"/>
        <v>0.96153846153846156</v>
      </c>
    </row>
    <row r="38" spans="1:29" ht="15">
      <c r="A38" s="453"/>
      <c r="B38" s="402" t="s">
        <v>2450</v>
      </c>
      <c r="C38" s="2401" t="s">
        <v>2999</v>
      </c>
      <c r="D38" s="415">
        <v>100</v>
      </c>
      <c r="E38" s="2401" t="s">
        <v>3016</v>
      </c>
      <c r="F38" s="442">
        <f>SUMIF(114:114,E38,115:115)-SUMIF(114:114,C38,115:115)+100</f>
        <v>103</v>
      </c>
      <c r="G38" s="2401" t="s">
        <v>3016</v>
      </c>
      <c r="H38" s="415">
        <f>SUMIF(114:114,G38,115:115)-SUMIF(114:114,C38,115:115)+100</f>
        <v>103</v>
      </c>
      <c r="I38" s="2401" t="s">
        <v>3016</v>
      </c>
      <c r="J38" s="415">
        <f>SUMIF(114:114,I38,115:115)-SUMIF(114:114,C38,115:115)+100</f>
        <v>103</v>
      </c>
      <c r="K38" s="596">
        <v>3</v>
      </c>
      <c r="L38" s="1253"/>
      <c r="M38" s="1244"/>
      <c r="N38" s="1244"/>
      <c r="O38" s="1244"/>
      <c r="P38" s="3087" t="s">
        <v>2360</v>
      </c>
      <c r="Q38" s="1889" t="str">
        <f t="shared" si="11"/>
        <v>业态</v>
      </c>
      <c r="R38" s="753" t="s">
        <v>25</v>
      </c>
      <c r="S38" s="754">
        <f t="shared" si="12"/>
        <v>103</v>
      </c>
      <c r="T38" s="753" t="s">
        <v>25</v>
      </c>
      <c r="U38" s="754">
        <f t="shared" si="13"/>
        <v>103</v>
      </c>
      <c r="V38" s="753" t="s">
        <v>25</v>
      </c>
      <c r="W38" s="754">
        <f t="shared" si="14"/>
        <v>103</v>
      </c>
      <c r="X38" s="1890"/>
      <c r="Y38" s="3089" t="s">
        <v>2360</v>
      </c>
      <c r="Z38" s="1892" t="str">
        <f t="shared" si="15"/>
        <v>业态</v>
      </c>
      <c r="AA38" s="1893">
        <f t="shared" si="3"/>
        <v>0.970873786407767</v>
      </c>
      <c r="AB38" s="1893">
        <f t="shared" si="4"/>
        <v>0.970873786407767</v>
      </c>
      <c r="AC38" s="1893">
        <f t="shared" si="5"/>
        <v>0.970873786407767</v>
      </c>
    </row>
    <row r="39" spans="1:29" ht="15">
      <c r="A39" s="453"/>
      <c r="B39" s="402" t="s">
        <v>2451</v>
      </c>
      <c r="C39" s="2401" t="s">
        <v>2997</v>
      </c>
      <c r="D39" s="415">
        <v>100</v>
      </c>
      <c r="E39" s="2401" t="s">
        <v>2997</v>
      </c>
      <c r="F39" s="442">
        <f>SUMIF(116:116,E39,117:117)-SUMIF(116:116,C39,117:117)+100</f>
        <v>100</v>
      </c>
      <c r="G39" s="2401" t="s">
        <v>2997</v>
      </c>
      <c r="H39" s="415">
        <f>SUMIF(116:116,G39,117:117)-SUMIF(116:116,C39,117:117)+100</f>
        <v>100</v>
      </c>
      <c r="I39" s="2401" t="s">
        <v>2997</v>
      </c>
      <c r="J39" s="415">
        <f>SUMIF(116:116,I39,117:117)-SUMIF(116:116,C39,117:117)+100</f>
        <v>100</v>
      </c>
      <c r="K39" s="596"/>
      <c r="L39" s="1253"/>
      <c r="M39" s="1244"/>
      <c r="N39" s="1244"/>
      <c r="O39" s="1244"/>
      <c r="P39" s="3087"/>
      <c r="Q39" s="1889" t="str">
        <f t="shared" si="11"/>
        <v>层高</v>
      </c>
      <c r="R39" s="753" t="s">
        <v>25</v>
      </c>
      <c r="S39" s="754">
        <f t="shared" si="12"/>
        <v>100</v>
      </c>
      <c r="T39" s="753" t="s">
        <v>25</v>
      </c>
      <c r="U39" s="754">
        <f t="shared" si="13"/>
        <v>100</v>
      </c>
      <c r="V39" s="753" t="s">
        <v>25</v>
      </c>
      <c r="W39" s="754">
        <f t="shared" si="14"/>
        <v>100</v>
      </c>
      <c r="X39" s="1890"/>
      <c r="Y39" s="3089"/>
      <c r="Z39" s="1892" t="str">
        <f t="shared" si="15"/>
        <v>层高</v>
      </c>
      <c r="AA39" s="1893">
        <f t="shared" si="3"/>
        <v>1</v>
      </c>
      <c r="AB39" s="1893">
        <f t="shared" si="4"/>
        <v>1</v>
      </c>
      <c r="AC39" s="1893">
        <f t="shared" si="5"/>
        <v>1</v>
      </c>
    </row>
    <row r="40" spans="1:29" ht="15" hidden="1">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87"/>
      <c r="Q40" s="1889" t="str">
        <f t="shared" si="11"/>
        <v>单套建筑面积</v>
      </c>
      <c r="R40" s="753" t="s">
        <v>25</v>
      </c>
      <c r="S40" s="754">
        <f t="shared" si="12"/>
        <v>100</v>
      </c>
      <c r="T40" s="753" t="s">
        <v>25</v>
      </c>
      <c r="U40" s="754">
        <f t="shared" si="13"/>
        <v>100</v>
      </c>
      <c r="V40" s="753" t="s">
        <v>25</v>
      </c>
      <c r="W40" s="754">
        <f t="shared" si="14"/>
        <v>100</v>
      </c>
      <c r="X40" s="1890"/>
      <c r="Y40" s="3089"/>
      <c r="Z40" s="1892" t="str">
        <f t="shared" si="15"/>
        <v>单套建筑面积</v>
      </c>
      <c r="AA40" s="1893">
        <f t="shared" si="3"/>
        <v>1</v>
      </c>
      <c r="AB40" s="1893">
        <f t="shared" si="4"/>
        <v>1</v>
      </c>
      <c r="AC40" s="1893">
        <f t="shared" si="5"/>
        <v>1</v>
      </c>
    </row>
    <row r="41" spans="1:29" s="452" customFormat="1" ht="15">
      <c r="A41" s="449"/>
      <c r="B41" s="1894" t="s">
        <v>2453</v>
      </c>
      <c r="C41" s="600" t="s">
        <v>3003</v>
      </c>
      <c r="D41" s="415">
        <v>100</v>
      </c>
      <c r="E41" s="600" t="s">
        <v>3001</v>
      </c>
      <c r="F41" s="442">
        <f>SUMIF(120:120,E41,121:121)-SUMIF(120:120,C41,121:121)+100</f>
        <v>105</v>
      </c>
      <c r="G41" s="600" t="s">
        <v>3001</v>
      </c>
      <c r="H41" s="415">
        <f>SUMIF(120:120,G41,121:121)-SUMIF(120:120,C41,121:121)+100</f>
        <v>105</v>
      </c>
      <c r="I41" s="600" t="s">
        <v>3001</v>
      </c>
      <c r="J41" s="415">
        <f>SUMIF(120:120,I41,121:121)-SUMIF(120:120,C41,121:121)+100</f>
        <v>105</v>
      </c>
      <c r="K41" s="596">
        <v>5</v>
      </c>
      <c r="L41" s="1251"/>
      <c r="M41" s="1254"/>
      <c r="N41" s="1254"/>
      <c r="O41" s="1254"/>
      <c r="P41" s="3087"/>
      <c r="Q41" s="755" t="str">
        <f t="shared" si="11"/>
        <v>进深比</v>
      </c>
      <c r="R41" s="756" t="s">
        <v>25</v>
      </c>
      <c r="S41" s="757">
        <f t="shared" si="12"/>
        <v>105</v>
      </c>
      <c r="T41" s="756" t="s">
        <v>25</v>
      </c>
      <c r="U41" s="757">
        <f t="shared" si="13"/>
        <v>105</v>
      </c>
      <c r="V41" s="756" t="s">
        <v>25</v>
      </c>
      <c r="W41" s="757">
        <f t="shared" si="14"/>
        <v>105</v>
      </c>
      <c r="X41" s="758"/>
      <c r="Y41" s="3089"/>
      <c r="Z41" s="759" t="str">
        <f t="shared" si="15"/>
        <v>进深比</v>
      </c>
      <c r="AA41" s="1893">
        <f t="shared" si="3"/>
        <v>0.95238095238095233</v>
      </c>
      <c r="AB41" s="1893">
        <f t="shared" si="4"/>
        <v>0.95238095238095233</v>
      </c>
      <c r="AC41" s="1893">
        <f t="shared" si="5"/>
        <v>0.95238095238095233</v>
      </c>
    </row>
    <row r="42" spans="1:29" ht="15">
      <c r="A42" s="453"/>
      <c r="B42" s="402" t="s">
        <v>2454</v>
      </c>
      <c r="C42" s="2401" t="s">
        <v>3011</v>
      </c>
      <c r="D42" s="415">
        <v>100</v>
      </c>
      <c r="E42" s="2401" t="s">
        <v>2990</v>
      </c>
      <c r="F42" s="442">
        <f>SUMIF(122:122,E42,123:123)-SUMIF(122:122,C42,123:123)+100</f>
        <v>102</v>
      </c>
      <c r="G42" s="2401" t="s">
        <v>2990</v>
      </c>
      <c r="H42" s="415">
        <f>SUMIF(122:122,G42,123:123)-SUMIF(122:122,C42,123:123)+100</f>
        <v>102</v>
      </c>
      <c r="I42" s="2401" t="s">
        <v>2990</v>
      </c>
      <c r="J42" s="415">
        <f>SUMIF(122:122,I42,123:123)-SUMIF(122:122,C42,123:123)+100</f>
        <v>102</v>
      </c>
      <c r="K42" s="596">
        <v>2</v>
      </c>
      <c r="L42" s="1253"/>
      <c r="M42" s="1244"/>
      <c r="N42" s="1244"/>
      <c r="O42" s="1244"/>
      <c r="P42" s="3087"/>
      <c r="Q42" s="1889" t="str">
        <f t="shared" si="11"/>
        <v>内部装修</v>
      </c>
      <c r="R42" s="753" t="s">
        <v>25</v>
      </c>
      <c r="S42" s="754">
        <f t="shared" si="12"/>
        <v>102</v>
      </c>
      <c r="T42" s="753" t="s">
        <v>25</v>
      </c>
      <c r="U42" s="754">
        <f t="shared" si="13"/>
        <v>102</v>
      </c>
      <c r="V42" s="753" t="s">
        <v>25</v>
      </c>
      <c r="W42" s="754">
        <f t="shared" si="14"/>
        <v>102</v>
      </c>
      <c r="X42" s="1890"/>
      <c r="Y42" s="3089"/>
      <c r="Z42" s="1892" t="str">
        <f t="shared" si="15"/>
        <v>内部装修</v>
      </c>
      <c r="AA42" s="1893">
        <f t="shared" si="3"/>
        <v>0.98039215686274506</v>
      </c>
      <c r="AB42" s="1893">
        <f t="shared" si="4"/>
        <v>0.98039215686274506</v>
      </c>
      <c r="AC42" s="1893">
        <f t="shared" si="5"/>
        <v>0.98039215686274506</v>
      </c>
    </row>
    <row r="43" spans="1:29" ht="15">
      <c r="A43" s="453"/>
      <c r="B43" s="402" t="s">
        <v>2371</v>
      </c>
      <c r="C43" s="2401" t="s">
        <v>31</v>
      </c>
      <c r="D43" s="415">
        <v>100</v>
      </c>
      <c r="E43" s="2401" t="s">
        <v>31</v>
      </c>
      <c r="F43" s="442">
        <f>SUMIF(124:124,E43,125:125)-SUMIF(124:124,C43,125:125)+100</f>
        <v>100</v>
      </c>
      <c r="G43" s="2401" t="s">
        <v>31</v>
      </c>
      <c r="H43" s="415">
        <f>SUMIF(124:124,G43,125:125)-SUMIF(124:124,C43,125:125)+100</f>
        <v>100</v>
      </c>
      <c r="I43" s="2401" t="s">
        <v>31</v>
      </c>
      <c r="J43" s="415">
        <f>SUMIF(124:124,I43,125:125)-SUMIF(124:124,C43,125:125)+100</f>
        <v>100</v>
      </c>
      <c r="K43" s="596"/>
      <c r="L43" s="1253"/>
      <c r="M43" s="1244"/>
      <c r="N43" s="1244"/>
      <c r="O43" s="1244"/>
      <c r="P43" s="3087"/>
      <c r="Q43" s="1889" t="str">
        <f t="shared" si="11"/>
        <v>内部装修维护情况</v>
      </c>
      <c r="R43" s="753" t="s">
        <v>25</v>
      </c>
      <c r="S43" s="754">
        <f t="shared" si="12"/>
        <v>100</v>
      </c>
      <c r="T43" s="753" t="s">
        <v>25</v>
      </c>
      <c r="U43" s="754">
        <f t="shared" si="13"/>
        <v>100</v>
      </c>
      <c r="V43" s="753" t="s">
        <v>25</v>
      </c>
      <c r="W43" s="754">
        <f t="shared" si="14"/>
        <v>100</v>
      </c>
      <c r="X43" s="1890"/>
      <c r="Y43" s="3089"/>
      <c r="Z43" s="1892" t="str">
        <f t="shared" si="15"/>
        <v>内部装修维护情况</v>
      </c>
      <c r="AA43" s="1893">
        <f t="shared" si="3"/>
        <v>1</v>
      </c>
      <c r="AB43" s="1893">
        <f t="shared" si="4"/>
        <v>1</v>
      </c>
      <c r="AC43" s="1893">
        <f t="shared" si="5"/>
        <v>1</v>
      </c>
    </row>
    <row r="44" spans="1:29" s="35" customFormat="1" ht="15.75" thickBot="1">
      <c r="A44" s="454"/>
      <c r="B44" s="2784" t="s">
        <v>2955</v>
      </c>
      <c r="C44" s="2783" t="s">
        <v>2954</v>
      </c>
      <c r="D44" s="52">
        <v>100</v>
      </c>
      <c r="E44" s="2782" t="s">
        <v>2952</v>
      </c>
      <c r="F44" s="405">
        <f>SUMIF(126:126,E44,127:127)-SUMIF(126:126,C44,127:127)+100</f>
        <v>110</v>
      </c>
      <c r="G44" s="2782" t="s">
        <v>3008</v>
      </c>
      <c r="H44" s="52">
        <f>SUMIF(126:126,G44,127:127)-SUMIF(126:126,C44,127:127)+100</f>
        <v>110</v>
      </c>
      <c r="I44" s="2782" t="s">
        <v>3009</v>
      </c>
      <c r="J44" s="52">
        <f>SUMIF(126:126,I44,127:127)-SUMIF(126:126,C44,127:127)+100</f>
        <v>100</v>
      </c>
      <c r="K44" s="597"/>
      <c r="L44" s="1245"/>
      <c r="M44" s="1246"/>
      <c r="N44" s="1246"/>
      <c r="O44" s="1246"/>
      <c r="P44" s="3087"/>
      <c r="Q44" s="1877" t="str">
        <f t="shared" si="11"/>
        <v>可注册</v>
      </c>
      <c r="R44" s="749" t="s">
        <v>25</v>
      </c>
      <c r="S44" s="750">
        <f t="shared" si="12"/>
        <v>110</v>
      </c>
      <c r="T44" s="749" t="s">
        <v>25</v>
      </c>
      <c r="U44" s="750">
        <f t="shared" si="13"/>
        <v>110</v>
      </c>
      <c r="V44" s="749" t="s">
        <v>25</v>
      </c>
      <c r="W44" s="750">
        <f t="shared" si="14"/>
        <v>100</v>
      </c>
      <c r="X44" s="751"/>
      <c r="Y44" s="3089"/>
      <c r="Z44" s="23" t="str">
        <f t="shared" si="15"/>
        <v>可注册</v>
      </c>
      <c r="AA44" s="752">
        <f t="shared" si="3"/>
        <v>0.90909090909090906</v>
      </c>
      <c r="AB44" s="752">
        <f t="shared" si="4"/>
        <v>0.90909090909090906</v>
      </c>
      <c r="AC44" s="752">
        <f t="shared" si="5"/>
        <v>1</v>
      </c>
    </row>
    <row r="45" spans="1:29" ht="15.75" hidden="1" thickBot="1">
      <c r="A45" s="453"/>
      <c r="B45" s="2784" t="s">
        <v>3010</v>
      </c>
      <c r="C45" s="2782" t="s">
        <v>3009</v>
      </c>
      <c r="D45" s="415">
        <v>100</v>
      </c>
      <c r="E45" s="2782" t="s">
        <v>3013</v>
      </c>
      <c r="F45" s="442">
        <f>SUMIF(128:128,E45,129:129)-SUMIF(128:128,C45,129:129)+100</f>
        <v>100</v>
      </c>
      <c r="G45" s="2782" t="s">
        <v>3009</v>
      </c>
      <c r="H45" s="415">
        <f>SUMIF(128:128,G45,129:129)-SUMIF(128:128,C45,129:129)+100</f>
        <v>100</v>
      </c>
      <c r="I45" s="2782" t="s">
        <v>3009</v>
      </c>
      <c r="J45" s="415">
        <f>SUMIF(128:128,I45,129:129)-SUMIF(128:128,C45,129:129)+100</f>
        <v>100</v>
      </c>
      <c r="K45" s="597"/>
      <c r="L45" s="1253"/>
      <c r="M45" s="1244"/>
      <c r="N45" s="1244"/>
      <c r="O45" s="1244"/>
      <c r="P45" s="3087"/>
      <c r="Q45" s="1889" t="str">
        <f t="shared" si="11"/>
        <v>可做餐饮</v>
      </c>
      <c r="R45" s="753" t="s">
        <v>25</v>
      </c>
      <c r="S45" s="754">
        <f t="shared" si="12"/>
        <v>100</v>
      </c>
      <c r="T45" s="753" t="s">
        <v>25</v>
      </c>
      <c r="U45" s="754">
        <f t="shared" si="13"/>
        <v>100</v>
      </c>
      <c r="V45" s="753" t="s">
        <v>25</v>
      </c>
      <c r="W45" s="754">
        <f t="shared" si="14"/>
        <v>100</v>
      </c>
      <c r="X45" s="1890"/>
      <c r="Y45" s="3089"/>
      <c r="Z45" s="1892" t="str">
        <f t="shared" si="15"/>
        <v>可做餐饮</v>
      </c>
      <c r="AA45" s="1893">
        <f t="shared" si="3"/>
        <v>1</v>
      </c>
      <c r="AB45" s="1893">
        <f t="shared" si="4"/>
        <v>1</v>
      </c>
      <c r="AC45" s="1893">
        <f t="shared" si="5"/>
        <v>1</v>
      </c>
    </row>
    <row r="46" spans="1:29" ht="15.75" hidden="1"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88"/>
      <c r="Q46" s="1889">
        <f t="shared" si="11"/>
        <v>111</v>
      </c>
      <c r="R46" s="753" t="s">
        <v>25</v>
      </c>
      <c r="S46" s="754">
        <f t="shared" si="12"/>
        <v>100</v>
      </c>
      <c r="T46" s="753" t="s">
        <v>25</v>
      </c>
      <c r="U46" s="754">
        <f t="shared" si="13"/>
        <v>100</v>
      </c>
      <c r="V46" s="753" t="s">
        <v>25</v>
      </c>
      <c r="W46" s="754">
        <f t="shared" si="14"/>
        <v>100</v>
      </c>
      <c r="X46" s="1890"/>
      <c r="Y46" s="3090"/>
      <c r="Z46" s="1892">
        <f t="shared" si="15"/>
        <v>111</v>
      </c>
      <c r="AA46" s="1893">
        <f t="shared" si="3"/>
        <v>1</v>
      </c>
      <c r="AB46" s="1893">
        <f t="shared" si="4"/>
        <v>1</v>
      </c>
      <c r="AC46" s="1893">
        <f t="shared" si="5"/>
        <v>1</v>
      </c>
    </row>
    <row r="47" spans="1:29" ht="15">
      <c r="A47" s="460" t="s">
        <v>2372</v>
      </c>
      <c r="B47" s="461"/>
      <c r="C47" s="1502" t="s">
        <v>1</v>
      </c>
      <c r="D47" s="1503"/>
      <c r="E47" s="1504">
        <v>4.5</v>
      </c>
      <c r="F47" s="1505"/>
      <c r="G47" s="1506">
        <v>6.3</v>
      </c>
      <c r="H47" s="1507"/>
      <c r="I47" s="1504">
        <v>3.8</v>
      </c>
      <c r="J47" s="1507"/>
      <c r="K47" s="762"/>
      <c r="L47" s="1256"/>
      <c r="M47" s="1257"/>
      <c r="N47" s="1244"/>
      <c r="O47" s="1257"/>
      <c r="P47" s="3081" t="str">
        <f>A47</f>
        <v>成交单价（元/平方米）</v>
      </c>
      <c r="Q47" s="3081"/>
      <c r="R47" s="3077">
        <f>E47</f>
        <v>4.5</v>
      </c>
      <c r="S47" s="3077"/>
      <c r="T47" s="3077">
        <f>G47</f>
        <v>6.3</v>
      </c>
      <c r="U47" s="3077"/>
      <c r="V47" s="3077">
        <f>I47</f>
        <v>3.8</v>
      </c>
      <c r="W47" s="3077"/>
      <c r="X47" s="738"/>
      <c r="Y47" s="760"/>
      <c r="Z47" s="738"/>
      <c r="AA47" s="738"/>
      <c r="AB47" s="738"/>
      <c r="AC47" s="738"/>
    </row>
    <row r="48" spans="1:29" ht="15.75" thickBot="1">
      <c r="A48" s="467" t="s">
        <v>2455</v>
      </c>
      <c r="B48" s="468"/>
      <c r="C48" s="1508">
        <f>R49</f>
        <v>4.5999999999999996</v>
      </c>
      <c r="D48" s="1509"/>
      <c r="E48" s="1510">
        <f>R48</f>
        <v>4.7</v>
      </c>
      <c r="F48" s="1510"/>
      <c r="G48" s="1508">
        <f>T48</f>
        <v>4.9000000000000004</v>
      </c>
      <c r="H48" s="1509"/>
      <c r="I48" s="1510">
        <f>V48</f>
        <v>4.3</v>
      </c>
      <c r="J48" s="1509"/>
      <c r="K48" s="763"/>
      <c r="L48" s="1256"/>
      <c r="M48" s="1257"/>
      <c r="N48" s="1244"/>
      <c r="O48" s="1257"/>
      <c r="P48" s="3081" t="str">
        <f>A48</f>
        <v>比较价值（元/平方米）</v>
      </c>
      <c r="Q48" s="3081"/>
      <c r="R48" s="3077">
        <f>IF(E1="售价",ROUND(PRODUCT(R47,AA7:AA46),0),ROUND(PRODUCT(R47,AA7:AA46),1))</f>
        <v>4.7</v>
      </c>
      <c r="S48" s="3077"/>
      <c r="T48" s="3077">
        <f>IF(E1="售价",ROUND(PRODUCT(T47,AB7:AB46),0),ROUND(PRODUCT(T47,AB7:AB46),1))</f>
        <v>4.9000000000000004</v>
      </c>
      <c r="U48" s="3077"/>
      <c r="V48" s="3077">
        <f>IF(E1="售价",ROUND(PRODUCT(V47,AC7:AC46),0),ROUND(PRODUCT(V47,AC7:AC46),1))</f>
        <v>4.3</v>
      </c>
      <c r="W48" s="3077"/>
      <c r="X48" s="738"/>
      <c r="Y48" s="738"/>
      <c r="Z48" s="738"/>
      <c r="AA48" s="738"/>
      <c r="AB48" s="738"/>
      <c r="AC48" s="738"/>
    </row>
    <row r="49" spans="1:29" ht="15.75" thickBot="1">
      <c r="A49" s="473" t="s">
        <v>3023</v>
      </c>
      <c r="B49" s="474"/>
      <c r="C49" s="1512">
        <f>R49</f>
        <v>4.5999999999999996</v>
      </c>
      <c r="D49" s="1512"/>
      <c r="E49" s="1512"/>
      <c r="F49" s="1512"/>
      <c r="G49" s="1512"/>
      <c r="H49" s="1512"/>
      <c r="I49" s="1512"/>
      <c r="J49" s="1512"/>
      <c r="K49" s="764"/>
      <c r="L49" s="1256"/>
      <c r="M49" s="1257"/>
      <c r="N49" s="1244"/>
      <c r="O49" s="1257"/>
      <c r="P49" s="3078" t="str">
        <f>A49</f>
        <v>估价对象商业用房的比较价值（楼面单价，元/平方米）</v>
      </c>
      <c r="Q49" s="3079"/>
      <c r="R49" s="3080">
        <f>IF(E1="售价",ROUND(AVERAGE(R48:V48),0),ROUND(AVERAGE(R48:V48),1))</f>
        <v>4.5999999999999996</v>
      </c>
      <c r="S49" s="3080"/>
      <c r="T49" s="3080"/>
      <c r="U49" s="3080"/>
      <c r="V49" s="3080"/>
      <c r="W49" s="308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4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49"/>
      <c r="Q51" s="1257"/>
      <c r="R51" s="1257"/>
      <c r="S51" s="1257"/>
      <c r="T51" s="1257"/>
      <c r="U51" s="1257"/>
      <c r="V51" s="1257"/>
      <c r="W51" s="1257"/>
      <c r="X51" s="1257"/>
      <c r="Y51" s="1257"/>
      <c r="Z51" s="1257"/>
      <c r="AA51" s="1257"/>
      <c r="AB51" s="1257"/>
      <c r="AC51" s="1257"/>
    </row>
    <row r="52" spans="1:29" ht="13.5" customHeight="1">
      <c r="A52" s="1257"/>
      <c r="B52" s="1257"/>
      <c r="C52" s="478" t="s">
        <v>2456</v>
      </c>
      <c r="D52" s="479"/>
      <c r="E52" s="480">
        <f>IF(E47&lt;E48,E48/E47-1,E47/E48-1)</f>
        <v>4.4444444444444509E-2</v>
      </c>
      <c r="F52" s="481" t="str">
        <f>IF(OR(E52&gt;=0.3,E52&lt;=-0.3),"超过30%","")</f>
        <v/>
      </c>
      <c r="G52" s="480">
        <f>IF(G47&lt;G48,G48/G47-1,G47/G48-1)</f>
        <v>0.28571428571428559</v>
      </c>
      <c r="H52" s="481" t="str">
        <f>IF(OR(G52&gt;=0.3,G52&lt;=-0.3),"超过30%","")</f>
        <v/>
      </c>
      <c r="I52" s="480">
        <f>IF(I47&lt;I48,I48/I47-1,I47/I48-1)</f>
        <v>0.13157894736842102</v>
      </c>
      <c r="J52" s="481" t="str">
        <f>IF(OR(I52&gt;=0.3,I52&lt;=-0.3),"超过30%","")</f>
        <v/>
      </c>
      <c r="K52" s="1262"/>
      <c r="L52" s="1258"/>
      <c r="M52" s="1257"/>
      <c r="N52" s="1257"/>
      <c r="O52" s="1257"/>
      <c r="P52" s="2449"/>
      <c r="Q52" s="1257"/>
      <c r="R52" s="1257"/>
      <c r="S52" s="1257"/>
      <c r="T52" s="1257"/>
      <c r="U52" s="1257"/>
      <c r="V52" s="1257"/>
      <c r="W52" s="1257"/>
      <c r="X52" s="1257"/>
      <c r="Y52" s="1257"/>
      <c r="Z52" s="1257"/>
      <c r="AA52" s="1257"/>
      <c r="AB52" s="1257"/>
      <c r="AC52" s="1257"/>
    </row>
    <row r="53" spans="1:29" ht="13.5" customHeight="1">
      <c r="A53" s="1257"/>
      <c r="B53" s="1257"/>
      <c r="C53" s="478" t="s">
        <v>2457</v>
      </c>
      <c r="D53" s="482"/>
      <c r="E53" s="480">
        <f>IF(E48&lt;G48,G48/E48-1,E48/G48-1)</f>
        <v>4.2553191489361764E-2</v>
      </c>
      <c r="F53" s="481" t="str">
        <f>IF(OR(E53&gt;=0.2,E53&lt;=-0.2),"超过20%","")</f>
        <v/>
      </c>
      <c r="G53" s="480">
        <f>IF(G48&lt;I48,I48/G48-1,G48/I48-1)</f>
        <v>0.13953488372093026</v>
      </c>
      <c r="H53" s="481" t="str">
        <f>IF(OR(G53&gt;=0.2,G53&lt;=-0.2),"超过20%","")</f>
        <v/>
      </c>
      <c r="I53" s="480">
        <f>IF(I48&lt;E48,E48/I48-1,I48/E48-1)</f>
        <v>9.3023255813953654E-2</v>
      </c>
      <c r="J53" s="481" t="str">
        <f>IF(OR(I53&gt;=0.2,I53&lt;=-0.2),"超过20%","")</f>
        <v/>
      </c>
      <c r="K53" s="1262"/>
      <c r="L53" s="1258"/>
      <c r="M53" s="1257"/>
      <c r="N53" s="1257"/>
      <c r="O53" s="1257"/>
      <c r="P53" s="2449"/>
      <c r="Q53" s="1257"/>
      <c r="R53" s="1257"/>
      <c r="S53" s="1257"/>
      <c r="T53" s="1257"/>
      <c r="U53" s="1257"/>
      <c r="V53" s="1257"/>
      <c r="W53" s="1257"/>
      <c r="X53" s="1257"/>
      <c r="Y53" s="1257"/>
      <c r="Z53" s="1257"/>
      <c r="AA53" s="1257"/>
      <c r="AB53" s="1257"/>
      <c r="AC53" s="1257"/>
    </row>
    <row r="54" spans="1:29" s="483" customFormat="1" ht="13.5" customHeight="1">
      <c r="A54" s="1259"/>
      <c r="B54" s="1259"/>
      <c r="C54" s="478" t="s">
        <v>2458</v>
      </c>
      <c r="D54" s="482"/>
      <c r="E54" s="480">
        <f>IF(E47&lt;G47,G47/E47-1,E47/G47-1)</f>
        <v>0.39999999999999991</v>
      </c>
      <c r="F54" s="481" t="str">
        <f>IF(OR(E54&gt;=0.3,E54&lt;=-0.3),"超过30%","")</f>
        <v>超过30%</v>
      </c>
      <c r="G54" s="480">
        <f>IF(G47&lt;I47,I47/G47-1,G47/I47-1)</f>
        <v>0.65789473684210531</v>
      </c>
      <c r="H54" s="481" t="str">
        <f>IF(OR(G54&gt;=0.3,G54&lt;=-0.3),"超过30%","")</f>
        <v>超过30%</v>
      </c>
      <c r="I54" s="480">
        <f>IF(I47&lt;E47,E47/I47-1,I47/E47-1)</f>
        <v>0.1842105263157896</v>
      </c>
      <c r="J54" s="481" t="str">
        <f>IF(OR(I54&gt;=0.3,I54&lt;=-0.3),"超过30%","")</f>
        <v/>
      </c>
      <c r="K54" s="1263"/>
      <c r="L54" s="1264"/>
      <c r="M54" s="1259"/>
      <c r="N54" s="1259"/>
      <c r="O54" s="1259"/>
      <c r="P54" s="245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49"/>
      <c r="Q56" s="1257"/>
      <c r="R56" s="1257"/>
      <c r="S56" s="1257"/>
      <c r="T56" s="1257"/>
      <c r="U56" s="1257"/>
      <c r="V56" s="1257"/>
      <c r="W56" s="1257"/>
      <c r="X56" s="1257"/>
      <c r="Y56" s="1257"/>
      <c r="Z56" s="1257"/>
      <c r="AA56" s="1257"/>
      <c r="AB56" s="1257"/>
      <c r="AC56" s="1257"/>
    </row>
    <row r="57" spans="1:29" ht="21.75" thickBot="1">
      <c r="A57" s="742" t="s">
        <v>2459</v>
      </c>
      <c r="B57" s="738"/>
      <c r="C57" s="743"/>
      <c r="D57" s="743"/>
      <c r="E57" s="743"/>
      <c r="F57" s="744"/>
      <c r="G57" s="744"/>
      <c r="H57" s="743"/>
      <c r="I57" s="743"/>
      <c r="J57" s="743"/>
      <c r="K57" s="745"/>
      <c r="L57" s="1272"/>
      <c r="M57" s="1273"/>
      <c r="N57" s="1273"/>
      <c r="O57" s="1273"/>
      <c r="P57" s="2451"/>
      <c r="Q57" s="2452"/>
      <c r="R57" s="1257"/>
      <c r="S57" s="1257"/>
      <c r="T57" s="1257"/>
      <c r="U57" s="1257"/>
      <c r="V57" s="1257"/>
      <c r="W57" s="1257"/>
      <c r="X57" s="1257"/>
      <c r="Y57" s="1257"/>
      <c r="Z57" s="1257"/>
      <c r="AA57" s="1257"/>
      <c r="AB57" s="1257"/>
      <c r="AC57" s="1257"/>
    </row>
    <row r="58" spans="1:29" s="489" customFormat="1" ht="15">
      <c r="A58" s="486" t="s">
        <v>2342</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2344</v>
      </c>
      <c r="B61" s="491"/>
      <c r="C61" s="503" t="s">
        <v>2345</v>
      </c>
      <c r="D61" s="504"/>
      <c r="E61" s="504"/>
      <c r="F61" s="504"/>
      <c r="G61" s="504"/>
      <c r="H61" s="504"/>
      <c r="I61" s="504"/>
      <c r="J61" s="504"/>
      <c r="K61" s="504"/>
      <c r="L61" s="505"/>
      <c r="M61" s="506"/>
      <c r="N61" s="1266"/>
      <c r="O61" s="1266"/>
      <c r="P61" s="2415"/>
      <c r="Q61" s="485"/>
    </row>
    <row r="62" spans="1:29" s="35" customFormat="1" ht="15.75" thickBot="1">
      <c r="A62" s="502"/>
      <c r="B62" s="491"/>
      <c r="C62" s="492">
        <v>100</v>
      </c>
      <c r="D62" s="493"/>
      <c r="E62" s="493"/>
      <c r="F62" s="493"/>
      <c r="G62" s="493"/>
      <c r="H62" s="493"/>
      <c r="I62" s="493"/>
      <c r="J62" s="493"/>
      <c r="K62" s="493"/>
      <c r="L62" s="493"/>
      <c r="M62" s="495"/>
      <c r="N62" s="1266"/>
      <c r="O62" s="1266"/>
      <c r="P62" s="2414"/>
      <c r="Q62" s="485"/>
    </row>
    <row r="63" spans="1:29">
      <c r="A63" s="508" t="s">
        <v>2383</v>
      </c>
      <c r="B63" s="509" t="s">
        <v>2348</v>
      </c>
      <c r="C63" s="510" t="str">
        <f>C9</f>
        <v>商业</v>
      </c>
      <c r="D63" s="511"/>
      <c r="E63" s="511"/>
      <c r="F63" s="511"/>
      <c r="G63" s="511"/>
      <c r="H63" s="511"/>
      <c r="I63" s="511"/>
      <c r="J63" s="511"/>
      <c r="K63" s="512"/>
      <c r="L63" s="513"/>
      <c r="M63" s="514"/>
      <c r="N63" s="1267"/>
      <c r="O63" s="1267"/>
      <c r="P63" s="2416"/>
      <c r="Q63" s="485"/>
    </row>
    <row r="64" spans="1:29" ht="15.75" thickBot="1">
      <c r="A64" s="516"/>
      <c r="B64" s="517"/>
      <c r="C64" s="518">
        <v>100</v>
      </c>
      <c r="D64" s="518"/>
      <c r="E64" s="518"/>
      <c r="F64" s="518"/>
      <c r="G64" s="518"/>
      <c r="H64" s="518"/>
      <c r="I64" s="518"/>
      <c r="J64" s="518"/>
      <c r="K64" s="518"/>
      <c r="L64" s="518"/>
      <c r="M64" s="519"/>
      <c r="N64" s="1268"/>
      <c r="O64" s="1268"/>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7"/>
      <c r="O65" s="1267"/>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16"/>
      <c r="Q66" s="485"/>
    </row>
    <row r="67" spans="1:17" ht="15.75" thickTop="1">
      <c r="A67" s="516"/>
      <c r="B67" s="529" t="s">
        <v>2352</v>
      </c>
      <c r="C67" s="530" t="str">
        <f>C68&amp;"（含）"&amp;"-"&amp;D68</f>
        <v>1（含）-2.5</v>
      </c>
      <c r="D67" s="530" t="str">
        <f t="shared" ref="D67:L67" si="17">D68&amp;"（含）"&amp;"-"&amp;E68</f>
        <v>2.5（含）-5</v>
      </c>
      <c r="E67" s="530" t="str">
        <f t="shared" si="17"/>
        <v>5（含）-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16"/>
      <c r="Q67" s="485"/>
    </row>
    <row r="68" spans="1:17" ht="15">
      <c r="A68" s="516"/>
      <c r="B68" s="531"/>
      <c r="C68" s="532">
        <v>1</v>
      </c>
      <c r="D68" s="532">
        <v>2.5</v>
      </c>
      <c r="E68" s="532">
        <v>5</v>
      </c>
      <c r="F68" s="532"/>
      <c r="G68" s="532"/>
      <c r="H68" s="532"/>
      <c r="I68" s="532"/>
      <c r="J68" s="532"/>
      <c r="K68" s="533"/>
      <c r="L68" s="534"/>
      <c r="M68" s="535"/>
      <c r="N68" s="1267"/>
      <c r="O68" s="1267"/>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16"/>
      <c r="Q69" s="485"/>
    </row>
    <row r="70" spans="1:17" s="452" customFormat="1" ht="15.75" thickTop="1">
      <c r="A70" s="536"/>
      <c r="B70" s="521">
        <f>B12</f>
        <v>111</v>
      </c>
      <c r="C70" s="537"/>
      <c r="D70" s="537"/>
      <c r="E70" s="537"/>
      <c r="F70" s="537"/>
      <c r="G70" s="537"/>
      <c r="H70" s="538"/>
      <c r="I70" s="538"/>
      <c r="J70" s="538"/>
      <c r="K70" s="538"/>
      <c r="L70" s="539"/>
      <c r="M70" s="540"/>
      <c r="N70" s="1269"/>
      <c r="O70" s="1269"/>
      <c r="P70" s="2417"/>
      <c r="Q70" s="543"/>
    </row>
    <row r="71" spans="1:17" s="452" customFormat="1" ht="15.75" thickBot="1">
      <c r="A71" s="536"/>
      <c r="B71" s="526"/>
      <c r="C71" s="544"/>
      <c r="D71" s="518"/>
      <c r="E71" s="518"/>
      <c r="F71" s="518"/>
      <c r="G71" s="518"/>
      <c r="H71" s="518"/>
      <c r="I71" s="518"/>
      <c r="J71" s="518"/>
      <c r="K71" s="518"/>
      <c r="L71" s="518"/>
      <c r="M71" s="519"/>
      <c r="N71" s="1268"/>
      <c r="O71" s="1268"/>
      <c r="P71" s="2417"/>
      <c r="Q71" s="543"/>
    </row>
    <row r="72" spans="1:17" s="452" customFormat="1" ht="15.75" thickTop="1">
      <c r="A72" s="536"/>
      <c r="B72" s="521">
        <f>B13</f>
        <v>111</v>
      </c>
      <c r="C72" s="537"/>
      <c r="D72" s="537"/>
      <c r="E72" s="537"/>
      <c r="F72" s="537"/>
      <c r="G72" s="537"/>
      <c r="H72" s="538"/>
      <c r="I72" s="538"/>
      <c r="J72" s="538"/>
      <c r="K72" s="538"/>
      <c r="L72" s="539"/>
      <c r="M72" s="540"/>
      <c r="N72" s="1269"/>
      <c r="O72" s="1269"/>
      <c r="P72" s="2418"/>
      <c r="Q72" s="545"/>
    </row>
    <row r="73" spans="1:17" s="452" customFormat="1" ht="15.75" thickBot="1">
      <c r="A73" s="536"/>
      <c r="B73" s="526"/>
      <c r="C73" s="544"/>
      <c r="D73" s="518"/>
      <c r="E73" s="518"/>
      <c r="F73" s="518"/>
      <c r="G73" s="544"/>
      <c r="H73" s="546"/>
      <c r="I73" s="546"/>
      <c r="J73" s="546"/>
      <c r="K73" s="546"/>
      <c r="L73" s="546"/>
      <c r="M73" s="547"/>
      <c r="N73" s="1269"/>
      <c r="O73" s="1269"/>
      <c r="P73" s="2417"/>
      <c r="Q73" s="543"/>
    </row>
    <row r="74" spans="1:17" s="452" customFormat="1" ht="15.75" thickTop="1">
      <c r="A74" s="536"/>
      <c r="B74" s="529">
        <f>B14</f>
        <v>111</v>
      </c>
      <c r="C74" s="537"/>
      <c r="D74" s="537"/>
      <c r="E74" s="537"/>
      <c r="F74" s="537"/>
      <c r="G74" s="504"/>
      <c r="H74" s="548"/>
      <c r="I74" s="548"/>
      <c r="J74" s="548"/>
      <c r="K74" s="548"/>
      <c r="L74" s="549"/>
      <c r="M74" s="550"/>
      <c r="N74" s="1269"/>
      <c r="O74" s="1269"/>
      <c r="P74" s="2419"/>
      <c r="Q74" s="543"/>
    </row>
    <row r="75" spans="1:17" s="452" customFormat="1" ht="15.75" thickBot="1">
      <c r="A75" s="552"/>
      <c r="B75" s="553"/>
      <c r="C75" s="554"/>
      <c r="D75" s="554"/>
      <c r="E75" s="554"/>
      <c r="F75" s="554"/>
      <c r="G75" s="554"/>
      <c r="H75" s="555"/>
      <c r="I75" s="555"/>
      <c r="J75" s="555"/>
      <c r="K75" s="555"/>
      <c r="L75" s="555"/>
      <c r="M75" s="556"/>
      <c r="N75" s="1269"/>
      <c r="O75" s="1269"/>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7"/>
      <c r="O76" s="1267"/>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7"/>
      <c r="O78" s="1267"/>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7"/>
      <c r="O80" s="1267"/>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6"/>
      <c r="Q81" s="485"/>
    </row>
    <row r="82" spans="1:17" ht="15.75" thickTop="1">
      <c r="A82" s="516"/>
      <c r="B82" s="529" t="s">
        <v>2441</v>
      </c>
      <c r="C82" s="522" t="s">
        <v>2399</v>
      </c>
      <c r="D82" s="522" t="s">
        <v>2400</v>
      </c>
      <c r="E82" s="522" t="s">
        <v>2401</v>
      </c>
      <c r="F82" s="522" t="s">
        <v>2402</v>
      </c>
      <c r="G82" s="522" t="s">
        <v>2403</v>
      </c>
      <c r="H82" s="522"/>
      <c r="I82" s="522"/>
      <c r="J82" s="522"/>
      <c r="K82" s="522"/>
      <c r="L82" s="522"/>
      <c r="M82" s="1467"/>
      <c r="N82" s="1268"/>
      <c r="O82" s="1268"/>
      <c r="P82" s="2416"/>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7"/>
      <c r="O84" s="1267"/>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6"/>
      <c r="Q85" s="485"/>
    </row>
    <row r="86" spans="1:17" s="35" customFormat="1" ht="15.75" thickTop="1">
      <c r="A86" s="563"/>
      <c r="B86" s="521" t="s">
        <v>2460</v>
      </c>
      <c r="C86" s="2789" t="s">
        <v>2966</v>
      </c>
      <c r="D86" s="2789" t="s">
        <v>2967</v>
      </c>
      <c r="E86" s="2789" t="s">
        <v>2969</v>
      </c>
      <c r="F86" s="2789" t="s">
        <v>2971</v>
      </c>
      <c r="G86" s="2789" t="s">
        <v>2973</v>
      </c>
      <c r="H86" s="537"/>
      <c r="I86" s="537"/>
      <c r="J86" s="537"/>
      <c r="K86" s="537"/>
      <c r="L86" s="564"/>
      <c r="M86" s="565"/>
      <c r="N86" s="1266"/>
      <c r="O86" s="1266"/>
      <c r="P86" s="2416"/>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8"/>
      <c r="O87" s="1268"/>
      <c r="P87" s="2416"/>
      <c r="Q87" s="485"/>
    </row>
    <row r="88" spans="1:17" s="35" customFormat="1" ht="15.75" thickTop="1">
      <c r="A88" s="563"/>
      <c r="B88" s="521" t="str">
        <f>B26</f>
        <v>平面位置/可视性</v>
      </c>
      <c r="C88" s="2789" t="s">
        <v>3020</v>
      </c>
      <c r="D88" s="2789" t="s">
        <v>3021</v>
      </c>
      <c r="E88" s="2789" t="s">
        <v>2974</v>
      </c>
      <c r="F88" s="2421"/>
      <c r="G88" s="537"/>
      <c r="H88" s="537"/>
      <c r="I88" s="537"/>
      <c r="J88" s="537"/>
      <c r="K88" s="537"/>
      <c r="L88" s="537"/>
      <c r="M88" s="565"/>
      <c r="N88" s="1266"/>
      <c r="O88" s="1266"/>
      <c r="P88" s="2416"/>
      <c r="Q88" s="485"/>
    </row>
    <row r="89" spans="1:17" s="35" customFormat="1" ht="15.75" thickBot="1">
      <c r="A89" s="563"/>
      <c r="B89" s="526"/>
      <c r="C89" s="544">
        <v>100</v>
      </c>
      <c r="D89" s="518">
        <v>99</v>
      </c>
      <c r="E89" s="518">
        <v>98</v>
      </c>
      <c r="F89" s="518"/>
      <c r="G89" s="518"/>
      <c r="H89" s="518"/>
      <c r="I89" s="518"/>
      <c r="J89" s="518"/>
      <c r="K89" s="518"/>
      <c r="L89" s="518"/>
      <c r="M89" s="518"/>
      <c r="N89" s="1268"/>
      <c r="O89" s="1268"/>
      <c r="P89" s="2416"/>
      <c r="Q89" s="485"/>
    </row>
    <row r="90" spans="1:17" s="452" customFormat="1" ht="15.75" thickTop="1">
      <c r="A90" s="536"/>
      <c r="B90" s="521" t="str">
        <f>B27</f>
        <v>人流量</v>
      </c>
      <c r="C90" s="2789" t="s">
        <v>2975</v>
      </c>
      <c r="D90" s="2789" t="s">
        <v>2977</v>
      </c>
      <c r="E90" s="2789" t="s">
        <v>2974</v>
      </c>
      <c r="F90" s="537"/>
      <c r="G90" s="537"/>
      <c r="H90" s="538"/>
      <c r="I90" s="538"/>
      <c r="J90" s="538"/>
      <c r="K90" s="538"/>
      <c r="L90" s="539"/>
      <c r="M90" s="540"/>
      <c r="N90" s="1269"/>
      <c r="O90" s="1269"/>
      <c r="P90" s="2417"/>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9"/>
      <c r="O91" s="1269"/>
      <c r="P91" s="2417"/>
      <c r="Q91" s="543"/>
    </row>
    <row r="92" spans="1:17" ht="15.75" thickTop="1">
      <c r="A92" s="516"/>
      <c r="B92" s="521" t="str">
        <f>B28</f>
        <v>楼层</v>
      </c>
      <c r="C92" s="537">
        <v>1</v>
      </c>
      <c r="D92" s="2790" t="s">
        <v>2979</v>
      </c>
      <c r="E92" s="2790"/>
      <c r="F92" s="537"/>
      <c r="G92" s="537"/>
      <c r="H92" s="537"/>
      <c r="I92" s="537"/>
      <c r="J92" s="537"/>
      <c r="K92" s="537"/>
      <c r="L92" s="564"/>
      <c r="M92" s="565"/>
      <c r="N92" s="1267"/>
      <c r="O92" s="1267"/>
      <c r="P92" s="2416"/>
      <c r="Q92" s="485"/>
    </row>
    <row r="93" spans="1:17" ht="15.75" thickBot="1">
      <c r="A93" s="516"/>
      <c r="B93" s="526"/>
      <c r="C93" s="518">
        <v>100</v>
      </c>
      <c r="D93" s="518">
        <f>ROUND((1.8629*75+1.3372*75+1.0788*75)/225/1.8629*100,0)</f>
        <v>77</v>
      </c>
      <c r="E93" s="518"/>
      <c r="F93" s="518"/>
      <c r="G93" s="518"/>
      <c r="H93" s="518"/>
      <c r="I93" s="518"/>
      <c r="J93" s="518"/>
      <c r="K93" s="518"/>
      <c r="L93" s="518"/>
      <c r="M93" s="519"/>
      <c r="N93" s="1268"/>
      <c r="O93" s="1268"/>
      <c r="P93" s="2416"/>
      <c r="Q93" s="485"/>
    </row>
    <row r="94" spans="1:17" ht="15.75" thickTop="1">
      <c r="A94" s="516"/>
      <c r="B94" s="521">
        <f>B29</f>
        <v>111</v>
      </c>
      <c r="C94" s="537"/>
      <c r="D94" s="537"/>
      <c r="E94" s="537"/>
      <c r="F94" s="537"/>
      <c r="G94" s="567"/>
      <c r="H94" s="567"/>
      <c r="I94" s="567"/>
      <c r="J94" s="567"/>
      <c r="K94" s="568"/>
      <c r="L94" s="569"/>
      <c r="M94" s="570"/>
      <c r="N94" s="1267"/>
      <c r="O94" s="1267"/>
      <c r="P94" s="2416"/>
      <c r="Q94" s="485"/>
    </row>
    <row r="95" spans="1:17" ht="15.75" thickBot="1">
      <c r="A95" s="516"/>
      <c r="B95" s="526"/>
      <c r="C95" s="544"/>
      <c r="D95" s="518"/>
      <c r="E95" s="518"/>
      <c r="F95" s="518"/>
      <c r="G95" s="518"/>
      <c r="H95" s="518"/>
      <c r="I95" s="518"/>
      <c r="J95" s="518"/>
      <c r="K95" s="518"/>
      <c r="L95" s="518"/>
      <c r="M95" s="519"/>
      <c r="N95" s="1268"/>
      <c r="O95" s="1268"/>
      <c r="P95" s="2416"/>
      <c r="Q95" s="485"/>
    </row>
    <row r="96" spans="1:17" ht="15.75" thickTop="1">
      <c r="A96" s="516"/>
      <c r="B96" s="521">
        <f>B30</f>
        <v>111</v>
      </c>
      <c r="C96" s="537"/>
      <c r="D96" s="537"/>
      <c r="E96" s="537"/>
      <c r="F96" s="537"/>
      <c r="G96" s="567"/>
      <c r="H96" s="567"/>
      <c r="I96" s="567"/>
      <c r="J96" s="567"/>
      <c r="K96" s="568"/>
      <c r="L96" s="569"/>
      <c r="M96" s="570"/>
      <c r="N96" s="1267"/>
      <c r="O96" s="1267"/>
      <c r="P96" s="2416"/>
      <c r="Q96" s="485"/>
    </row>
    <row r="97" spans="1:17" ht="15.75" thickBot="1">
      <c r="A97" s="516"/>
      <c r="B97" s="526"/>
      <c r="C97" s="544"/>
      <c r="D97" s="518"/>
      <c r="E97" s="518"/>
      <c r="F97" s="518"/>
      <c r="G97" s="518"/>
      <c r="H97" s="518"/>
      <c r="I97" s="518"/>
      <c r="J97" s="518"/>
      <c r="K97" s="518"/>
      <c r="L97" s="518"/>
      <c r="M97" s="519"/>
      <c r="N97" s="1268"/>
      <c r="O97" s="1268"/>
      <c r="P97" s="2416"/>
      <c r="Q97" s="485"/>
    </row>
    <row r="98" spans="1:17" ht="15.75" thickTop="1">
      <c r="A98" s="516"/>
      <c r="B98" s="529">
        <f>B31</f>
        <v>111</v>
      </c>
      <c r="C98" s="537"/>
      <c r="D98" s="537"/>
      <c r="E98" s="537"/>
      <c r="F98" s="537"/>
      <c r="G98" s="571"/>
      <c r="H98" s="571"/>
      <c r="I98" s="571"/>
      <c r="J98" s="571"/>
      <c r="K98" s="572"/>
      <c r="L98" s="573"/>
      <c r="M98" s="574"/>
      <c r="N98" s="1267"/>
      <c r="O98" s="1267"/>
      <c r="P98" s="2416"/>
      <c r="Q98" s="485"/>
    </row>
    <row r="99" spans="1:17" ht="15.75" thickBot="1">
      <c r="A99" s="2422"/>
      <c r="B99" s="553"/>
      <c r="C99" s="554"/>
      <c r="D99" s="554"/>
      <c r="E99" s="554"/>
      <c r="F99" s="554"/>
      <c r="G99" s="575"/>
      <c r="H99" s="575"/>
      <c r="I99" s="575"/>
      <c r="J99" s="575"/>
      <c r="K99" s="575"/>
      <c r="L99" s="575"/>
      <c r="M99" s="576"/>
      <c r="N99" s="1268"/>
      <c r="O99" s="1268"/>
      <c r="P99" s="2416"/>
      <c r="Q99" s="485"/>
    </row>
    <row r="100" spans="1:17">
      <c r="A100" s="508" t="s">
        <v>2358</v>
      </c>
      <c r="B100" s="509" t="s">
        <v>2461</v>
      </c>
      <c r="C100" s="2797" t="s">
        <v>2984</v>
      </c>
      <c r="D100" s="2797" t="s">
        <v>2986</v>
      </c>
      <c r="E100" s="511"/>
      <c r="F100" s="511"/>
      <c r="G100" s="511"/>
      <c r="H100" s="511"/>
      <c r="I100" s="511"/>
      <c r="J100" s="511"/>
      <c r="K100" s="512"/>
      <c r="L100" s="513"/>
      <c r="M100" s="514"/>
      <c r="N100" s="1267"/>
      <c r="O100" s="1267"/>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16"/>
      <c r="Q101" s="485"/>
    </row>
    <row r="102" spans="1:17" ht="15.75" thickTop="1">
      <c r="A102" s="516"/>
      <c r="B102" s="521" t="s">
        <v>2408</v>
      </c>
      <c r="C102" s="562" t="str">
        <f>C103&amp;"(含)"&amp;"-"&amp;D103</f>
        <v>0(含)-100</v>
      </c>
      <c r="D102" s="562" t="str">
        <f t="shared" ref="D102:L102" si="22">D103&amp;"(含)"&amp;"-"&amp;E103</f>
        <v>100(含)-200</v>
      </c>
      <c r="E102" s="562" t="str">
        <f t="shared" si="22"/>
        <v>200(含)-300</v>
      </c>
      <c r="F102" s="562" t="str">
        <f t="shared" si="22"/>
        <v>300(含)-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16"/>
      <c r="Q102" s="485"/>
    </row>
    <row r="103" spans="1:17" s="452" customFormat="1">
      <c r="A103" s="577"/>
      <c r="B103" s="578"/>
      <c r="C103" s="579">
        <v>0</v>
      </c>
      <c r="D103" s="579">
        <v>100</v>
      </c>
      <c r="E103" s="579">
        <v>200</v>
      </c>
      <c r="F103" s="579">
        <v>300</v>
      </c>
      <c r="G103" s="579"/>
      <c r="H103" s="579"/>
      <c r="I103" s="579"/>
      <c r="J103" s="580"/>
      <c r="K103" s="580"/>
      <c r="L103" s="581"/>
      <c r="M103" s="582"/>
      <c r="N103" s="1269"/>
      <c r="O103" s="1269"/>
      <c r="P103" s="2417"/>
      <c r="Q103" s="543"/>
    </row>
    <row r="104" spans="1:17" s="452" customFormat="1" ht="15.75" thickBot="1">
      <c r="A104" s="536"/>
      <c r="B104" s="526"/>
      <c r="C104" s="544">
        <v>98</v>
      </c>
      <c r="D104" s="518">
        <v>99</v>
      </c>
      <c r="E104" s="518">
        <v>100</v>
      </c>
      <c r="F104" s="518">
        <v>99</v>
      </c>
      <c r="G104" s="518"/>
      <c r="H104" s="518"/>
      <c r="I104" s="518"/>
      <c r="J104" s="518"/>
      <c r="K104" s="518"/>
      <c r="L104" s="518"/>
      <c r="M104" s="519"/>
      <c r="N104" s="1268"/>
      <c r="O104" s="1268"/>
      <c r="P104" s="2417"/>
      <c r="Q104" s="543"/>
    </row>
    <row r="105" spans="1:17" ht="15" thickTop="1">
      <c r="A105" s="583"/>
      <c r="B105" s="521" t="s">
        <v>2409</v>
      </c>
      <c r="C105" s="2789" t="s">
        <v>2987</v>
      </c>
      <c r="D105" s="2789" t="s">
        <v>2988</v>
      </c>
      <c r="E105" s="567"/>
      <c r="F105" s="567"/>
      <c r="G105" s="567"/>
      <c r="H105" s="567"/>
      <c r="I105" s="567"/>
      <c r="J105" s="567"/>
      <c r="K105" s="568"/>
      <c r="L105" s="569"/>
      <c r="M105" s="570"/>
      <c r="N105" s="1267"/>
      <c r="O105" s="1267"/>
      <c r="P105" s="2416"/>
      <c r="Q105" s="485"/>
    </row>
    <row r="106" spans="1:17" ht="15.75" thickBot="1">
      <c r="A106" s="516"/>
      <c r="B106" s="526"/>
      <c r="C106" s="527">
        <v>100</v>
      </c>
      <c r="D106" s="527">
        <f t="shared" ref="D106:M106" si="23">C106-$K34</f>
        <v>96</v>
      </c>
      <c r="E106" s="527">
        <f t="shared" si="23"/>
        <v>92</v>
      </c>
      <c r="F106" s="527">
        <f t="shared" si="23"/>
        <v>88</v>
      </c>
      <c r="G106" s="527">
        <f t="shared" si="23"/>
        <v>84</v>
      </c>
      <c r="H106" s="527">
        <f t="shared" si="23"/>
        <v>80</v>
      </c>
      <c r="I106" s="527">
        <f t="shared" si="23"/>
        <v>76</v>
      </c>
      <c r="J106" s="527">
        <f t="shared" si="23"/>
        <v>72</v>
      </c>
      <c r="K106" s="527">
        <f t="shared" si="23"/>
        <v>68</v>
      </c>
      <c r="L106" s="527">
        <f t="shared" si="23"/>
        <v>64</v>
      </c>
      <c r="M106" s="528">
        <f t="shared" si="23"/>
        <v>60</v>
      </c>
      <c r="N106" s="1268"/>
      <c r="O106" s="1268"/>
      <c r="P106" s="2416"/>
      <c r="Q106" s="485"/>
    </row>
    <row r="107" spans="1:17" ht="15" thickTop="1">
      <c r="A107" s="583"/>
      <c r="B107" s="521" t="s">
        <v>2411</v>
      </c>
      <c r="C107" s="2789" t="s">
        <v>2989</v>
      </c>
      <c r="D107" s="2789" t="s">
        <v>2991</v>
      </c>
      <c r="E107" s="537"/>
      <c r="F107" s="567"/>
      <c r="G107" s="567"/>
      <c r="H107" s="567"/>
      <c r="I107" s="567"/>
      <c r="J107" s="567"/>
      <c r="K107" s="568"/>
      <c r="L107" s="569"/>
      <c r="M107" s="570"/>
      <c r="N107" s="1267"/>
      <c r="O107" s="1267"/>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16"/>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16"/>
      <c r="Q111" s="485"/>
    </row>
    <row r="112" spans="1:17" s="452" customFormat="1" ht="15" thickTop="1">
      <c r="A112" s="577"/>
      <c r="B112" s="521" t="s">
        <v>2414</v>
      </c>
      <c r="C112" s="2789" t="s">
        <v>2993</v>
      </c>
      <c r="D112" s="2789" t="s">
        <v>2994</v>
      </c>
      <c r="E112" s="2789" t="s">
        <v>2995</v>
      </c>
      <c r="F112" s="537"/>
      <c r="G112" s="537"/>
      <c r="H112" s="567"/>
      <c r="I112" s="567"/>
      <c r="J112" s="567"/>
      <c r="K112" s="568"/>
      <c r="L112" s="569"/>
      <c r="M112" s="570"/>
      <c r="N112" s="1269"/>
      <c r="O112" s="1269"/>
      <c r="P112" s="2417"/>
      <c r="Q112" s="543"/>
    </row>
    <row r="113" spans="1:17" s="452" customFormat="1" ht="15.75" thickBot="1">
      <c r="A113" s="536"/>
      <c r="B113" s="526"/>
      <c r="C113" s="527">
        <v>100</v>
      </c>
      <c r="D113" s="527">
        <f>C113-$K37</f>
        <v>98</v>
      </c>
      <c r="E113" s="527">
        <f t="shared" ref="E113:M113" si="26">D113-$K37</f>
        <v>96</v>
      </c>
      <c r="F113" s="527">
        <f t="shared" si="26"/>
        <v>94</v>
      </c>
      <c r="G113" s="527">
        <f t="shared" si="26"/>
        <v>92</v>
      </c>
      <c r="H113" s="527">
        <f t="shared" si="26"/>
        <v>90</v>
      </c>
      <c r="I113" s="527">
        <f t="shared" si="26"/>
        <v>88</v>
      </c>
      <c r="J113" s="527">
        <f t="shared" si="26"/>
        <v>86</v>
      </c>
      <c r="K113" s="527">
        <f t="shared" si="26"/>
        <v>84</v>
      </c>
      <c r="L113" s="527">
        <f t="shared" si="26"/>
        <v>82</v>
      </c>
      <c r="M113" s="527">
        <f t="shared" si="26"/>
        <v>80</v>
      </c>
      <c r="N113" s="1269"/>
      <c r="O113" s="1269"/>
      <c r="P113" s="2417"/>
      <c r="Q113" s="543"/>
    </row>
    <row r="114" spans="1:17" ht="15" thickTop="1">
      <c r="A114" s="583"/>
      <c r="B114" s="521" t="s">
        <v>2462</v>
      </c>
      <c r="C114" s="2789" t="s">
        <v>3017</v>
      </c>
      <c r="D114" s="2789" t="s">
        <v>3000</v>
      </c>
      <c r="E114" s="567"/>
      <c r="F114" s="567"/>
      <c r="G114" s="567"/>
      <c r="H114" s="567"/>
      <c r="I114" s="567"/>
      <c r="J114" s="567"/>
      <c r="K114" s="568"/>
      <c r="L114" s="569"/>
      <c r="M114" s="570"/>
      <c r="N114" s="1267"/>
      <c r="O114" s="1267"/>
      <c r="P114" s="2416"/>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8">
        <f t="shared" si="27"/>
        <v>70</v>
      </c>
      <c r="N115" s="1268"/>
      <c r="O115" s="1268"/>
      <c r="P115" s="2416"/>
      <c r="Q115" s="485"/>
    </row>
    <row r="116" spans="1:17" ht="15" thickTop="1">
      <c r="A116" s="583"/>
      <c r="B116" s="521" t="s">
        <v>2463</v>
      </c>
      <c r="C116" s="2789" t="s">
        <v>2996</v>
      </c>
      <c r="D116" s="2789" t="s">
        <v>2998</v>
      </c>
      <c r="E116" s="537"/>
      <c r="F116" s="537"/>
      <c r="G116" s="537"/>
      <c r="H116" s="567"/>
      <c r="I116" s="567"/>
      <c r="J116" s="567"/>
      <c r="K116" s="568"/>
      <c r="L116" s="569"/>
      <c r="M116" s="570"/>
      <c r="N116" s="1267"/>
      <c r="O116" s="1267"/>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6"/>
      <c r="Q117" s="485"/>
    </row>
    <row r="118" spans="1:17" ht="15" thickTop="1">
      <c r="A118" s="583"/>
      <c r="B118" s="521" t="s">
        <v>2464</v>
      </c>
      <c r="C118" s="611"/>
      <c r="D118" s="611"/>
      <c r="E118" s="611"/>
      <c r="F118" s="611"/>
      <c r="G118" s="611"/>
      <c r="H118" s="538"/>
      <c r="I118" s="538"/>
      <c r="J118" s="538"/>
      <c r="K118" s="538"/>
      <c r="L118" s="539"/>
      <c r="M118" s="540"/>
      <c r="N118" s="1267"/>
      <c r="O118" s="1267"/>
      <c r="P118" s="2416"/>
      <c r="Q118" s="485"/>
    </row>
    <row r="119" spans="1:17" ht="15.75" thickBot="1">
      <c r="A119" s="516"/>
      <c r="B119" s="526"/>
      <c r="C119" s="544"/>
      <c r="D119" s="518"/>
      <c r="E119" s="518"/>
      <c r="F119" s="518"/>
      <c r="G119" s="518"/>
      <c r="H119" s="518"/>
      <c r="I119" s="518"/>
      <c r="J119" s="518"/>
      <c r="K119" s="518"/>
      <c r="L119" s="518"/>
      <c r="M119" s="519"/>
      <c r="N119" s="1268"/>
      <c r="O119" s="1268"/>
      <c r="P119" s="2416"/>
      <c r="Q119" s="485"/>
    </row>
    <row r="120" spans="1:17" s="452" customFormat="1" ht="15" thickTop="1">
      <c r="A120" s="577"/>
      <c r="B120" s="521" t="s">
        <v>2465</v>
      </c>
      <c r="C120" s="2798" t="s">
        <v>3002</v>
      </c>
      <c r="D120" s="2798" t="s">
        <v>3004</v>
      </c>
      <c r="E120" s="2798" t="s">
        <v>3005</v>
      </c>
      <c r="F120" s="567"/>
      <c r="G120" s="538"/>
      <c r="H120" s="538"/>
      <c r="I120" s="538"/>
      <c r="J120" s="538"/>
      <c r="K120" s="538"/>
      <c r="L120" s="539"/>
      <c r="M120" s="540"/>
      <c r="N120" s="1269"/>
      <c r="O120" s="1269"/>
      <c r="P120" s="2417"/>
      <c r="Q120" s="543"/>
    </row>
    <row r="121" spans="1:17" s="452" customFormat="1" ht="15.75" thickBot="1">
      <c r="A121" s="536"/>
      <c r="B121" s="517"/>
      <c r="C121" s="566">
        <v>100</v>
      </c>
      <c r="D121" s="527">
        <f>C121-$K41</f>
        <v>95</v>
      </c>
      <c r="E121" s="527">
        <f t="shared" ref="E121:M121" si="28">D121-$K41</f>
        <v>90</v>
      </c>
      <c r="F121" s="527">
        <f t="shared" si="28"/>
        <v>85</v>
      </c>
      <c r="G121" s="527">
        <f t="shared" si="28"/>
        <v>80</v>
      </c>
      <c r="H121" s="527">
        <f t="shared" si="28"/>
        <v>75</v>
      </c>
      <c r="I121" s="527">
        <f t="shared" si="28"/>
        <v>70</v>
      </c>
      <c r="J121" s="527">
        <f t="shared" si="28"/>
        <v>65</v>
      </c>
      <c r="K121" s="527">
        <f t="shared" si="28"/>
        <v>60</v>
      </c>
      <c r="L121" s="527">
        <f t="shared" si="28"/>
        <v>55</v>
      </c>
      <c r="M121" s="528">
        <f t="shared" si="28"/>
        <v>50</v>
      </c>
      <c r="N121" s="1269"/>
      <c r="O121" s="1269"/>
      <c r="P121" s="2417"/>
      <c r="Q121" s="543"/>
    </row>
    <row r="122" spans="1:17" ht="15" thickTop="1">
      <c r="A122" s="583"/>
      <c r="B122" s="521" t="s">
        <v>2416</v>
      </c>
      <c r="C122" s="2789" t="s">
        <v>3006</v>
      </c>
      <c r="D122" s="2789" t="s">
        <v>2989</v>
      </c>
      <c r="E122" s="2789" t="s">
        <v>3007</v>
      </c>
      <c r="F122" s="2799" t="s">
        <v>3012</v>
      </c>
      <c r="G122" s="567"/>
      <c r="H122" s="567"/>
      <c r="I122" s="567"/>
      <c r="J122" s="567"/>
      <c r="K122" s="568"/>
      <c r="L122" s="569"/>
      <c r="M122" s="570"/>
      <c r="N122" s="1267"/>
      <c r="O122" s="1267"/>
      <c r="P122" s="241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8"/>
      <c r="O123" s="1268"/>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7"/>
      <c r="O124" s="1267"/>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6"/>
      <c r="Q125" s="485"/>
    </row>
    <row r="126" spans="1:17" s="452" customFormat="1" ht="15" thickTop="1">
      <c r="A126" s="577"/>
      <c r="B126" s="521" t="str">
        <f>B44</f>
        <v>可注册</v>
      </c>
      <c r="C126" s="2789" t="s">
        <v>3008</v>
      </c>
      <c r="D126" s="2789" t="s">
        <v>3009</v>
      </c>
      <c r="E126" s="537"/>
      <c r="F126" s="537"/>
      <c r="G126" s="537"/>
      <c r="H126" s="538"/>
      <c r="I126" s="538"/>
      <c r="J126" s="538"/>
      <c r="K126" s="538"/>
      <c r="L126" s="539"/>
      <c r="M126" s="540"/>
      <c r="N126" s="1269"/>
      <c r="O126" s="1269"/>
      <c r="P126" s="2417"/>
      <c r="Q126" s="543"/>
    </row>
    <row r="127" spans="1:17" s="452" customFormat="1" ht="15.75" thickBot="1">
      <c r="A127" s="536"/>
      <c r="B127" s="526"/>
      <c r="C127" s="544">
        <v>100</v>
      </c>
      <c r="D127" s="518">
        <v>90</v>
      </c>
      <c r="E127" s="518"/>
      <c r="F127" s="518"/>
      <c r="G127" s="544"/>
      <c r="H127" s="546"/>
      <c r="I127" s="546"/>
      <c r="J127" s="546"/>
      <c r="K127" s="546"/>
      <c r="L127" s="546"/>
      <c r="M127" s="547"/>
      <c r="N127" s="1269"/>
      <c r="O127" s="1269"/>
      <c r="P127" s="2417"/>
      <c r="Q127" s="543"/>
    </row>
    <row r="128" spans="1:17" ht="15" thickTop="1">
      <c r="A128" s="583"/>
      <c r="B128" s="521" t="str">
        <f>B45</f>
        <v>可做餐饮</v>
      </c>
      <c r="C128" s="2789" t="s">
        <v>3008</v>
      </c>
      <c r="D128" s="2789" t="s">
        <v>3009</v>
      </c>
      <c r="E128" s="537"/>
      <c r="F128" s="537"/>
      <c r="G128" s="567"/>
      <c r="H128" s="567"/>
      <c r="I128" s="567"/>
      <c r="J128" s="567"/>
      <c r="K128" s="568"/>
      <c r="L128" s="569"/>
      <c r="M128" s="570"/>
      <c r="N128" s="1267"/>
      <c r="O128" s="1267"/>
      <c r="P128" s="2416"/>
      <c r="Q128" s="485"/>
    </row>
    <row r="129" spans="1:17" ht="15.75" thickBot="1">
      <c r="A129" s="516"/>
      <c r="B129" s="526"/>
      <c r="C129" s="544">
        <v>100</v>
      </c>
      <c r="D129" s="518">
        <v>98</v>
      </c>
      <c r="E129" s="518"/>
      <c r="F129" s="518"/>
      <c r="G129" s="518"/>
      <c r="H129" s="518"/>
      <c r="I129" s="518"/>
      <c r="J129" s="518"/>
      <c r="K129" s="518"/>
      <c r="L129" s="518"/>
      <c r="M129" s="519"/>
      <c r="N129" s="1268"/>
      <c r="O129" s="1268"/>
      <c r="P129" s="2416"/>
      <c r="Q129" s="485"/>
    </row>
    <row r="130" spans="1:17" ht="15" thickTop="1">
      <c r="A130" s="583"/>
      <c r="B130" s="529">
        <f>B46</f>
        <v>111</v>
      </c>
      <c r="C130" s="537"/>
      <c r="D130" s="537"/>
      <c r="E130" s="537"/>
      <c r="F130" s="537"/>
      <c r="G130" s="571"/>
      <c r="H130" s="571"/>
      <c r="I130" s="571"/>
      <c r="J130" s="571"/>
      <c r="K130" s="504"/>
      <c r="L130" s="505"/>
      <c r="M130" s="574"/>
      <c r="N130" s="1267"/>
      <c r="O130" s="1267"/>
      <c r="P130" s="2416"/>
      <c r="Q130" s="485"/>
    </row>
    <row r="131" spans="1:17" ht="15.75" thickBot="1">
      <c r="A131" s="2422"/>
      <c r="B131" s="553"/>
      <c r="C131" s="554"/>
      <c r="D131" s="554"/>
      <c r="E131" s="554"/>
      <c r="F131" s="554"/>
      <c r="G131" s="575"/>
      <c r="H131" s="575"/>
      <c r="I131" s="575"/>
      <c r="J131" s="575"/>
      <c r="K131" s="575"/>
      <c r="L131" s="575"/>
      <c r="M131" s="576"/>
      <c r="N131" s="1268"/>
      <c r="O131" s="1268"/>
      <c r="P131" s="241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2325</v>
      </c>
      <c r="B1" s="1735" t="s">
        <v>2466</v>
      </c>
      <c r="C1" s="1727"/>
      <c r="D1" s="1740"/>
      <c r="E1" s="2372"/>
      <c r="F1" s="1741" t="s">
        <v>2327</v>
      </c>
      <c r="G1" s="1740"/>
      <c r="H1" s="1740"/>
      <c r="I1" s="1740"/>
      <c r="J1" s="1740"/>
      <c r="K1" s="1742"/>
      <c r="L1" s="1734"/>
      <c r="M1" s="1735"/>
      <c r="N1" s="1735"/>
      <c r="O1" s="1735"/>
      <c r="P1" s="1735"/>
      <c r="Q1" s="1735"/>
      <c r="R1" s="1735"/>
      <c r="S1" s="1735"/>
      <c r="T1" s="1735"/>
      <c r="U1" s="1735"/>
      <c r="V1" s="1735"/>
      <c r="W1" s="1735"/>
      <c r="X1" s="1735"/>
      <c r="Y1" s="1735"/>
      <c r="Z1" s="1735"/>
      <c r="AA1" s="1735"/>
      <c r="AB1" s="2453"/>
      <c r="AC1" s="1737"/>
    </row>
    <row r="2" spans="1:29" s="377" customFormat="1" ht="28.5" customHeight="1" thickTop="1">
      <c r="A2" s="1728" t="s">
        <v>1994</v>
      </c>
      <c r="B2" s="1726" t="e">
        <f ca="1">IF(D2="——",IF(C2="元",ROUND(C50*D3,0),ROUND(C50*D3/10000,0)),IF(C2="元",ROUND(C50*D3,0),ROUND(C50*D3/10000,0))-E2)</f>
        <v>#DIV/0!</v>
      </c>
      <c r="C2" s="163" t="str">
        <f>'数据-取费表'!B3</f>
        <v>元</v>
      </c>
      <c r="D2" s="2374"/>
      <c r="E2" s="1832" t="e">
        <f ca="1">SUMIF(INDIRECT("'"&amp;G2&amp;"'"&amp;"!A:A"),"承租人权益价值",INDIRECT("'"&amp;G2&amp;"'"&amp;"!c:c"))</f>
        <v>#REF!</v>
      </c>
      <c r="F2" s="2375" t="str">
        <f>C2</f>
        <v>元</v>
      </c>
      <c r="G2" s="2376"/>
      <c r="H2" s="981"/>
      <c r="I2" s="981"/>
      <c r="J2" s="981"/>
      <c r="K2" s="981"/>
      <c r="L2" s="1241"/>
      <c r="M2" s="1242"/>
      <c r="N2" s="1242"/>
      <c r="O2" s="1242"/>
      <c r="P2" s="747"/>
      <c r="Q2" s="747"/>
      <c r="R2" s="747"/>
      <c r="S2" s="747"/>
      <c r="T2" s="747"/>
      <c r="U2" s="747"/>
      <c r="V2" s="747"/>
      <c r="W2" s="747"/>
      <c r="X2" s="747"/>
      <c r="Y2" s="747"/>
      <c r="Z2" s="747"/>
      <c r="AA2" s="747"/>
      <c r="AB2" s="2454"/>
      <c r="AC2" s="761"/>
    </row>
    <row r="3" spans="1:29" s="377" customFormat="1" ht="28.5" customHeight="1" thickBot="1">
      <c r="A3" s="167" t="s">
        <v>1995</v>
      </c>
      <c r="B3" s="593" t="e">
        <f ca="1">ROUND(IF(D2="——",C50,IF(C2="万元",B2*10000/D3,B2/D3)),0)</f>
        <v>#DIV/0!</v>
      </c>
      <c r="C3" s="379" t="s">
        <v>2328</v>
      </c>
      <c r="D3" s="378">
        <f>IF(C1="仅计算典型户型",'数据-取费表'!E5,'数据-取费表'!B5)</f>
        <v>110</v>
      </c>
      <c r="E3" s="2446"/>
      <c r="F3" s="982"/>
      <c r="G3" s="981"/>
      <c r="H3" s="981"/>
      <c r="I3" s="981"/>
      <c r="J3" s="981"/>
      <c r="K3" s="983"/>
      <c r="L3" s="1241"/>
      <c r="M3" s="1242"/>
      <c r="N3" s="1242"/>
      <c r="O3" s="1242"/>
      <c r="P3" s="737"/>
      <c r="Q3" s="737"/>
      <c r="R3" s="737"/>
      <c r="S3" s="737"/>
      <c r="T3" s="737"/>
      <c r="U3" s="737"/>
      <c r="V3" s="737"/>
      <c r="W3" s="737"/>
      <c r="X3" s="747"/>
      <c r="Y3" s="737"/>
      <c r="Z3" s="737"/>
      <c r="AA3" s="737"/>
      <c r="AB3" s="2455"/>
      <c r="AC3" s="761"/>
    </row>
    <row r="4" spans="1:29" ht="15">
      <c r="A4" s="380" t="s">
        <v>2329</v>
      </c>
      <c r="B4" s="381"/>
      <c r="C4" s="3108" t="s">
        <v>2330</v>
      </c>
      <c r="D4" s="3109"/>
      <c r="E4" s="3110" t="s">
        <v>2331</v>
      </c>
      <c r="F4" s="3111"/>
      <c r="G4" s="3108" t="s">
        <v>2332</v>
      </c>
      <c r="H4" s="3109"/>
      <c r="I4" s="3108" t="s">
        <v>2333</v>
      </c>
      <c r="J4" s="3109"/>
      <c r="K4" s="594" t="s">
        <v>2334</v>
      </c>
      <c r="L4" s="1243"/>
      <c r="M4" s="1244"/>
      <c r="N4" s="1244"/>
      <c r="O4" s="1244"/>
      <c r="P4" s="3130" t="s">
        <v>2335</v>
      </c>
      <c r="Q4" s="3113"/>
      <c r="R4" s="3097" t="s">
        <v>2331</v>
      </c>
      <c r="S4" s="3098"/>
      <c r="T4" s="3097" t="s">
        <v>2332</v>
      </c>
      <c r="U4" s="3098"/>
      <c r="V4" s="3118" t="s">
        <v>2333</v>
      </c>
      <c r="W4" s="3118"/>
      <c r="X4" s="1890"/>
      <c r="Y4" s="3097" t="s">
        <v>2335</v>
      </c>
      <c r="Z4" s="3098"/>
      <c r="AA4" s="3105" t="s">
        <v>2331</v>
      </c>
      <c r="AB4" s="3105" t="s">
        <v>2332</v>
      </c>
      <c r="AC4" s="3105" t="s">
        <v>2333</v>
      </c>
    </row>
    <row r="5" spans="1:29" ht="15">
      <c r="A5" s="383"/>
      <c r="B5" s="384"/>
      <c r="C5" s="3093" t="s">
        <v>2336</v>
      </c>
      <c r="D5" s="3094"/>
      <c r="E5" s="3119" t="s">
        <v>2337</v>
      </c>
      <c r="F5" s="3120"/>
      <c r="G5" s="3093" t="s">
        <v>2338</v>
      </c>
      <c r="H5" s="3094"/>
      <c r="I5" s="3093" t="s">
        <v>2339</v>
      </c>
      <c r="J5" s="3094"/>
      <c r="K5" s="594"/>
      <c r="L5" s="1243"/>
      <c r="M5" s="1244"/>
      <c r="N5" s="1244"/>
      <c r="O5" s="1244"/>
      <c r="P5" s="3131"/>
      <c r="Q5" s="3115"/>
      <c r="R5" s="3099"/>
      <c r="S5" s="3100"/>
      <c r="T5" s="3099"/>
      <c r="U5" s="3100"/>
      <c r="V5" s="3118"/>
      <c r="W5" s="3118"/>
      <c r="X5" s="1890"/>
      <c r="Y5" s="3099"/>
      <c r="Z5" s="3100"/>
      <c r="AA5" s="3106"/>
      <c r="AB5" s="3106"/>
      <c r="AC5" s="3106"/>
    </row>
    <row r="6" spans="1:29" ht="15.75" thickBot="1">
      <c r="A6" s="385"/>
      <c r="B6" s="386"/>
      <c r="C6" s="3091" t="s">
        <v>2340</v>
      </c>
      <c r="D6" s="3092"/>
      <c r="E6" s="3121" t="s">
        <v>2340</v>
      </c>
      <c r="F6" s="3122"/>
      <c r="G6" s="3091" t="s">
        <v>2340</v>
      </c>
      <c r="H6" s="3092"/>
      <c r="I6" s="3091" t="s">
        <v>2340</v>
      </c>
      <c r="J6" s="3092"/>
      <c r="K6" s="594" t="s">
        <v>2341</v>
      </c>
      <c r="L6" s="1243"/>
      <c r="M6" s="1244"/>
      <c r="N6" s="1244"/>
      <c r="O6" s="1244"/>
      <c r="P6" s="3132"/>
      <c r="Q6" s="3117"/>
      <c r="R6" s="3099"/>
      <c r="S6" s="3100"/>
      <c r="T6" s="3101"/>
      <c r="U6" s="3102"/>
      <c r="V6" s="3118"/>
      <c r="W6" s="3118"/>
      <c r="X6" s="1890"/>
      <c r="Y6" s="3101"/>
      <c r="Z6" s="3102"/>
      <c r="AA6" s="3107"/>
      <c r="AB6" s="3107"/>
      <c r="AC6" s="3107"/>
    </row>
    <row r="7" spans="1:29" s="35" customFormat="1" ht="15.75" thickBot="1">
      <c r="A7" s="387" t="s">
        <v>2342</v>
      </c>
      <c r="B7" s="388"/>
      <c r="C7" s="389">
        <f>'数据-取费表'!B2</f>
        <v>43077</v>
      </c>
      <c r="D7" s="390">
        <v>100</v>
      </c>
      <c r="E7" s="391"/>
      <c r="F7" s="392">
        <f>SUMIF(59:59,YEAR(E7)&amp;"-"&amp;MONTH(E7),60:60)</f>
        <v>0</v>
      </c>
      <c r="G7" s="2456"/>
      <c r="H7" s="390">
        <f>SUMIF(59:59,YEAR(G7)&amp;"-"&amp;MONTH(G7),60:60)</f>
        <v>0</v>
      </c>
      <c r="I7" s="2456"/>
      <c r="J7" s="390">
        <f>SUMIF(59:59,YEAR(I7)&amp;"-"&amp;MONTH(I7),60:60)</f>
        <v>0</v>
      </c>
      <c r="K7" s="595"/>
      <c r="L7" s="1245"/>
      <c r="M7" s="1246"/>
      <c r="N7" s="1246"/>
      <c r="O7" s="1246"/>
      <c r="P7" s="3103" t="s">
        <v>2343</v>
      </c>
      <c r="Q7" s="3103"/>
      <c r="R7" s="749" t="s">
        <v>25</v>
      </c>
      <c r="S7" s="750">
        <f t="shared" ref="S7:S15" si="0">F7</f>
        <v>0</v>
      </c>
      <c r="T7" s="749" t="s">
        <v>25</v>
      </c>
      <c r="U7" s="750">
        <f t="shared" ref="U7:U15" si="1">H7</f>
        <v>0</v>
      </c>
      <c r="V7" s="749" t="s">
        <v>25</v>
      </c>
      <c r="W7" s="750">
        <f t="shared" ref="W7:W15" si="2">J7</f>
        <v>0</v>
      </c>
      <c r="X7" s="751"/>
      <c r="Y7" s="3095" t="s">
        <v>2343</v>
      </c>
      <c r="Z7" s="3096"/>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103" t="s">
        <v>2346</v>
      </c>
      <c r="Q8" s="3096"/>
      <c r="R8" s="749" t="s">
        <v>25</v>
      </c>
      <c r="S8" s="750">
        <f t="shared" si="0"/>
        <v>0</v>
      </c>
      <c r="T8" s="749" t="s">
        <v>25</v>
      </c>
      <c r="U8" s="750">
        <f t="shared" si="1"/>
        <v>0</v>
      </c>
      <c r="V8" s="749" t="s">
        <v>25</v>
      </c>
      <c r="W8" s="750">
        <f t="shared" si="2"/>
        <v>0</v>
      </c>
      <c r="X8" s="751"/>
      <c r="Y8" s="3095" t="s">
        <v>2346</v>
      </c>
      <c r="Z8" s="3096"/>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9" t="s">
        <v>2349</v>
      </c>
      <c r="Q9" s="1877" t="str">
        <f t="shared" ref="Q9:Q15" si="6">B9</f>
        <v>用途</v>
      </c>
      <c r="R9" s="749" t="s">
        <v>25</v>
      </c>
      <c r="S9" s="750">
        <f t="shared" si="0"/>
        <v>100</v>
      </c>
      <c r="T9" s="749" t="s">
        <v>25</v>
      </c>
      <c r="U9" s="750">
        <f t="shared" si="1"/>
        <v>100</v>
      </c>
      <c r="V9" s="749" t="s">
        <v>25</v>
      </c>
      <c r="W9" s="750">
        <f t="shared" si="2"/>
        <v>100</v>
      </c>
      <c r="X9" s="751"/>
      <c r="Y9" s="290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9"/>
      <c r="Q10" s="1877" t="str">
        <f t="shared" si="6"/>
        <v>土地使用年限（年）</v>
      </c>
      <c r="R10" s="749" t="s">
        <v>25</v>
      </c>
      <c r="S10" s="750">
        <f t="shared" si="0"/>
        <v>100</v>
      </c>
      <c r="T10" s="749" t="s">
        <v>25</v>
      </c>
      <c r="U10" s="750">
        <f t="shared" si="1"/>
        <v>100</v>
      </c>
      <c r="V10" s="749" t="s">
        <v>25</v>
      </c>
      <c r="W10" s="750">
        <f t="shared" si="2"/>
        <v>100</v>
      </c>
      <c r="X10" s="751"/>
      <c r="Y10" s="2907"/>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9"/>
      <c r="Q11" s="1877" t="str">
        <f t="shared" si="6"/>
        <v>容积率</v>
      </c>
      <c r="R11" s="749" t="s">
        <v>25</v>
      </c>
      <c r="S11" s="750" t="e">
        <f t="shared" si="0"/>
        <v>#N/A</v>
      </c>
      <c r="T11" s="749" t="s">
        <v>25</v>
      </c>
      <c r="U11" s="750" t="e">
        <f t="shared" si="1"/>
        <v>#N/A</v>
      </c>
      <c r="V11" s="749" t="s">
        <v>25</v>
      </c>
      <c r="W11" s="750" t="e">
        <f t="shared" si="2"/>
        <v>#N/A</v>
      </c>
      <c r="X11" s="751"/>
      <c r="Y11" s="2907"/>
      <c r="Z11" s="23" t="str">
        <f t="shared" si="7"/>
        <v>容积率</v>
      </c>
      <c r="AA11" s="752" t="e">
        <f t="shared" si="3"/>
        <v>#N/A</v>
      </c>
      <c r="AB11" s="752" t="e">
        <f t="shared" si="4"/>
        <v>#N/A</v>
      </c>
      <c r="AC11" s="752" t="e">
        <f t="shared" si="5"/>
        <v>#N/A</v>
      </c>
    </row>
    <row r="12" spans="1:29" s="35" customFormat="1" ht="15">
      <c r="A12" s="411"/>
      <c r="B12" s="238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9"/>
      <c r="Q12" s="1877">
        <f t="shared" si="6"/>
        <v>111</v>
      </c>
      <c r="R12" s="749" t="s">
        <v>25</v>
      </c>
      <c r="S12" s="750">
        <f t="shared" si="0"/>
        <v>100</v>
      </c>
      <c r="T12" s="749" t="s">
        <v>25</v>
      </c>
      <c r="U12" s="750">
        <f t="shared" si="1"/>
        <v>100</v>
      </c>
      <c r="V12" s="749" t="s">
        <v>25</v>
      </c>
      <c r="W12" s="750">
        <f t="shared" si="2"/>
        <v>100</v>
      </c>
      <c r="X12" s="751"/>
      <c r="Y12" s="2907"/>
      <c r="Z12" s="23">
        <f t="shared" si="7"/>
        <v>111</v>
      </c>
      <c r="AA12" s="752">
        <f>D12/F12</f>
        <v>1</v>
      </c>
      <c r="AB12" s="752">
        <f>D12/H12</f>
        <v>1</v>
      </c>
      <c r="AC12" s="752">
        <f>D12/J12</f>
        <v>1</v>
      </c>
    </row>
    <row r="13" spans="1:29" ht="15">
      <c r="A13" s="408"/>
      <c r="B13" s="238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9"/>
      <c r="Q13" s="1877">
        <f t="shared" si="6"/>
        <v>111</v>
      </c>
      <c r="R13" s="749" t="s">
        <v>25</v>
      </c>
      <c r="S13" s="750">
        <f t="shared" si="0"/>
        <v>100</v>
      </c>
      <c r="T13" s="749" t="s">
        <v>25</v>
      </c>
      <c r="U13" s="750">
        <f t="shared" si="1"/>
        <v>100</v>
      </c>
      <c r="V13" s="749" t="s">
        <v>25</v>
      </c>
      <c r="W13" s="750">
        <f t="shared" si="2"/>
        <v>100</v>
      </c>
      <c r="X13" s="751"/>
      <c r="Y13" s="2907"/>
      <c r="Z13" s="23">
        <f t="shared" si="7"/>
        <v>111</v>
      </c>
      <c r="AA13" s="752">
        <f t="shared" si="3"/>
        <v>1</v>
      </c>
      <c r="AB13" s="752">
        <f t="shared" si="4"/>
        <v>1</v>
      </c>
      <c r="AC13" s="752">
        <f t="shared" si="5"/>
        <v>1</v>
      </c>
    </row>
    <row r="14" spans="1:29" ht="15.75" thickBot="1">
      <c r="A14" s="416"/>
      <c r="B14" s="2391">
        <v>111</v>
      </c>
      <c r="C14" s="239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9"/>
      <c r="Q14" s="1877">
        <f t="shared" si="6"/>
        <v>111</v>
      </c>
      <c r="R14" s="749" t="s">
        <v>25</v>
      </c>
      <c r="S14" s="750">
        <f t="shared" si="0"/>
        <v>100</v>
      </c>
      <c r="T14" s="749" t="s">
        <v>25</v>
      </c>
      <c r="U14" s="750">
        <f t="shared" si="1"/>
        <v>100</v>
      </c>
      <c r="V14" s="749" t="s">
        <v>25</v>
      </c>
      <c r="W14" s="750">
        <f t="shared" si="2"/>
        <v>100</v>
      </c>
      <c r="X14" s="751"/>
      <c r="Y14" s="2907"/>
      <c r="Z14" s="23">
        <f t="shared" si="7"/>
        <v>111</v>
      </c>
      <c r="AA14" s="752">
        <f t="shared" si="3"/>
        <v>1</v>
      </c>
      <c r="AB14" s="752">
        <f t="shared" si="4"/>
        <v>1</v>
      </c>
      <c r="AC14" s="752">
        <f t="shared" si="5"/>
        <v>1</v>
      </c>
    </row>
    <row r="15" spans="1:29" ht="71.25">
      <c r="A15" s="419" t="s">
        <v>2353</v>
      </c>
      <c r="B15" s="613" t="s">
        <v>2467</v>
      </c>
      <c r="C15" s="2457" t="str">
        <f>估价对象房地状况!C5</f>
        <v>隶属于蓟门桥商圈，周边2公里内写字楼大于10座，办公集聚程度较好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113" t="s">
        <v>2354</v>
      </c>
      <c r="Q15" s="1889" t="str">
        <f t="shared" si="6"/>
        <v>办公集聚程度</v>
      </c>
      <c r="R15" s="753" t="s">
        <v>25</v>
      </c>
      <c r="S15" s="754">
        <f t="shared" si="0"/>
        <v>100</v>
      </c>
      <c r="T15" s="753" t="s">
        <v>25</v>
      </c>
      <c r="U15" s="754">
        <f t="shared" si="1"/>
        <v>100</v>
      </c>
      <c r="V15" s="753" t="s">
        <v>25</v>
      </c>
      <c r="W15" s="754">
        <f t="shared" si="2"/>
        <v>100</v>
      </c>
      <c r="X15" s="1890"/>
      <c r="Y15" s="3084" t="s">
        <v>2354</v>
      </c>
      <c r="Z15" s="1892" t="str">
        <f t="shared" si="7"/>
        <v>办公集聚程度</v>
      </c>
      <c r="AA15" s="1893">
        <f t="shared" si="3"/>
        <v>1</v>
      </c>
      <c r="AB15" s="1893">
        <f t="shared" si="4"/>
        <v>1</v>
      </c>
      <c r="AC15" s="1893">
        <f t="shared" si="5"/>
        <v>1</v>
      </c>
    </row>
    <row r="16" spans="1:29" ht="15">
      <c r="A16" s="408"/>
      <c r="B16" s="614"/>
      <c r="C16" s="1472"/>
      <c r="D16" s="427"/>
      <c r="E16" s="426"/>
      <c r="F16" s="427"/>
      <c r="G16" s="1472"/>
      <c r="H16" s="430"/>
      <c r="I16" s="426"/>
      <c r="J16" s="427"/>
      <c r="K16" s="599"/>
      <c r="L16" s="1253"/>
      <c r="M16" s="1244"/>
      <c r="N16" s="1244"/>
      <c r="O16" s="1244"/>
      <c r="P16" s="3115"/>
      <c r="Q16" s="1889"/>
      <c r="R16" s="753"/>
      <c r="S16" s="754"/>
      <c r="T16" s="753"/>
      <c r="U16" s="754"/>
      <c r="V16" s="753"/>
      <c r="W16" s="754"/>
      <c r="X16" s="1890"/>
      <c r="Y16" s="3085"/>
      <c r="Z16" s="1892"/>
      <c r="AA16" s="1893">
        <v>1</v>
      </c>
      <c r="AB16" s="1893">
        <v>1</v>
      </c>
      <c r="AC16" s="1893">
        <v>1</v>
      </c>
    </row>
    <row r="17" spans="1:29" ht="114">
      <c r="A17" s="408"/>
      <c r="B17" s="615" t="s">
        <v>1737</v>
      </c>
      <c r="C17" s="2458" t="str">
        <f>估价对象房地状况!C6</f>
        <v>周边2公里内最高级别道路高速公路—G6，周边遍布十余条公交站点及地铁10号线（牡丹园站）等，综合评价交通便捷度较好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115"/>
      <c r="Q17" s="1889" t="str">
        <f>B17</f>
        <v>交通便捷度</v>
      </c>
      <c r="R17" s="753" t="s">
        <v>25</v>
      </c>
      <c r="S17" s="754">
        <f>F17</f>
        <v>100</v>
      </c>
      <c r="T17" s="753" t="s">
        <v>25</v>
      </c>
      <c r="U17" s="754">
        <f>H17</f>
        <v>100</v>
      </c>
      <c r="V17" s="753" t="s">
        <v>25</v>
      </c>
      <c r="W17" s="754">
        <f>J17</f>
        <v>100</v>
      </c>
      <c r="X17" s="1890"/>
      <c r="Y17" s="3085"/>
      <c r="Z17" s="1892" t="str">
        <f>Q17</f>
        <v>交通便捷度</v>
      </c>
      <c r="AA17" s="1893">
        <f t="shared" si="3"/>
        <v>1</v>
      </c>
      <c r="AB17" s="1893">
        <f t="shared" si="4"/>
        <v>1</v>
      </c>
      <c r="AC17" s="1893">
        <f t="shared" si="5"/>
        <v>1</v>
      </c>
    </row>
    <row r="18" spans="1:29" ht="15">
      <c r="A18" s="408"/>
      <c r="B18" s="616"/>
      <c r="C18" s="2459"/>
      <c r="D18" s="430"/>
      <c r="E18" s="2397"/>
      <c r="F18" s="430"/>
      <c r="G18" s="1468"/>
      <c r="H18" s="427"/>
      <c r="I18" s="1468"/>
      <c r="J18" s="427"/>
      <c r="K18" s="599"/>
      <c r="L18" s="1253"/>
      <c r="M18" s="1244"/>
      <c r="N18" s="1244"/>
      <c r="O18" s="1244"/>
      <c r="P18" s="3115"/>
      <c r="Q18" s="1889"/>
      <c r="R18" s="753"/>
      <c r="S18" s="754"/>
      <c r="T18" s="753"/>
      <c r="U18" s="754"/>
      <c r="V18" s="753"/>
      <c r="W18" s="754"/>
      <c r="X18" s="1890"/>
      <c r="Y18" s="3085"/>
      <c r="Z18" s="1892"/>
      <c r="AA18" s="1893">
        <v>1</v>
      </c>
      <c r="AB18" s="1893">
        <v>1</v>
      </c>
      <c r="AC18" s="1893">
        <v>1</v>
      </c>
    </row>
    <row r="19" spans="1:29" ht="85.5">
      <c r="A19" s="408"/>
      <c r="B19" s="615" t="s">
        <v>2468</v>
      </c>
      <c r="C19" s="2458" t="str">
        <f>估价对象房地状况!C7</f>
        <v>2公里内有餐饮、医院、超市、购物中心、学校等，估价对象所在区域公共配套设施较齐备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115"/>
      <c r="Q19" s="1889" t="str">
        <f>B19</f>
        <v>公共配套设施</v>
      </c>
      <c r="R19" s="753" t="s">
        <v>25</v>
      </c>
      <c r="S19" s="754">
        <f>F19</f>
        <v>100</v>
      </c>
      <c r="T19" s="753" t="s">
        <v>25</v>
      </c>
      <c r="U19" s="754">
        <f>H19</f>
        <v>100</v>
      </c>
      <c r="V19" s="753" t="s">
        <v>25</v>
      </c>
      <c r="W19" s="754">
        <f>J19</f>
        <v>100</v>
      </c>
      <c r="X19" s="1890"/>
      <c r="Y19" s="3085"/>
      <c r="Z19" s="1892" t="str">
        <f>Q19</f>
        <v>公共配套设施</v>
      </c>
      <c r="AA19" s="1893">
        <f t="shared" si="3"/>
        <v>1</v>
      </c>
      <c r="AB19" s="1893">
        <f t="shared" si="4"/>
        <v>1</v>
      </c>
      <c r="AC19" s="1893">
        <f t="shared" si="5"/>
        <v>1</v>
      </c>
    </row>
    <row r="20" spans="1:29" ht="15">
      <c r="A20" s="408"/>
      <c r="B20" s="616"/>
      <c r="C20" s="1472"/>
      <c r="D20" s="427"/>
      <c r="E20" s="2394"/>
      <c r="F20" s="427"/>
      <c r="G20" s="428"/>
      <c r="H20" s="427"/>
      <c r="I20" s="428"/>
      <c r="J20" s="427"/>
      <c r="K20" s="599"/>
      <c r="L20" s="1253"/>
      <c r="M20" s="1244"/>
      <c r="N20" s="1244"/>
      <c r="O20" s="1244"/>
      <c r="P20" s="3115"/>
      <c r="Q20" s="1889"/>
      <c r="R20" s="753"/>
      <c r="S20" s="754"/>
      <c r="T20" s="753"/>
      <c r="U20" s="754"/>
      <c r="V20" s="753"/>
      <c r="W20" s="754"/>
      <c r="X20" s="1890"/>
      <c r="Y20" s="3085"/>
      <c r="Z20" s="1892"/>
      <c r="AA20" s="1893">
        <v>1</v>
      </c>
      <c r="AB20" s="1893">
        <v>1</v>
      </c>
      <c r="AC20" s="1893">
        <v>1</v>
      </c>
    </row>
    <row r="21" spans="1:29" ht="15">
      <c r="A21" s="408"/>
      <c r="B21" s="617" t="s">
        <v>2469</v>
      </c>
      <c r="C21" s="2458"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115"/>
      <c r="Q21" s="1889" t="str">
        <f>B21</f>
        <v>基础设施水平</v>
      </c>
      <c r="R21" s="753" t="s">
        <v>25</v>
      </c>
      <c r="S21" s="754">
        <f>F21</f>
        <v>100</v>
      </c>
      <c r="T21" s="753" t="s">
        <v>25</v>
      </c>
      <c r="U21" s="754">
        <f>H21</f>
        <v>100</v>
      </c>
      <c r="V21" s="753" t="s">
        <v>25</v>
      </c>
      <c r="W21" s="754">
        <f>J21</f>
        <v>100</v>
      </c>
      <c r="X21" s="1890"/>
      <c r="Y21" s="3085"/>
      <c r="Z21" s="1892" t="str">
        <f>Q21</f>
        <v>基础设施水平</v>
      </c>
      <c r="AA21" s="1893">
        <f t="shared" ref="AA21" si="8">D21/F21</f>
        <v>1</v>
      </c>
      <c r="AB21" s="1893">
        <f t="shared" ref="AB21" si="9">D21/H21</f>
        <v>1</v>
      </c>
      <c r="AC21" s="1893">
        <f t="shared" ref="AC21" si="10">D21/J21</f>
        <v>1</v>
      </c>
    </row>
    <row r="22" spans="1:29" ht="15">
      <c r="A22" s="408"/>
      <c r="B22" s="617"/>
      <c r="C22" s="2459"/>
      <c r="D22" s="427"/>
      <c r="E22" s="426"/>
      <c r="F22" s="427"/>
      <c r="G22" s="1472"/>
      <c r="H22" s="427"/>
      <c r="I22" s="1472"/>
      <c r="J22" s="427"/>
      <c r="K22" s="1469"/>
      <c r="L22" s="1253"/>
      <c r="M22" s="1244"/>
      <c r="N22" s="1244"/>
      <c r="O22" s="1244"/>
      <c r="P22" s="3115"/>
      <c r="Q22" s="1889"/>
      <c r="R22" s="753"/>
      <c r="S22" s="754"/>
      <c r="T22" s="753"/>
      <c r="U22" s="754"/>
      <c r="V22" s="753"/>
      <c r="W22" s="754"/>
      <c r="X22" s="1890"/>
      <c r="Y22" s="3085"/>
      <c r="Z22" s="1892"/>
      <c r="AA22" s="1893">
        <v>1</v>
      </c>
      <c r="AB22" s="1893">
        <v>1</v>
      </c>
      <c r="AC22" s="1893">
        <v>1</v>
      </c>
    </row>
    <row r="23" spans="1:29" ht="71.25">
      <c r="A23" s="408"/>
      <c r="B23" s="615" t="s">
        <v>2470</v>
      </c>
      <c r="C23" s="2458" t="str">
        <f>估价对象房地状况!C9</f>
        <v>区域自然环境：元大都遗址公园；人文环境；综合评价环境状况一般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115"/>
      <c r="Q23" s="1889" t="str">
        <f>B23</f>
        <v>环境质量</v>
      </c>
      <c r="R23" s="753" t="s">
        <v>25</v>
      </c>
      <c r="S23" s="754">
        <f>F23</f>
        <v>100</v>
      </c>
      <c r="T23" s="753" t="s">
        <v>25</v>
      </c>
      <c r="U23" s="754">
        <f>H23</f>
        <v>100</v>
      </c>
      <c r="V23" s="753" t="s">
        <v>25</v>
      </c>
      <c r="W23" s="754">
        <f>J23</f>
        <v>100</v>
      </c>
      <c r="X23" s="1890"/>
      <c r="Y23" s="3085"/>
      <c r="Z23" s="1892" t="str">
        <f>Q23</f>
        <v>环境质量</v>
      </c>
      <c r="AA23" s="1893">
        <f t="shared" si="3"/>
        <v>1</v>
      </c>
      <c r="AB23" s="1893">
        <f t="shared" si="4"/>
        <v>1</v>
      </c>
      <c r="AC23" s="1893">
        <f t="shared" si="5"/>
        <v>1</v>
      </c>
    </row>
    <row r="24" spans="1:29" ht="15">
      <c r="A24" s="408"/>
      <c r="B24" s="617"/>
      <c r="C24" s="1472"/>
      <c r="D24" s="427"/>
      <c r="E24" s="2394"/>
      <c r="F24" s="427"/>
      <c r="G24" s="428"/>
      <c r="H24" s="427"/>
      <c r="I24" s="428"/>
      <c r="J24" s="427"/>
      <c r="K24" s="599"/>
      <c r="L24" s="1253"/>
      <c r="M24" s="1244"/>
      <c r="N24" s="1244"/>
      <c r="O24" s="1244"/>
      <c r="P24" s="3115"/>
      <c r="Q24" s="1889"/>
      <c r="R24" s="753"/>
      <c r="S24" s="754"/>
      <c r="T24" s="753"/>
      <c r="U24" s="754"/>
      <c r="V24" s="753"/>
      <c r="W24" s="754"/>
      <c r="X24" s="1890"/>
      <c r="Y24" s="3085"/>
      <c r="Z24" s="1892"/>
      <c r="AA24" s="1893">
        <v>1</v>
      </c>
      <c r="AB24" s="1893">
        <v>1</v>
      </c>
      <c r="AC24" s="1893">
        <v>1</v>
      </c>
    </row>
    <row r="25" spans="1:29" ht="27">
      <c r="A25" s="383"/>
      <c r="B25" s="615" t="s">
        <v>2471</v>
      </c>
      <c r="C25" s="2460"/>
      <c r="D25" s="415">
        <v>100</v>
      </c>
      <c r="E25" s="414"/>
      <c r="F25" s="415">
        <f>SUMIF(87:87,E26,88:88)-SUMIF(87:87,C26,88:88)+100</f>
        <v>100</v>
      </c>
      <c r="G25" s="2460"/>
      <c r="H25" s="415">
        <f>SUMIF(87:87,G26,88:88)-SUMIF(87:87,C26,88:88)+100</f>
        <v>100</v>
      </c>
      <c r="I25" s="414"/>
      <c r="J25" s="415">
        <f>SUMIF(87:87,I26,88:88)-SUMIF(87:87,C26,88:88)+100</f>
        <v>100</v>
      </c>
      <c r="K25" s="598"/>
      <c r="L25" s="1253"/>
      <c r="M25" s="1244"/>
      <c r="N25" s="1244"/>
      <c r="O25" s="1244"/>
      <c r="P25" s="3115"/>
      <c r="Q25" s="1889" t="str">
        <f>B25</f>
        <v>毗邻道路的类型与等级</v>
      </c>
      <c r="R25" s="753" t="s">
        <v>25</v>
      </c>
      <c r="S25" s="754">
        <f>F25</f>
        <v>100</v>
      </c>
      <c r="T25" s="753" t="s">
        <v>25</v>
      </c>
      <c r="U25" s="754">
        <f>H25</f>
        <v>100</v>
      </c>
      <c r="V25" s="753" t="s">
        <v>25</v>
      </c>
      <c r="W25" s="754">
        <f>J25</f>
        <v>100</v>
      </c>
      <c r="X25" s="1890"/>
      <c r="Y25" s="3085"/>
      <c r="Z25" s="1892" t="str">
        <f>Q25</f>
        <v>毗邻道路的类型与等级</v>
      </c>
      <c r="AA25" s="1893">
        <f t="shared" si="3"/>
        <v>1</v>
      </c>
      <c r="AB25" s="1893">
        <f t="shared" si="4"/>
        <v>1</v>
      </c>
      <c r="AC25" s="1893">
        <f t="shared" si="5"/>
        <v>1</v>
      </c>
    </row>
    <row r="26" spans="1:29" ht="15">
      <c r="A26" s="383"/>
      <c r="B26" s="616"/>
      <c r="C26" s="618"/>
      <c r="D26" s="415"/>
      <c r="E26" s="600"/>
      <c r="F26" s="415"/>
      <c r="G26" s="618"/>
      <c r="H26" s="415"/>
      <c r="I26" s="600"/>
      <c r="J26" s="415"/>
      <c r="K26" s="599"/>
      <c r="L26" s="1253"/>
      <c r="M26" s="1244"/>
      <c r="N26" s="1244"/>
      <c r="O26" s="1244"/>
      <c r="P26" s="3115"/>
      <c r="Q26" s="1889"/>
      <c r="R26" s="753"/>
      <c r="S26" s="754"/>
      <c r="T26" s="753"/>
      <c r="U26" s="754"/>
      <c r="V26" s="753"/>
      <c r="W26" s="754"/>
      <c r="X26" s="1890"/>
      <c r="Y26" s="3085"/>
      <c r="Z26" s="1892"/>
      <c r="AA26" s="1893">
        <v>1</v>
      </c>
      <c r="AB26" s="1893">
        <v>1</v>
      </c>
      <c r="AC26" s="1893">
        <v>1</v>
      </c>
    </row>
    <row r="27" spans="1:29" ht="15">
      <c r="A27" s="408"/>
      <c r="B27" s="616" t="s">
        <v>2445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115"/>
      <c r="Q27" s="1889" t="str">
        <f t="shared" ref="Q27:Q47" si="11">B27</f>
        <v>楼层</v>
      </c>
      <c r="R27" s="753" t="s">
        <v>25</v>
      </c>
      <c r="S27" s="754">
        <f>F27</f>
        <v>100</v>
      </c>
      <c r="T27" s="753" t="s">
        <v>25</v>
      </c>
      <c r="U27" s="754">
        <f>H27</f>
        <v>100</v>
      </c>
      <c r="V27" s="753" t="s">
        <v>25</v>
      </c>
      <c r="W27" s="754">
        <f>J27</f>
        <v>100</v>
      </c>
      <c r="X27" s="1890"/>
      <c r="Y27" s="3085"/>
      <c r="Z27" s="1892" t="str">
        <f>Q27</f>
        <v>楼层</v>
      </c>
      <c r="AA27" s="1893">
        <f t="shared" si="3"/>
        <v>1</v>
      </c>
      <c r="AB27" s="1893">
        <f t="shared" si="4"/>
        <v>1</v>
      </c>
      <c r="AC27" s="1893">
        <f t="shared" si="5"/>
        <v>1</v>
      </c>
    </row>
    <row r="28" spans="1:29" s="35" customFormat="1" ht="15">
      <c r="A28" s="411"/>
      <c r="B28" s="615" t="s">
        <v>2472</v>
      </c>
      <c r="C28" s="2461"/>
      <c r="D28" s="443">
        <v>100</v>
      </c>
      <c r="E28" s="2448"/>
      <c r="F28" s="443">
        <f>SUMIF(91:91,E28,92:92)-SUMIF(91:91,C28,92:92)+100</f>
        <v>100</v>
      </c>
      <c r="G28" s="2461"/>
      <c r="H28" s="443">
        <f>SUMIF(91:91,G28,92:92)-SUMIF(91:91,C28,92:92)+100</f>
        <v>100</v>
      </c>
      <c r="I28" s="2448"/>
      <c r="J28" s="443">
        <f>SUMIF(91:91,I28,92:92)-SUMIF(91:91,C28,92:92)+100</f>
        <v>100</v>
      </c>
      <c r="K28" s="596"/>
      <c r="L28" s="1245"/>
      <c r="M28" s="1246"/>
      <c r="N28" s="1246"/>
      <c r="O28" s="1246"/>
      <c r="P28" s="3115"/>
      <c r="Q28" s="1877" t="str">
        <f t="shared" si="11"/>
        <v>朝向</v>
      </c>
      <c r="R28" s="749" t="s">
        <v>25</v>
      </c>
      <c r="S28" s="750">
        <f>F28</f>
        <v>100</v>
      </c>
      <c r="T28" s="749" t="s">
        <v>25</v>
      </c>
      <c r="U28" s="750">
        <f>H28</f>
        <v>100</v>
      </c>
      <c r="V28" s="749" t="s">
        <v>25</v>
      </c>
      <c r="W28" s="750">
        <f>J28</f>
        <v>100</v>
      </c>
      <c r="X28" s="751"/>
      <c r="Y28" s="3085"/>
      <c r="Z28" s="23" t="str">
        <f>Q28</f>
        <v>朝向</v>
      </c>
      <c r="AA28" s="1893">
        <f>D28/F28</f>
        <v>1</v>
      </c>
      <c r="AB28" s="1893">
        <f>D28/H28</f>
        <v>1</v>
      </c>
      <c r="AC28" s="1893">
        <f>D28/J28</f>
        <v>1</v>
      </c>
    </row>
    <row r="29" spans="1:29" ht="15">
      <c r="A29" s="408"/>
      <c r="B29" s="2462">
        <v>111</v>
      </c>
      <c r="C29" s="246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115"/>
      <c r="Q29" s="1889">
        <f t="shared" si="11"/>
        <v>111</v>
      </c>
      <c r="R29" s="753" t="s">
        <v>25</v>
      </c>
      <c r="S29" s="754">
        <f t="shared" ref="S29:S47" si="12">F29</f>
        <v>100</v>
      </c>
      <c r="T29" s="753" t="s">
        <v>25</v>
      </c>
      <c r="U29" s="754">
        <f t="shared" ref="U29:U47" si="13">H29</f>
        <v>100</v>
      </c>
      <c r="V29" s="753" t="s">
        <v>25</v>
      </c>
      <c r="W29" s="754">
        <f t="shared" ref="W29:W47" si="14">J29</f>
        <v>100</v>
      </c>
      <c r="X29" s="1890"/>
      <c r="Y29" s="3085"/>
      <c r="Z29" s="1892">
        <f t="shared" ref="Z29:Z47" si="15">Q29</f>
        <v>111</v>
      </c>
      <c r="AA29" s="1893">
        <f t="shared" si="3"/>
        <v>1</v>
      </c>
      <c r="AB29" s="1893">
        <f t="shared" si="4"/>
        <v>1</v>
      </c>
      <c r="AC29" s="1893">
        <f t="shared" si="5"/>
        <v>1</v>
      </c>
    </row>
    <row r="30" spans="1:29" ht="15">
      <c r="A30" s="408"/>
      <c r="B30" s="2462">
        <v>111</v>
      </c>
      <c r="C30" s="246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115"/>
      <c r="Q30" s="1889">
        <f t="shared" si="11"/>
        <v>111</v>
      </c>
      <c r="R30" s="753" t="s">
        <v>25</v>
      </c>
      <c r="S30" s="754">
        <f t="shared" si="12"/>
        <v>100</v>
      </c>
      <c r="T30" s="753" t="s">
        <v>25</v>
      </c>
      <c r="U30" s="754">
        <f t="shared" si="13"/>
        <v>100</v>
      </c>
      <c r="V30" s="753" t="s">
        <v>25</v>
      </c>
      <c r="W30" s="754">
        <f t="shared" si="14"/>
        <v>100</v>
      </c>
      <c r="X30" s="1890"/>
      <c r="Y30" s="3085"/>
      <c r="Z30" s="1892">
        <f t="shared" si="15"/>
        <v>111</v>
      </c>
      <c r="AA30" s="1893">
        <f t="shared" si="3"/>
        <v>1</v>
      </c>
      <c r="AB30" s="1893">
        <f t="shared" si="4"/>
        <v>1</v>
      </c>
      <c r="AC30" s="1893">
        <f t="shared" si="5"/>
        <v>1</v>
      </c>
    </row>
    <row r="31" spans="1:29" ht="15">
      <c r="A31" s="408"/>
      <c r="B31" s="2462">
        <v>111</v>
      </c>
      <c r="C31" s="246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115"/>
      <c r="Q31" s="1889">
        <f t="shared" si="11"/>
        <v>111</v>
      </c>
      <c r="R31" s="753" t="s">
        <v>25</v>
      </c>
      <c r="S31" s="754">
        <f t="shared" si="12"/>
        <v>100</v>
      </c>
      <c r="T31" s="753" t="s">
        <v>25</v>
      </c>
      <c r="U31" s="754">
        <f t="shared" si="13"/>
        <v>100</v>
      </c>
      <c r="V31" s="753" t="s">
        <v>25</v>
      </c>
      <c r="W31" s="754">
        <f t="shared" si="14"/>
        <v>100</v>
      </c>
      <c r="X31" s="1890"/>
      <c r="Y31" s="3085"/>
      <c r="Z31" s="1892">
        <f t="shared" si="15"/>
        <v>111</v>
      </c>
      <c r="AA31" s="1893">
        <f t="shared" si="3"/>
        <v>1</v>
      </c>
      <c r="AB31" s="1893">
        <f t="shared" si="4"/>
        <v>1</v>
      </c>
      <c r="AC31" s="189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115"/>
      <c r="Q32" s="1889">
        <f t="shared" si="11"/>
        <v>111</v>
      </c>
      <c r="R32" s="753" t="s">
        <v>25</v>
      </c>
      <c r="S32" s="754">
        <f t="shared" si="12"/>
        <v>100</v>
      </c>
      <c r="T32" s="753" t="s">
        <v>25</v>
      </c>
      <c r="U32" s="754">
        <f t="shared" si="13"/>
        <v>100</v>
      </c>
      <c r="V32" s="753" t="s">
        <v>25</v>
      </c>
      <c r="W32" s="754">
        <f t="shared" si="14"/>
        <v>100</v>
      </c>
      <c r="X32" s="1890"/>
      <c r="Y32" s="3085"/>
      <c r="Z32" s="1892">
        <f t="shared" si="15"/>
        <v>111</v>
      </c>
      <c r="AA32" s="1893">
        <f t="shared" si="3"/>
        <v>1</v>
      </c>
      <c r="AB32" s="1893">
        <f t="shared" si="4"/>
        <v>1</v>
      </c>
      <c r="AC32" s="1893">
        <f t="shared" si="5"/>
        <v>1</v>
      </c>
    </row>
    <row r="33" spans="1:29" ht="15">
      <c r="A33" s="419" t="s">
        <v>2358</v>
      </c>
      <c r="B33" s="28" t="s">
        <v>2473</v>
      </c>
      <c r="C33" s="2463"/>
      <c r="D33" s="448">
        <v>100</v>
      </c>
      <c r="E33" s="2463"/>
      <c r="F33" s="442">
        <f>SUMIF(101:101,E33,102:102)-SUMIF(101:101,C33,102:102)+100</f>
        <v>100</v>
      </c>
      <c r="G33" s="2463"/>
      <c r="H33" s="415">
        <f>SUMIF(101:101,G33,102:102)-SUMIF(101:101,C33,102:102)+100</f>
        <v>100</v>
      </c>
      <c r="I33" s="2463"/>
      <c r="J33" s="448">
        <f>SUMIF(101:101,I33,102:102)-SUMIF(101:101,C33,102:102)+100</f>
        <v>100</v>
      </c>
      <c r="K33" s="596"/>
      <c r="L33" s="1253"/>
      <c r="M33" s="1244"/>
      <c r="N33" s="1244"/>
      <c r="O33" s="1244"/>
      <c r="P33" s="3127" t="s">
        <v>2360</v>
      </c>
      <c r="Q33" s="1889" t="str">
        <f t="shared" si="11"/>
        <v>建筑类型</v>
      </c>
      <c r="R33" s="753" t="s">
        <v>25</v>
      </c>
      <c r="S33" s="754">
        <f t="shared" si="12"/>
        <v>100</v>
      </c>
      <c r="T33" s="753" t="s">
        <v>25</v>
      </c>
      <c r="U33" s="754">
        <f t="shared" si="13"/>
        <v>100</v>
      </c>
      <c r="V33" s="753" t="s">
        <v>25</v>
      </c>
      <c r="W33" s="754">
        <f t="shared" si="14"/>
        <v>100</v>
      </c>
      <c r="X33" s="1890"/>
      <c r="Y33" s="3089" t="s">
        <v>2360</v>
      </c>
      <c r="Z33" s="1892" t="str">
        <f t="shared" si="15"/>
        <v>建筑类型</v>
      </c>
      <c r="AA33" s="1893">
        <f t="shared" si="3"/>
        <v>1</v>
      </c>
      <c r="AB33" s="1893">
        <f t="shared" si="4"/>
        <v>1</v>
      </c>
      <c r="AC33" s="1893">
        <f t="shared" si="5"/>
        <v>1</v>
      </c>
    </row>
    <row r="34" spans="1:29" s="452" customFormat="1" ht="15">
      <c r="A34" s="449"/>
      <c r="B34" s="402" t="s">
        <v>2361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128"/>
      <c r="Q34" s="755" t="str">
        <f t="shared" si="11"/>
        <v>项目建筑规模</v>
      </c>
      <c r="R34" s="756" t="s">
        <v>25</v>
      </c>
      <c r="S34" s="757" t="e">
        <f t="shared" si="12"/>
        <v>#N/A</v>
      </c>
      <c r="T34" s="756" t="s">
        <v>25</v>
      </c>
      <c r="U34" s="757" t="e">
        <f t="shared" si="13"/>
        <v>#N/A</v>
      </c>
      <c r="V34" s="756" t="s">
        <v>25</v>
      </c>
      <c r="W34" s="757" t="e">
        <f t="shared" si="14"/>
        <v>#N/A</v>
      </c>
      <c r="X34" s="758"/>
      <c r="Y34" s="3089"/>
      <c r="Z34" s="759" t="str">
        <f t="shared" si="15"/>
        <v>项目建筑规模</v>
      </c>
      <c r="AA34" s="1893" t="e">
        <f t="shared" si="3"/>
        <v>#N/A</v>
      </c>
      <c r="AB34" s="1893" t="e">
        <f t="shared" si="4"/>
        <v>#N/A</v>
      </c>
      <c r="AC34" s="1893" t="e">
        <f t="shared" si="5"/>
        <v>#N/A</v>
      </c>
    </row>
    <row r="35" spans="1:29" ht="15">
      <c r="A35" s="453"/>
      <c r="B35" s="402" t="s">
        <v>2362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128"/>
      <c r="Q35" s="1889" t="str">
        <f t="shared" si="11"/>
        <v>建筑结构</v>
      </c>
      <c r="R35" s="753" t="s">
        <v>25</v>
      </c>
      <c r="S35" s="754">
        <f t="shared" si="12"/>
        <v>100</v>
      </c>
      <c r="T35" s="753" t="s">
        <v>25</v>
      </c>
      <c r="U35" s="754">
        <f t="shared" si="13"/>
        <v>100</v>
      </c>
      <c r="V35" s="753" t="s">
        <v>25</v>
      </c>
      <c r="W35" s="754">
        <f t="shared" si="14"/>
        <v>100</v>
      </c>
      <c r="X35" s="1890"/>
      <c r="Y35" s="3089"/>
      <c r="Z35" s="1892" t="str">
        <f t="shared" si="15"/>
        <v>建筑结构</v>
      </c>
      <c r="AA35" s="1893">
        <f t="shared" si="3"/>
        <v>1</v>
      </c>
      <c r="AB35" s="1893">
        <f t="shared" si="4"/>
        <v>1</v>
      </c>
      <c r="AC35" s="1893">
        <f t="shared" si="5"/>
        <v>1</v>
      </c>
    </row>
    <row r="36" spans="1:29" ht="15">
      <c r="A36" s="453"/>
      <c r="B36" s="402" t="s">
        <v>2447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128"/>
      <c r="Q36" s="1889" t="str">
        <f t="shared" si="11"/>
        <v>公共部分装修</v>
      </c>
      <c r="R36" s="753" t="s">
        <v>25</v>
      </c>
      <c r="S36" s="754">
        <f t="shared" si="12"/>
        <v>100</v>
      </c>
      <c r="T36" s="753" t="s">
        <v>25</v>
      </c>
      <c r="U36" s="754">
        <f t="shared" si="13"/>
        <v>100</v>
      </c>
      <c r="V36" s="753" t="s">
        <v>25</v>
      </c>
      <c r="W36" s="754">
        <f t="shared" si="14"/>
        <v>100</v>
      </c>
      <c r="X36" s="1890"/>
      <c r="Y36" s="3089"/>
      <c r="Z36" s="1892" t="str">
        <f t="shared" si="15"/>
        <v>公共部分装修</v>
      </c>
      <c r="AA36" s="1893">
        <f t="shared" si="3"/>
        <v>1</v>
      </c>
      <c r="AB36" s="1893">
        <f t="shared" si="4"/>
        <v>1</v>
      </c>
      <c r="AC36" s="1893">
        <f t="shared" si="5"/>
        <v>1</v>
      </c>
    </row>
    <row r="37" spans="1:29" ht="15">
      <c r="A37" s="453"/>
      <c r="B37" s="402" t="s">
        <v>2448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128"/>
      <c r="Q37" s="1889" t="str">
        <f t="shared" si="11"/>
        <v>成新度</v>
      </c>
      <c r="R37" s="753" t="s">
        <v>25</v>
      </c>
      <c r="S37" s="754" t="e">
        <f t="shared" si="12"/>
        <v>#N/A</v>
      </c>
      <c r="T37" s="753" t="s">
        <v>25</v>
      </c>
      <c r="U37" s="754" t="e">
        <f t="shared" si="13"/>
        <v>#N/A</v>
      </c>
      <c r="V37" s="753" t="s">
        <v>25</v>
      </c>
      <c r="W37" s="754" t="e">
        <f t="shared" si="14"/>
        <v>#N/A</v>
      </c>
      <c r="X37" s="1890"/>
      <c r="Y37" s="3089"/>
      <c r="Z37" s="1892" t="str">
        <f t="shared" si="15"/>
        <v>成新度</v>
      </c>
      <c r="AA37" s="1893" t="e">
        <f t="shared" si="3"/>
        <v>#N/A</v>
      </c>
      <c r="AB37" s="1893" t="e">
        <f t="shared" si="4"/>
        <v>#N/A</v>
      </c>
      <c r="AC37" s="1893" t="e">
        <f t="shared" si="5"/>
        <v>#N/A</v>
      </c>
    </row>
    <row r="38" spans="1:29" s="35" customFormat="1" ht="15">
      <c r="A38" s="454"/>
      <c r="B38" s="402" t="s">
        <v>2474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128"/>
      <c r="Q38" s="1877" t="str">
        <f t="shared" si="11"/>
        <v>写字楼等级</v>
      </c>
      <c r="R38" s="749" t="s">
        <v>25</v>
      </c>
      <c r="S38" s="750">
        <f t="shared" si="12"/>
        <v>100</v>
      </c>
      <c r="T38" s="749" t="s">
        <v>25</v>
      </c>
      <c r="U38" s="750">
        <f t="shared" si="13"/>
        <v>100</v>
      </c>
      <c r="V38" s="749" t="s">
        <v>25</v>
      </c>
      <c r="W38" s="750">
        <f t="shared" si="14"/>
        <v>100</v>
      </c>
      <c r="X38" s="751"/>
      <c r="Y38" s="3089"/>
      <c r="Z38" s="23" t="str">
        <f t="shared" si="15"/>
        <v>写字楼等级</v>
      </c>
      <c r="AA38" s="752">
        <f t="shared" si="3"/>
        <v>1</v>
      </c>
      <c r="AB38" s="752">
        <f t="shared" si="4"/>
        <v>1</v>
      </c>
      <c r="AC38" s="752">
        <f t="shared" si="5"/>
        <v>1</v>
      </c>
    </row>
    <row r="39" spans="1:29" ht="15">
      <c r="A39" s="453"/>
      <c r="B39" s="402" t="s">
        <v>2475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128" t="s">
        <v>2360</v>
      </c>
      <c r="Q39" s="1889" t="str">
        <f t="shared" si="11"/>
        <v>物业管理</v>
      </c>
      <c r="R39" s="753" t="s">
        <v>25</v>
      </c>
      <c r="S39" s="754">
        <f t="shared" si="12"/>
        <v>100</v>
      </c>
      <c r="T39" s="753" t="s">
        <v>25</v>
      </c>
      <c r="U39" s="754">
        <f t="shared" si="13"/>
        <v>100</v>
      </c>
      <c r="V39" s="753" t="s">
        <v>25</v>
      </c>
      <c r="W39" s="754">
        <f t="shared" si="14"/>
        <v>100</v>
      </c>
      <c r="X39" s="1890"/>
      <c r="Y39" s="3089" t="s">
        <v>2360</v>
      </c>
      <c r="Z39" s="1892" t="str">
        <f t="shared" si="15"/>
        <v>物业管理</v>
      </c>
      <c r="AA39" s="1893">
        <f t="shared" si="3"/>
        <v>1</v>
      </c>
      <c r="AB39" s="1893">
        <f t="shared" si="4"/>
        <v>1</v>
      </c>
      <c r="AC39" s="1893">
        <f t="shared" si="5"/>
        <v>1</v>
      </c>
    </row>
    <row r="40" spans="1:29" ht="15">
      <c r="A40" s="453"/>
      <c r="B40" s="402" t="s">
        <v>2449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128"/>
      <c r="Q40" s="1889" t="str">
        <f t="shared" si="11"/>
        <v>市政基础设施</v>
      </c>
      <c r="R40" s="753" t="s">
        <v>25</v>
      </c>
      <c r="S40" s="754">
        <f t="shared" si="12"/>
        <v>100</v>
      </c>
      <c r="T40" s="753" t="s">
        <v>25</v>
      </c>
      <c r="U40" s="754">
        <f t="shared" si="13"/>
        <v>100</v>
      </c>
      <c r="V40" s="753" t="s">
        <v>25</v>
      </c>
      <c r="W40" s="754">
        <f t="shared" si="14"/>
        <v>100</v>
      </c>
      <c r="X40" s="1890"/>
      <c r="Y40" s="3089"/>
      <c r="Z40" s="1892" t="str">
        <f t="shared" si="15"/>
        <v>市政基础设施</v>
      </c>
      <c r="AA40" s="1893">
        <f t="shared" si="3"/>
        <v>1</v>
      </c>
      <c r="AB40" s="1893">
        <f t="shared" si="4"/>
        <v>1</v>
      </c>
      <c r="AC40" s="1893">
        <f t="shared" si="5"/>
        <v>1</v>
      </c>
    </row>
    <row r="41" spans="1:29" ht="15">
      <c r="A41" s="453"/>
      <c r="B41" s="402" t="s">
        <v>2451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128"/>
      <c r="Q41" s="1889" t="str">
        <f t="shared" si="11"/>
        <v>层高</v>
      </c>
      <c r="R41" s="753" t="s">
        <v>25</v>
      </c>
      <c r="S41" s="754">
        <f t="shared" si="12"/>
        <v>100</v>
      </c>
      <c r="T41" s="753" t="s">
        <v>25</v>
      </c>
      <c r="U41" s="754">
        <f t="shared" si="13"/>
        <v>100</v>
      </c>
      <c r="V41" s="753" t="s">
        <v>25</v>
      </c>
      <c r="W41" s="754">
        <f t="shared" si="14"/>
        <v>100</v>
      </c>
      <c r="X41" s="1890"/>
      <c r="Y41" s="3089"/>
      <c r="Z41" s="1892" t="str">
        <f t="shared" si="15"/>
        <v>层高</v>
      </c>
      <c r="AA41" s="1893">
        <f t="shared" si="3"/>
        <v>1</v>
      </c>
      <c r="AB41" s="1893">
        <f t="shared" si="4"/>
        <v>1</v>
      </c>
      <c r="AC41" s="1893">
        <f t="shared" si="5"/>
        <v>1</v>
      </c>
    </row>
    <row r="42" spans="1:29" s="452" customFormat="1" ht="15">
      <c r="A42" s="449"/>
      <c r="B42" s="1894" t="s">
        <v>2476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128"/>
      <c r="Q42" s="755" t="str">
        <f t="shared" si="11"/>
        <v>单套建筑面积</v>
      </c>
      <c r="R42" s="756" t="s">
        <v>25</v>
      </c>
      <c r="S42" s="757">
        <f t="shared" si="12"/>
        <v>100</v>
      </c>
      <c r="T42" s="756" t="s">
        <v>25</v>
      </c>
      <c r="U42" s="757">
        <f t="shared" si="13"/>
        <v>100</v>
      </c>
      <c r="V42" s="756" t="s">
        <v>25</v>
      </c>
      <c r="W42" s="757">
        <f t="shared" si="14"/>
        <v>100</v>
      </c>
      <c r="X42" s="758"/>
      <c r="Y42" s="3089"/>
      <c r="Z42" s="759" t="str">
        <f t="shared" si="15"/>
        <v>单套建筑面积</v>
      </c>
      <c r="AA42" s="1893">
        <f t="shared" si="3"/>
        <v>1</v>
      </c>
      <c r="AB42" s="1893">
        <f t="shared" si="4"/>
        <v>1</v>
      </c>
      <c r="AC42" s="1893">
        <f t="shared" si="5"/>
        <v>1</v>
      </c>
    </row>
    <row r="43" spans="1:29" ht="15">
      <c r="A43" s="453"/>
      <c r="B43" s="402" t="s">
        <v>2454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128"/>
      <c r="Q43" s="1889" t="str">
        <f t="shared" si="11"/>
        <v>内部装修</v>
      </c>
      <c r="R43" s="753" t="s">
        <v>25</v>
      </c>
      <c r="S43" s="754">
        <f t="shared" si="12"/>
        <v>100</v>
      </c>
      <c r="T43" s="753" t="s">
        <v>25</v>
      </c>
      <c r="U43" s="754">
        <f t="shared" si="13"/>
        <v>100</v>
      </c>
      <c r="V43" s="753" t="s">
        <v>25</v>
      </c>
      <c r="W43" s="754">
        <f t="shared" si="14"/>
        <v>100</v>
      </c>
      <c r="X43" s="1890"/>
      <c r="Y43" s="3089"/>
      <c r="Z43" s="1892" t="str">
        <f t="shared" si="15"/>
        <v>内部装修</v>
      </c>
      <c r="AA43" s="1893">
        <f t="shared" si="3"/>
        <v>1</v>
      </c>
      <c r="AB43" s="1893">
        <f t="shared" si="4"/>
        <v>1</v>
      </c>
      <c r="AC43" s="1893">
        <f t="shared" si="5"/>
        <v>1</v>
      </c>
    </row>
    <row r="44" spans="1:29" ht="15">
      <c r="A44" s="453"/>
      <c r="B44" s="402" t="s">
        <v>2371</v>
      </c>
      <c r="C44" s="441"/>
      <c r="D44" s="415">
        <v>100</v>
      </c>
      <c r="E44" s="2401"/>
      <c r="F44" s="442">
        <f>SUMIF(125:125,E44,126:126)-SUMIF(125:125,C44,126:126)+100</f>
        <v>100</v>
      </c>
      <c r="G44" s="2401"/>
      <c r="H44" s="415">
        <f>SUMIF(125:125,G44,126:126)-SUMIF(125:125,C44,126:126)+100</f>
        <v>100</v>
      </c>
      <c r="I44" s="2401"/>
      <c r="J44" s="415">
        <f>SUMIF(125:125,I44,126:126)-SUMIF(125:125,C44,126:126)+100</f>
        <v>100</v>
      </c>
      <c r="K44" s="596"/>
      <c r="L44" s="1253"/>
      <c r="M44" s="1244"/>
      <c r="N44" s="1244"/>
      <c r="O44" s="1244"/>
      <c r="P44" s="3128"/>
      <c r="Q44" s="1889" t="str">
        <f t="shared" si="11"/>
        <v>内部装修维护情况</v>
      </c>
      <c r="R44" s="753" t="s">
        <v>25</v>
      </c>
      <c r="S44" s="754">
        <f t="shared" si="12"/>
        <v>100</v>
      </c>
      <c r="T44" s="753" t="s">
        <v>25</v>
      </c>
      <c r="U44" s="754">
        <f t="shared" si="13"/>
        <v>100</v>
      </c>
      <c r="V44" s="753" t="s">
        <v>25</v>
      </c>
      <c r="W44" s="754">
        <f t="shared" si="14"/>
        <v>100</v>
      </c>
      <c r="X44" s="1890"/>
      <c r="Y44" s="3089"/>
      <c r="Z44" s="1892" t="str">
        <f t="shared" si="15"/>
        <v>内部装修维护情况</v>
      </c>
      <c r="AA44" s="1893">
        <f t="shared" si="3"/>
        <v>1</v>
      </c>
      <c r="AB44" s="1893">
        <f t="shared" si="4"/>
        <v>1</v>
      </c>
      <c r="AC44" s="1893">
        <f t="shared" si="5"/>
        <v>1</v>
      </c>
    </row>
    <row r="45" spans="1:29" s="35" customFormat="1" ht="15">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128"/>
      <c r="Q45" s="1877">
        <f t="shared" si="11"/>
        <v>111</v>
      </c>
      <c r="R45" s="749" t="s">
        <v>25</v>
      </c>
      <c r="S45" s="750">
        <f t="shared" si="12"/>
        <v>100</v>
      </c>
      <c r="T45" s="749" t="s">
        <v>25</v>
      </c>
      <c r="U45" s="750">
        <f t="shared" si="13"/>
        <v>100</v>
      </c>
      <c r="V45" s="749" t="s">
        <v>25</v>
      </c>
      <c r="W45" s="750">
        <f t="shared" si="14"/>
        <v>100</v>
      </c>
      <c r="X45" s="751"/>
      <c r="Y45" s="3089"/>
      <c r="Z45" s="23">
        <f t="shared" si="15"/>
        <v>111</v>
      </c>
      <c r="AA45" s="752">
        <f t="shared" si="3"/>
        <v>1</v>
      </c>
      <c r="AB45" s="752">
        <f t="shared" si="4"/>
        <v>1</v>
      </c>
      <c r="AC45" s="752">
        <f t="shared" si="5"/>
        <v>1</v>
      </c>
    </row>
    <row r="46" spans="1:29" ht="15">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128"/>
      <c r="Q46" s="1889">
        <f t="shared" si="11"/>
        <v>111</v>
      </c>
      <c r="R46" s="753" t="s">
        <v>25</v>
      </c>
      <c r="S46" s="754">
        <f t="shared" si="12"/>
        <v>100</v>
      </c>
      <c r="T46" s="753" t="s">
        <v>25</v>
      </c>
      <c r="U46" s="754">
        <f t="shared" si="13"/>
        <v>100</v>
      </c>
      <c r="V46" s="753" t="s">
        <v>25</v>
      </c>
      <c r="W46" s="754">
        <f t="shared" si="14"/>
        <v>100</v>
      </c>
      <c r="X46" s="1890"/>
      <c r="Y46" s="3089"/>
      <c r="Z46" s="1892">
        <f t="shared" si="15"/>
        <v>111</v>
      </c>
      <c r="AA46" s="1893">
        <f t="shared" si="3"/>
        <v>1</v>
      </c>
      <c r="AB46" s="1893">
        <f t="shared" si="4"/>
        <v>1</v>
      </c>
      <c r="AC46" s="1893">
        <f t="shared" si="5"/>
        <v>1</v>
      </c>
    </row>
    <row r="47" spans="1:29" ht="15.75"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129"/>
      <c r="Q47" s="1889">
        <f t="shared" si="11"/>
        <v>111</v>
      </c>
      <c r="R47" s="753" t="s">
        <v>25</v>
      </c>
      <c r="S47" s="754">
        <f t="shared" si="12"/>
        <v>100</v>
      </c>
      <c r="T47" s="753" t="s">
        <v>25</v>
      </c>
      <c r="U47" s="754">
        <f t="shared" si="13"/>
        <v>100</v>
      </c>
      <c r="V47" s="753" t="s">
        <v>25</v>
      </c>
      <c r="W47" s="754">
        <f t="shared" si="14"/>
        <v>100</v>
      </c>
      <c r="X47" s="1890"/>
      <c r="Y47" s="3090"/>
      <c r="Z47" s="1892">
        <f t="shared" si="15"/>
        <v>111</v>
      </c>
      <c r="AA47" s="1893">
        <f t="shared" si="3"/>
        <v>1</v>
      </c>
      <c r="AB47" s="1893">
        <f t="shared" si="4"/>
        <v>1</v>
      </c>
      <c r="AC47" s="1893">
        <f t="shared" si="5"/>
        <v>1</v>
      </c>
    </row>
    <row r="48" spans="1:29" ht="15">
      <c r="A48" s="460" t="s">
        <v>2372</v>
      </c>
      <c r="B48" s="461"/>
      <c r="C48" s="1502" t="s">
        <v>1</v>
      </c>
      <c r="D48" s="1503"/>
      <c r="E48" s="1504"/>
      <c r="F48" s="1505"/>
      <c r="G48" s="1506"/>
      <c r="H48" s="1507"/>
      <c r="I48" s="1504"/>
      <c r="J48" s="1507"/>
      <c r="K48" s="762"/>
      <c r="L48" s="1256"/>
      <c r="M48" s="1244"/>
      <c r="N48" s="1244"/>
      <c r="O48" s="1244"/>
      <c r="P48" s="3079" t="str">
        <f>A48</f>
        <v>成交单价（元/平方米）</v>
      </c>
      <c r="Q48" s="3081"/>
      <c r="R48" s="3077">
        <f>E48</f>
        <v>0</v>
      </c>
      <c r="S48" s="3077"/>
      <c r="T48" s="3077">
        <f>G48</f>
        <v>0</v>
      </c>
      <c r="U48" s="3077"/>
      <c r="V48" s="3077">
        <f>I48</f>
        <v>0</v>
      </c>
      <c r="W48" s="3077"/>
      <c r="X48" s="738"/>
      <c r="Y48" s="760"/>
      <c r="Z48" s="738"/>
      <c r="AA48" s="738"/>
      <c r="AB48" s="738"/>
      <c r="AC48" s="738"/>
    </row>
    <row r="49" spans="1:29" ht="15.75" thickBot="1">
      <c r="A49" s="467" t="s">
        <v>2455</v>
      </c>
      <c r="B49" s="468"/>
      <c r="C49" s="1508" t="e">
        <f>R50</f>
        <v>#DIV/0!</v>
      </c>
      <c r="D49" s="1509"/>
      <c r="E49" s="1510" t="e">
        <f>R49</f>
        <v>#DIV/0!</v>
      </c>
      <c r="F49" s="1510"/>
      <c r="G49" s="1508" t="e">
        <f>T49</f>
        <v>#DIV/0!</v>
      </c>
      <c r="H49" s="1509"/>
      <c r="I49" s="1510" t="e">
        <f>V49</f>
        <v>#DIV/0!</v>
      </c>
      <c r="J49" s="1509"/>
      <c r="K49" s="763"/>
      <c r="L49" s="1256"/>
      <c r="M49" s="1244"/>
      <c r="N49" s="1244"/>
      <c r="O49" s="1244"/>
      <c r="P49" s="3079" t="str">
        <f>A49</f>
        <v>比较价值（元/平方米）</v>
      </c>
      <c r="Q49" s="3081"/>
      <c r="R49" s="3077" t="e">
        <f>IF(E1="售价",ROUND(PRODUCT(R48,AA7:AA47),0),ROUND(PRODUCT(R48,AA7:AA47),1))</f>
        <v>#DIV/0!</v>
      </c>
      <c r="S49" s="3077"/>
      <c r="T49" s="3077" t="e">
        <f>IF(E1="售价",ROUND(PRODUCT(T48,AB7:AB47),0),ROUND(PRODUCT(T48,AB7:AB47),1))</f>
        <v>#DIV/0!</v>
      </c>
      <c r="U49" s="3077"/>
      <c r="V49" s="3077" t="e">
        <f>IF(E1="售价",ROUND(PRODUCT(V48,AC7:AC47),0),ROUND(PRODUCT(V48,AC7:AC47),1))</f>
        <v>#DIV/0!</v>
      </c>
      <c r="W49" s="3077"/>
      <c r="X49" s="738"/>
      <c r="Y49" s="738"/>
      <c r="Z49" s="738"/>
      <c r="AA49" s="738"/>
      <c r="AB49" s="738"/>
      <c r="AC49" s="738"/>
    </row>
    <row r="50" spans="1:29" ht="15.75" thickBot="1">
      <c r="A50" s="473" t="s">
        <v>2477</v>
      </c>
      <c r="B50" s="474"/>
      <c r="C50" s="1512" t="e">
        <f>R50</f>
        <v>#DIV/0!</v>
      </c>
      <c r="D50" s="1512"/>
      <c r="E50" s="1512"/>
      <c r="F50" s="1512"/>
      <c r="G50" s="1512"/>
      <c r="H50" s="1512"/>
      <c r="I50" s="1512"/>
      <c r="J50" s="1512"/>
      <c r="K50" s="764"/>
      <c r="L50" s="1256"/>
      <c r="M50" s="1244"/>
      <c r="N50" s="1244"/>
      <c r="O50" s="1244"/>
      <c r="P50" s="3126" t="str">
        <f>A50</f>
        <v>估价对象XX用房的比较价值（楼面单价，元/平方米）</v>
      </c>
      <c r="Q50" s="3079"/>
      <c r="R50" s="3080" t="e">
        <f>IF(E1="售价",ROUND(AVERAGE(R49:V49),0),ROUND(AVERAGE(R49:V49),1))</f>
        <v>#DIV/0!</v>
      </c>
      <c r="S50" s="3080"/>
      <c r="T50" s="3080"/>
      <c r="U50" s="3080"/>
      <c r="V50" s="3080"/>
      <c r="W50" s="308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2456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2457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2458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2459</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2383</v>
      </c>
      <c r="B64" s="509" t="s">
        <v>2348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2353</v>
      </c>
      <c r="B77" s="509" t="s">
        <v>2478</v>
      </c>
      <c r="C77" s="557" t="s">
        <v>2392</v>
      </c>
      <c r="D77" s="557" t="s">
        <v>2393</v>
      </c>
      <c r="E77" s="557" t="s">
        <v>2394</v>
      </c>
      <c r="F77" s="557" t="s">
        <v>2395</v>
      </c>
      <c r="G77" s="557" t="s">
        <v>2396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2479</v>
      </c>
      <c r="C85" s="562" t="s">
        <v>2392</v>
      </c>
      <c r="D85" s="562" t="s">
        <v>2393</v>
      </c>
      <c r="E85" s="562" t="s">
        <v>2394</v>
      </c>
      <c r="F85" s="562" t="s">
        <v>2395</v>
      </c>
      <c r="G85" s="562" t="s">
        <v>2396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2"/>
      <c r="B100" s="553"/>
      <c r="C100" s="554"/>
      <c r="D100" s="554"/>
      <c r="E100" s="554"/>
      <c r="F100" s="554"/>
      <c r="G100" s="575"/>
      <c r="H100" s="575"/>
      <c r="I100" s="575"/>
      <c r="J100" s="575"/>
      <c r="K100" s="575"/>
      <c r="L100" s="575"/>
      <c r="M100" s="576"/>
      <c r="N100" s="1268"/>
      <c r="O100" s="1268"/>
      <c r="P100" s="22"/>
      <c r="Q100" s="485"/>
    </row>
    <row r="101" spans="1:17">
      <c r="A101" s="508" t="s">
        <v>2358</v>
      </c>
      <c r="B101" s="509" t="s">
        <v>2407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2408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2409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2482</v>
      </c>
      <c r="C119" s="567"/>
      <c r="D119" s="567"/>
      <c r="E119" s="567"/>
      <c r="F119" s="567"/>
      <c r="G119" s="567"/>
      <c r="H119" s="567"/>
      <c r="I119" s="567"/>
      <c r="J119" s="567"/>
      <c r="K119" s="567"/>
      <c r="L119" s="2464"/>
      <c r="M119" s="246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2464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2416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2325</v>
      </c>
      <c r="B1" s="1735" t="s">
        <v>2483</v>
      </c>
      <c r="C1" s="1727"/>
      <c r="D1" s="1740"/>
      <c r="E1" s="2372"/>
      <c r="F1" s="1741" t="s">
        <v>2327</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1994</v>
      </c>
      <c r="B2" s="172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1995</v>
      </c>
      <c r="B3" s="593" t="e">
        <f ca="1">ROUND(IF(D2="——",C43,IF(C2="万元",B2*10000/D3,B2/D3)),0)</f>
        <v>#DIV/0!</v>
      </c>
      <c r="C3" s="379" t="s">
        <v>2328</v>
      </c>
      <c r="D3" s="378">
        <f>IF(C1="仅计算典型户型",'数据-取费表'!E5,'数据-取费表'!B5)</f>
        <v>110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2329</v>
      </c>
      <c r="B4" s="381"/>
      <c r="C4" s="3108" t="s">
        <v>2330</v>
      </c>
      <c r="D4" s="3109"/>
      <c r="E4" s="3110" t="s">
        <v>2331</v>
      </c>
      <c r="F4" s="3111"/>
      <c r="G4" s="3108" t="s">
        <v>2332</v>
      </c>
      <c r="H4" s="3109"/>
      <c r="I4" s="3108" t="s">
        <v>2333</v>
      </c>
      <c r="J4" s="3109"/>
      <c r="K4" s="594" t="s">
        <v>2334</v>
      </c>
      <c r="L4" s="1243"/>
      <c r="M4" s="1244"/>
      <c r="N4" s="1244"/>
      <c r="O4" s="1244"/>
      <c r="P4" s="3112" t="s">
        <v>2335</v>
      </c>
      <c r="Q4" s="3113"/>
      <c r="R4" s="3097" t="s">
        <v>2331</v>
      </c>
      <c r="S4" s="3098"/>
      <c r="T4" s="3097" t="s">
        <v>2332</v>
      </c>
      <c r="U4" s="3098"/>
      <c r="V4" s="3118" t="s">
        <v>2333</v>
      </c>
      <c r="W4" s="3118"/>
      <c r="X4" s="1890"/>
      <c r="Y4" s="3097" t="s">
        <v>2335</v>
      </c>
      <c r="Z4" s="3098"/>
      <c r="AA4" s="3105" t="s">
        <v>2331</v>
      </c>
      <c r="AB4" s="3106" t="s">
        <v>2332</v>
      </c>
      <c r="AC4" s="3105" t="s">
        <v>2333</v>
      </c>
    </row>
    <row r="5" spans="1:29" ht="15">
      <c r="A5" s="383"/>
      <c r="B5" s="384"/>
      <c r="C5" s="3093" t="s">
        <v>2336</v>
      </c>
      <c r="D5" s="3094"/>
      <c r="E5" s="3119" t="s">
        <v>2337</v>
      </c>
      <c r="F5" s="3120"/>
      <c r="G5" s="3093" t="s">
        <v>2338</v>
      </c>
      <c r="H5" s="3094"/>
      <c r="I5" s="3093" t="s">
        <v>2339</v>
      </c>
      <c r="J5" s="3094"/>
      <c r="K5" s="594"/>
      <c r="L5" s="1243"/>
      <c r="M5" s="1244"/>
      <c r="N5" s="1244"/>
      <c r="O5" s="1244"/>
      <c r="P5" s="3114"/>
      <c r="Q5" s="3115"/>
      <c r="R5" s="3099"/>
      <c r="S5" s="3100"/>
      <c r="T5" s="3099"/>
      <c r="U5" s="3100"/>
      <c r="V5" s="3118"/>
      <c r="W5" s="3118"/>
      <c r="X5" s="1890"/>
      <c r="Y5" s="3099"/>
      <c r="Z5" s="3100"/>
      <c r="AA5" s="3106"/>
      <c r="AB5" s="3106"/>
      <c r="AC5" s="3106"/>
    </row>
    <row r="6" spans="1:29" ht="15.75" thickBot="1">
      <c r="A6" s="385"/>
      <c r="B6" s="386"/>
      <c r="C6" s="3091" t="s">
        <v>2340</v>
      </c>
      <c r="D6" s="3092"/>
      <c r="E6" s="3121" t="s">
        <v>2340</v>
      </c>
      <c r="F6" s="3122"/>
      <c r="G6" s="3091" t="s">
        <v>2340</v>
      </c>
      <c r="H6" s="3092"/>
      <c r="I6" s="3091" t="s">
        <v>2340</v>
      </c>
      <c r="J6" s="3092"/>
      <c r="K6" s="594" t="s">
        <v>2341</v>
      </c>
      <c r="L6" s="1243"/>
      <c r="M6" s="1244"/>
      <c r="N6" s="1244"/>
      <c r="O6" s="1244"/>
      <c r="P6" s="3116"/>
      <c r="Q6" s="3117"/>
      <c r="R6" s="3099"/>
      <c r="S6" s="3100"/>
      <c r="T6" s="3101"/>
      <c r="U6" s="3102"/>
      <c r="V6" s="3118"/>
      <c r="W6" s="3118"/>
      <c r="X6" s="1890"/>
      <c r="Y6" s="3101"/>
      <c r="Z6" s="3102"/>
      <c r="AA6" s="3107"/>
      <c r="AB6" s="3107"/>
      <c r="AC6" s="3107"/>
    </row>
    <row r="7" spans="1:29" s="35" customFormat="1" ht="15.75" thickBot="1">
      <c r="A7" s="387" t="s">
        <v>2342</v>
      </c>
      <c r="B7" s="388"/>
      <c r="C7" s="389">
        <f>'数据-取费表'!B2</f>
        <v>43077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95" t="s">
        <v>2343</v>
      </c>
      <c r="Q7" s="3103"/>
      <c r="R7" s="749" t="s">
        <v>25</v>
      </c>
      <c r="S7" s="750">
        <f t="shared" ref="S7:S15" si="0">F7</f>
        <v>0</v>
      </c>
      <c r="T7" s="749" t="s">
        <v>25</v>
      </c>
      <c r="U7" s="750">
        <f t="shared" ref="U7:U15" si="1">H7</f>
        <v>0</v>
      </c>
      <c r="V7" s="749" t="s">
        <v>25</v>
      </c>
      <c r="W7" s="750">
        <f t="shared" ref="W7:W15" si="2">J7</f>
        <v>0</v>
      </c>
      <c r="X7" s="751"/>
      <c r="Y7" s="3095" t="s">
        <v>2343</v>
      </c>
      <c r="Z7" s="3096"/>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95" t="s">
        <v>2346</v>
      </c>
      <c r="Q8" s="3096"/>
      <c r="R8" s="749" t="s">
        <v>25</v>
      </c>
      <c r="S8" s="750">
        <f t="shared" si="0"/>
        <v>100</v>
      </c>
      <c r="T8" s="749" t="s">
        <v>25</v>
      </c>
      <c r="U8" s="750">
        <f t="shared" si="1"/>
        <v>100</v>
      </c>
      <c r="V8" s="749" t="s">
        <v>25</v>
      </c>
      <c r="W8" s="750">
        <f t="shared" si="2"/>
        <v>100</v>
      </c>
      <c r="X8" s="751"/>
      <c r="Y8" s="3095" t="s">
        <v>2346</v>
      </c>
      <c r="Z8" s="3096"/>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81" t="s">
        <v>2349</v>
      </c>
      <c r="Q9" s="1877" t="str">
        <f t="shared" ref="Q9:Q15" si="6">B9</f>
        <v>用途</v>
      </c>
      <c r="R9" s="749" t="s">
        <v>25</v>
      </c>
      <c r="S9" s="750">
        <f t="shared" si="0"/>
        <v>100</v>
      </c>
      <c r="T9" s="749" t="s">
        <v>25</v>
      </c>
      <c r="U9" s="750">
        <f t="shared" si="1"/>
        <v>100</v>
      </c>
      <c r="V9" s="749" t="s">
        <v>25</v>
      </c>
      <c r="W9" s="750">
        <f t="shared" si="2"/>
        <v>100</v>
      </c>
      <c r="X9" s="751"/>
      <c r="Y9" s="290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81"/>
      <c r="Q10" s="1877" t="str">
        <f t="shared" si="6"/>
        <v>土地使用年限（年）</v>
      </c>
      <c r="R10" s="749" t="s">
        <v>25</v>
      </c>
      <c r="S10" s="750">
        <f t="shared" si="0"/>
        <v>100</v>
      </c>
      <c r="T10" s="749" t="s">
        <v>25</v>
      </c>
      <c r="U10" s="750">
        <f t="shared" si="1"/>
        <v>100</v>
      </c>
      <c r="V10" s="749" t="s">
        <v>25</v>
      </c>
      <c r="W10" s="750">
        <f t="shared" si="2"/>
        <v>100</v>
      </c>
      <c r="X10" s="751"/>
      <c r="Y10" s="2907"/>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81"/>
      <c r="Q11" s="1877" t="str">
        <f t="shared" si="6"/>
        <v>容积率</v>
      </c>
      <c r="R11" s="749" t="s">
        <v>25</v>
      </c>
      <c r="S11" s="750" t="e">
        <f t="shared" si="0"/>
        <v>#N/A</v>
      </c>
      <c r="T11" s="749" t="s">
        <v>25</v>
      </c>
      <c r="U11" s="750" t="e">
        <f t="shared" si="1"/>
        <v>#N/A</v>
      </c>
      <c r="V11" s="749" t="s">
        <v>25</v>
      </c>
      <c r="W11" s="750" t="e">
        <f t="shared" si="2"/>
        <v>#N/A</v>
      </c>
      <c r="X11" s="751"/>
      <c r="Y11" s="2907"/>
      <c r="Z11" s="23" t="str">
        <f t="shared" si="7"/>
        <v>容积率</v>
      </c>
      <c r="AA11" s="752" t="e">
        <f t="shared" si="3"/>
        <v>#N/A</v>
      </c>
      <c r="AB11" s="752" t="e">
        <f t="shared" si="4"/>
        <v>#N/A</v>
      </c>
      <c r="AC11" s="752"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45"/>
      <c r="M12" s="1246"/>
      <c r="N12" s="1246"/>
      <c r="O12" s="1247"/>
      <c r="P12" s="3081"/>
      <c r="Q12" s="1877">
        <f t="shared" si="6"/>
        <v>111</v>
      </c>
      <c r="R12" s="749" t="s">
        <v>25</v>
      </c>
      <c r="S12" s="750">
        <f t="shared" si="0"/>
        <v>100</v>
      </c>
      <c r="T12" s="749" t="s">
        <v>25</v>
      </c>
      <c r="U12" s="750">
        <f t="shared" si="1"/>
        <v>100</v>
      </c>
      <c r="V12" s="749" t="s">
        <v>25</v>
      </c>
      <c r="W12" s="750">
        <f t="shared" si="2"/>
        <v>100</v>
      </c>
      <c r="X12" s="751"/>
      <c r="Y12" s="2907"/>
      <c r="Z12" s="23">
        <f t="shared" si="7"/>
        <v>111</v>
      </c>
      <c r="AA12" s="752">
        <f>D12/F12</f>
        <v>1</v>
      </c>
      <c r="AB12" s="752">
        <f>D12/H12</f>
        <v>1</v>
      </c>
      <c r="AC12" s="752">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53"/>
      <c r="M13" s="1244"/>
      <c r="N13" s="1244"/>
      <c r="O13" s="1252"/>
      <c r="P13" s="3081"/>
      <c r="Q13" s="1877">
        <f t="shared" si="6"/>
        <v>111</v>
      </c>
      <c r="R13" s="749" t="s">
        <v>25</v>
      </c>
      <c r="S13" s="750">
        <f t="shared" si="0"/>
        <v>100</v>
      </c>
      <c r="T13" s="749" t="s">
        <v>25</v>
      </c>
      <c r="U13" s="750">
        <f t="shared" si="1"/>
        <v>100</v>
      </c>
      <c r="V13" s="749" t="s">
        <v>25</v>
      </c>
      <c r="W13" s="750">
        <f t="shared" si="2"/>
        <v>100</v>
      </c>
      <c r="X13" s="751"/>
      <c r="Y13" s="2907"/>
      <c r="Z13" s="23">
        <f t="shared" si="7"/>
        <v>111</v>
      </c>
      <c r="AA13" s="752">
        <f t="shared" si="3"/>
        <v>1</v>
      </c>
      <c r="AB13" s="752">
        <f t="shared" si="4"/>
        <v>1</v>
      </c>
      <c r="AC13" s="752">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53"/>
      <c r="M14" s="1244"/>
      <c r="N14" s="1244"/>
      <c r="O14" s="1252"/>
      <c r="P14" s="3081"/>
      <c r="Q14" s="1877">
        <f t="shared" si="6"/>
        <v>111</v>
      </c>
      <c r="R14" s="749" t="s">
        <v>25</v>
      </c>
      <c r="S14" s="750">
        <f t="shared" si="0"/>
        <v>100</v>
      </c>
      <c r="T14" s="749" t="s">
        <v>25</v>
      </c>
      <c r="U14" s="750">
        <f t="shared" si="1"/>
        <v>100</v>
      </c>
      <c r="V14" s="749" t="s">
        <v>25</v>
      </c>
      <c r="W14" s="750">
        <f t="shared" si="2"/>
        <v>100</v>
      </c>
      <c r="X14" s="751"/>
      <c r="Y14" s="2907"/>
      <c r="Z14" s="23">
        <f t="shared" si="7"/>
        <v>111</v>
      </c>
      <c r="AA14" s="752">
        <f t="shared" si="3"/>
        <v>1</v>
      </c>
      <c r="AB14" s="752">
        <f t="shared" si="4"/>
        <v>1</v>
      </c>
      <c r="AC14" s="752">
        <f t="shared" si="5"/>
        <v>1</v>
      </c>
    </row>
    <row r="15" spans="1:29" ht="57">
      <c r="A15" s="419" t="s">
        <v>2353</v>
      </c>
      <c r="B15" s="26" t="s">
        <v>2484</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84" t="s">
        <v>2354</v>
      </c>
      <c r="Q15" s="1889" t="str">
        <f t="shared" si="6"/>
        <v>产业集聚程度</v>
      </c>
      <c r="R15" s="753" t="s">
        <v>25</v>
      </c>
      <c r="S15" s="754">
        <f t="shared" si="0"/>
        <v>100</v>
      </c>
      <c r="T15" s="753" t="s">
        <v>25</v>
      </c>
      <c r="U15" s="754">
        <f t="shared" si="1"/>
        <v>100</v>
      </c>
      <c r="V15" s="753" t="s">
        <v>25</v>
      </c>
      <c r="W15" s="754">
        <f t="shared" si="2"/>
        <v>100</v>
      </c>
      <c r="X15" s="1890"/>
      <c r="Y15" s="3084" t="s">
        <v>2354</v>
      </c>
      <c r="Z15" s="1892" t="str">
        <f t="shared" si="7"/>
        <v>产业集聚程度</v>
      </c>
      <c r="AA15" s="1893">
        <f t="shared" si="3"/>
        <v>1</v>
      </c>
      <c r="AB15" s="1893">
        <f t="shared" si="4"/>
        <v>1</v>
      </c>
      <c r="AC15" s="1893">
        <f t="shared" si="5"/>
        <v>1</v>
      </c>
    </row>
    <row r="16" spans="1:29" ht="15">
      <c r="A16" s="408"/>
      <c r="B16" s="425"/>
      <c r="C16" s="426"/>
      <c r="D16" s="427"/>
      <c r="E16" s="426"/>
      <c r="F16" s="429"/>
      <c r="G16" s="426"/>
      <c r="H16" s="430"/>
      <c r="I16" s="426"/>
      <c r="J16" s="427"/>
      <c r="K16" s="599"/>
      <c r="L16" s="1253"/>
      <c r="M16" s="1244"/>
      <c r="N16" s="1244"/>
      <c r="O16" s="1252"/>
      <c r="P16" s="3085"/>
      <c r="Q16" s="1889"/>
      <c r="R16" s="753"/>
      <c r="S16" s="754"/>
      <c r="T16" s="753"/>
      <c r="U16" s="754"/>
      <c r="V16" s="753"/>
      <c r="W16" s="754"/>
      <c r="X16" s="1890"/>
      <c r="Y16" s="3085"/>
      <c r="Z16" s="1892"/>
      <c r="AA16" s="1893">
        <v>1</v>
      </c>
      <c r="AB16" s="1893">
        <v>1</v>
      </c>
      <c r="AC16" s="1893">
        <v>1</v>
      </c>
    </row>
    <row r="17" spans="1:29" ht="85.5">
      <c r="A17" s="408"/>
      <c r="B17" s="431" t="s">
        <v>1737</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85"/>
      <c r="Q17" s="1889" t="str">
        <f>B17</f>
        <v>交通便捷度</v>
      </c>
      <c r="R17" s="753" t="s">
        <v>25</v>
      </c>
      <c r="S17" s="754">
        <f>F17</f>
        <v>100</v>
      </c>
      <c r="T17" s="753" t="s">
        <v>25</v>
      </c>
      <c r="U17" s="754">
        <f>H17</f>
        <v>100</v>
      </c>
      <c r="V17" s="753" t="s">
        <v>25</v>
      </c>
      <c r="W17" s="754">
        <f>J17</f>
        <v>100</v>
      </c>
      <c r="X17" s="1890"/>
      <c r="Y17" s="3085"/>
      <c r="Z17" s="1892" t="str">
        <f>Q17</f>
        <v>交通便捷度</v>
      </c>
      <c r="AA17" s="1893">
        <f t="shared" si="3"/>
        <v>1</v>
      </c>
      <c r="AB17" s="1893">
        <f t="shared" si="4"/>
        <v>1</v>
      </c>
      <c r="AC17" s="1893">
        <f t="shared" si="5"/>
        <v>1</v>
      </c>
    </row>
    <row r="18" spans="1:29" ht="15">
      <c r="A18" s="408"/>
      <c r="B18" s="436"/>
      <c r="C18" s="437"/>
      <c r="D18" s="430"/>
      <c r="E18" s="1468"/>
      <c r="F18" s="433"/>
      <c r="G18" s="2397"/>
      <c r="H18" s="427"/>
      <c r="I18" s="1468"/>
      <c r="J18" s="427"/>
      <c r="K18" s="599"/>
      <c r="L18" s="1253"/>
      <c r="M18" s="1244"/>
      <c r="N18" s="1244"/>
      <c r="O18" s="1252"/>
      <c r="P18" s="3085"/>
      <c r="Q18" s="1889"/>
      <c r="R18" s="753"/>
      <c r="S18" s="754"/>
      <c r="T18" s="753"/>
      <c r="U18" s="754"/>
      <c r="V18" s="753"/>
      <c r="W18" s="754"/>
      <c r="X18" s="1890"/>
      <c r="Y18" s="3085"/>
      <c r="Z18" s="1892"/>
      <c r="AA18" s="1893">
        <v>1</v>
      </c>
      <c r="AB18" s="1893">
        <v>1</v>
      </c>
      <c r="AC18" s="1893">
        <v>1</v>
      </c>
    </row>
    <row r="19" spans="1:29" ht="42.75">
      <c r="A19" s="408"/>
      <c r="B19" s="615" t="s">
        <v>2468</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85"/>
      <c r="Q19" s="1889" t="str">
        <f>B19</f>
        <v>公共配套设施</v>
      </c>
      <c r="R19" s="753" t="s">
        <v>25</v>
      </c>
      <c r="S19" s="754">
        <f>F19</f>
        <v>100</v>
      </c>
      <c r="T19" s="753" t="s">
        <v>25</v>
      </c>
      <c r="U19" s="754">
        <f>H19</f>
        <v>100</v>
      </c>
      <c r="V19" s="753" t="s">
        <v>25</v>
      </c>
      <c r="W19" s="754">
        <f>J19</f>
        <v>100</v>
      </c>
      <c r="X19" s="1890"/>
      <c r="Y19" s="3085"/>
      <c r="Z19" s="1892" t="str">
        <f>Q19</f>
        <v>公共配套设施</v>
      </c>
      <c r="AA19" s="1893">
        <f t="shared" si="3"/>
        <v>1</v>
      </c>
      <c r="AB19" s="1893">
        <f t="shared" si="4"/>
        <v>1</v>
      </c>
      <c r="AC19" s="1893">
        <f t="shared" si="5"/>
        <v>1</v>
      </c>
    </row>
    <row r="20" spans="1:29" ht="15">
      <c r="A20" s="408"/>
      <c r="B20" s="616"/>
      <c r="C20" s="426"/>
      <c r="D20" s="427"/>
      <c r="E20" s="428"/>
      <c r="F20" s="429"/>
      <c r="G20" s="2394"/>
      <c r="H20" s="427"/>
      <c r="I20" s="428"/>
      <c r="J20" s="427"/>
      <c r="K20" s="599"/>
      <c r="L20" s="1253"/>
      <c r="M20" s="1244"/>
      <c r="N20" s="1244"/>
      <c r="O20" s="1252"/>
      <c r="P20" s="3085"/>
      <c r="Q20" s="1889"/>
      <c r="R20" s="753"/>
      <c r="S20" s="754"/>
      <c r="T20" s="753"/>
      <c r="U20" s="754"/>
      <c r="V20" s="753"/>
      <c r="W20" s="754"/>
      <c r="X20" s="1890"/>
      <c r="Y20" s="3085"/>
      <c r="Z20" s="1892"/>
      <c r="AA20" s="1893">
        <v>1</v>
      </c>
      <c r="AB20" s="1893">
        <v>1</v>
      </c>
      <c r="AC20" s="1893">
        <v>1</v>
      </c>
    </row>
    <row r="21" spans="1:29" ht="28.5">
      <c r="A21" s="408"/>
      <c r="B21" s="617" t="s">
        <v>2469</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85"/>
      <c r="Q21" s="1889" t="str">
        <f>B21</f>
        <v>基础设施水平</v>
      </c>
      <c r="R21" s="753" t="s">
        <v>25</v>
      </c>
      <c r="S21" s="754">
        <f>F21</f>
        <v>100</v>
      </c>
      <c r="T21" s="753" t="s">
        <v>25</v>
      </c>
      <c r="U21" s="754">
        <f>H21</f>
        <v>100</v>
      </c>
      <c r="V21" s="753" t="s">
        <v>25</v>
      </c>
      <c r="W21" s="754">
        <f>J21</f>
        <v>100</v>
      </c>
      <c r="X21" s="1890"/>
      <c r="Y21" s="3085"/>
      <c r="Z21" s="1892" t="str">
        <f>Q21</f>
        <v>基础设施水平</v>
      </c>
      <c r="AA21" s="1893">
        <f t="shared" ref="AA21" si="8">D21/F21</f>
        <v>1</v>
      </c>
      <c r="AB21" s="1893">
        <f t="shared" ref="AB21" si="9">D21/H21</f>
        <v>1</v>
      </c>
      <c r="AC21" s="1893">
        <f t="shared" ref="AC21" si="10">D21/J21</f>
        <v>1</v>
      </c>
    </row>
    <row r="22" spans="1:29" ht="15">
      <c r="A22" s="408"/>
      <c r="B22" s="2398"/>
      <c r="C22" s="437"/>
      <c r="D22" s="427"/>
      <c r="E22" s="426"/>
      <c r="F22" s="429"/>
      <c r="G22" s="426"/>
      <c r="H22" s="427"/>
      <c r="I22" s="426"/>
      <c r="J22" s="427"/>
      <c r="K22" s="1469"/>
      <c r="L22" s="1253"/>
      <c r="M22" s="1244"/>
      <c r="N22" s="1244"/>
      <c r="O22" s="1252"/>
      <c r="P22" s="3085"/>
      <c r="Q22" s="1889"/>
      <c r="R22" s="753"/>
      <c r="S22" s="754"/>
      <c r="T22" s="753"/>
      <c r="U22" s="754"/>
      <c r="V22" s="753"/>
      <c r="W22" s="754"/>
      <c r="X22" s="1890"/>
      <c r="Y22" s="3085"/>
      <c r="Z22" s="1892"/>
      <c r="AA22" s="1893">
        <v>1</v>
      </c>
      <c r="AB22" s="1893">
        <v>1</v>
      </c>
      <c r="AC22" s="1893">
        <v>1</v>
      </c>
    </row>
    <row r="23" spans="1:29" ht="71.25">
      <c r="A23" s="408"/>
      <c r="B23" s="431" t="s">
        <v>2470</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85"/>
      <c r="Q23" s="1889" t="str">
        <f>B23</f>
        <v>环境质量</v>
      </c>
      <c r="R23" s="753" t="s">
        <v>25</v>
      </c>
      <c r="S23" s="754">
        <f>F23</f>
        <v>100</v>
      </c>
      <c r="T23" s="753" t="s">
        <v>25</v>
      </c>
      <c r="U23" s="754">
        <f>H23</f>
        <v>100</v>
      </c>
      <c r="V23" s="753" t="s">
        <v>25</v>
      </c>
      <c r="W23" s="754">
        <f>J23</f>
        <v>100</v>
      </c>
      <c r="X23" s="1890"/>
      <c r="Y23" s="3085"/>
      <c r="Z23" s="1892" t="str">
        <f>Q23</f>
        <v>环境质量</v>
      </c>
      <c r="AA23" s="1893">
        <f t="shared" si="3"/>
        <v>1</v>
      </c>
      <c r="AB23" s="1893">
        <f t="shared" si="4"/>
        <v>1</v>
      </c>
      <c r="AC23" s="1893">
        <f t="shared" si="5"/>
        <v>1</v>
      </c>
    </row>
    <row r="24" spans="1:29" ht="15">
      <c r="A24" s="408"/>
      <c r="B24" s="2398"/>
      <c r="C24" s="426"/>
      <c r="D24" s="427"/>
      <c r="E24" s="428"/>
      <c r="F24" s="429"/>
      <c r="G24" s="2394"/>
      <c r="H24" s="427"/>
      <c r="I24" s="428"/>
      <c r="J24" s="427"/>
      <c r="K24" s="599"/>
      <c r="L24" s="1253"/>
      <c r="M24" s="1244"/>
      <c r="N24" s="1244"/>
      <c r="O24" s="1252"/>
      <c r="P24" s="3085"/>
      <c r="Q24" s="1889"/>
      <c r="R24" s="753"/>
      <c r="S24" s="754"/>
      <c r="T24" s="753"/>
      <c r="U24" s="754"/>
      <c r="V24" s="753"/>
      <c r="W24" s="754"/>
      <c r="X24" s="1890"/>
      <c r="Y24" s="3085"/>
      <c r="Z24" s="1892"/>
      <c r="AA24" s="1893">
        <v>1</v>
      </c>
      <c r="AB24" s="1893">
        <v>1</v>
      </c>
      <c r="AC24" s="1893">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85"/>
      <c r="Q25" s="1889">
        <f>B25</f>
        <v>111</v>
      </c>
      <c r="R25" s="753" t="s">
        <v>25</v>
      </c>
      <c r="S25" s="754">
        <f>F25</f>
        <v>100</v>
      </c>
      <c r="T25" s="753" t="s">
        <v>25</v>
      </c>
      <c r="U25" s="754">
        <f>H25</f>
        <v>100</v>
      </c>
      <c r="V25" s="753" t="s">
        <v>25</v>
      </c>
      <c r="W25" s="754">
        <f>J25</f>
        <v>100</v>
      </c>
      <c r="X25" s="1890"/>
      <c r="Y25" s="3085"/>
      <c r="Z25" s="1892">
        <f>Q25</f>
        <v>111</v>
      </c>
      <c r="AA25" s="1893">
        <f t="shared" si="3"/>
        <v>1</v>
      </c>
      <c r="AB25" s="1893">
        <f t="shared" si="4"/>
        <v>1</v>
      </c>
      <c r="AC25" s="1893">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85"/>
      <c r="Q26" s="1889">
        <f t="shared" ref="Q26:Q40" si="11">B26</f>
        <v>111</v>
      </c>
      <c r="R26" s="753" t="s">
        <v>25</v>
      </c>
      <c r="S26" s="754">
        <f>F26</f>
        <v>100</v>
      </c>
      <c r="T26" s="753" t="s">
        <v>25</v>
      </c>
      <c r="U26" s="754">
        <f>H26</f>
        <v>100</v>
      </c>
      <c r="V26" s="753" t="s">
        <v>25</v>
      </c>
      <c r="W26" s="754">
        <f>J26</f>
        <v>100</v>
      </c>
      <c r="X26" s="1890"/>
      <c r="Y26" s="3085"/>
      <c r="Z26" s="1892">
        <f>Q26</f>
        <v>111</v>
      </c>
      <c r="AA26" s="1893">
        <f t="shared" si="3"/>
        <v>1</v>
      </c>
      <c r="AB26" s="1893">
        <f t="shared" si="4"/>
        <v>1</v>
      </c>
      <c r="AC26" s="1893">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85"/>
      <c r="Q27" s="1877">
        <f t="shared" si="11"/>
        <v>111</v>
      </c>
      <c r="R27" s="749" t="s">
        <v>25</v>
      </c>
      <c r="S27" s="750">
        <f>F27</f>
        <v>100</v>
      </c>
      <c r="T27" s="749" t="s">
        <v>25</v>
      </c>
      <c r="U27" s="750">
        <f>H27</f>
        <v>100</v>
      </c>
      <c r="V27" s="749" t="s">
        <v>25</v>
      </c>
      <c r="W27" s="750">
        <f>J27</f>
        <v>100</v>
      </c>
      <c r="X27" s="751"/>
      <c r="Y27" s="3085"/>
      <c r="Z27" s="23">
        <f>Q27</f>
        <v>111</v>
      </c>
      <c r="AA27" s="1893">
        <f>D27/F27</f>
        <v>1</v>
      </c>
      <c r="AB27" s="1893">
        <f>D27/H27</f>
        <v>1</v>
      </c>
      <c r="AC27" s="1893">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85"/>
      <c r="Q28" s="1889">
        <f t="shared" si="11"/>
        <v>111</v>
      </c>
      <c r="R28" s="753" t="s">
        <v>25</v>
      </c>
      <c r="S28" s="754">
        <f t="shared" ref="S28:S40" si="12">F28</f>
        <v>100</v>
      </c>
      <c r="T28" s="753" t="s">
        <v>25</v>
      </c>
      <c r="U28" s="754">
        <f t="shared" ref="U28:U40" si="13">H28</f>
        <v>100</v>
      </c>
      <c r="V28" s="753" t="s">
        <v>25</v>
      </c>
      <c r="W28" s="754">
        <f t="shared" ref="W28:W40" si="14">J28</f>
        <v>100</v>
      </c>
      <c r="X28" s="1890"/>
      <c r="Y28" s="3085"/>
      <c r="Z28" s="1892">
        <f t="shared" ref="Z28:Z40" si="15">Q28</f>
        <v>111</v>
      </c>
      <c r="AA28" s="1893">
        <f t="shared" si="3"/>
        <v>1</v>
      </c>
      <c r="AB28" s="1893">
        <f t="shared" si="4"/>
        <v>1</v>
      </c>
      <c r="AC28" s="1893">
        <f t="shared" si="5"/>
        <v>1</v>
      </c>
    </row>
    <row r="29" spans="1:29" ht="15">
      <c r="A29" s="447" t="s">
        <v>2358</v>
      </c>
      <c r="B29" s="28" t="s">
        <v>2473</v>
      </c>
      <c r="C29" s="2463" t="s">
        <v>2485</v>
      </c>
      <c r="D29" s="448">
        <v>100</v>
      </c>
      <c r="E29" s="2463"/>
      <c r="F29" s="442">
        <f>SUMIF(88:88,E29,89:89)-SUMIF(88:88,C29,89:89)+100</f>
        <v>100</v>
      </c>
      <c r="G29" s="2463"/>
      <c r="H29" s="415">
        <f>SUMIF(88:88,G29,89:89)-SUMIF(88:88,C29,89:89)+100</f>
        <v>100</v>
      </c>
      <c r="I29" s="2463"/>
      <c r="J29" s="448">
        <f>SUMIF(88:88,I29,89:89)-SUMIF(88:88,C29,89:89)+100</f>
        <v>100</v>
      </c>
      <c r="K29" s="596"/>
      <c r="L29" s="1253"/>
      <c r="M29" s="1244"/>
      <c r="N29" s="1244"/>
      <c r="O29" s="1252"/>
      <c r="P29" s="3133" t="s">
        <v>2360</v>
      </c>
      <c r="Q29" s="1889" t="str">
        <f t="shared" si="11"/>
        <v>建筑类型</v>
      </c>
      <c r="R29" s="753" t="s">
        <v>25</v>
      </c>
      <c r="S29" s="754">
        <f t="shared" si="12"/>
        <v>100</v>
      </c>
      <c r="T29" s="753" t="s">
        <v>25</v>
      </c>
      <c r="U29" s="754">
        <f t="shared" si="13"/>
        <v>100</v>
      </c>
      <c r="V29" s="753" t="s">
        <v>25</v>
      </c>
      <c r="W29" s="754">
        <f t="shared" si="14"/>
        <v>100</v>
      </c>
      <c r="X29" s="1890"/>
      <c r="Y29" s="3089" t="s">
        <v>2360</v>
      </c>
      <c r="Z29" s="1892" t="str">
        <f t="shared" si="15"/>
        <v>建筑类型</v>
      </c>
      <c r="AA29" s="1893">
        <f t="shared" si="3"/>
        <v>1</v>
      </c>
      <c r="AB29" s="1893">
        <f t="shared" si="4"/>
        <v>1</v>
      </c>
      <c r="AC29" s="1893">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89"/>
      <c r="Q30" s="755" t="str">
        <f t="shared" si="11"/>
        <v>项目建筑规模</v>
      </c>
      <c r="R30" s="756" t="s">
        <v>25</v>
      </c>
      <c r="S30" s="757" t="e">
        <f t="shared" si="12"/>
        <v>#N/A</v>
      </c>
      <c r="T30" s="756" t="s">
        <v>25</v>
      </c>
      <c r="U30" s="757" t="e">
        <f t="shared" si="13"/>
        <v>#N/A</v>
      </c>
      <c r="V30" s="756" t="s">
        <v>25</v>
      </c>
      <c r="W30" s="757" t="e">
        <f t="shared" si="14"/>
        <v>#N/A</v>
      </c>
      <c r="X30" s="758"/>
      <c r="Y30" s="3089"/>
      <c r="Z30" s="759" t="str">
        <f t="shared" si="15"/>
        <v>项目建筑规模</v>
      </c>
      <c r="AA30" s="1893" t="e">
        <f t="shared" si="3"/>
        <v>#N/A</v>
      </c>
      <c r="AB30" s="1893" t="e">
        <f t="shared" si="4"/>
        <v>#N/A</v>
      </c>
      <c r="AC30" s="1893" t="e">
        <f t="shared" si="5"/>
        <v>#N/A</v>
      </c>
    </row>
    <row r="31" spans="1:29" ht="15">
      <c r="A31" s="453"/>
      <c r="B31" s="402" t="s">
        <v>2362</v>
      </c>
      <c r="C31" s="441" t="s">
        <v>2486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89"/>
      <c r="Q31" s="1889" t="str">
        <f t="shared" si="11"/>
        <v>建筑结构</v>
      </c>
      <c r="R31" s="753" t="s">
        <v>25</v>
      </c>
      <c r="S31" s="754">
        <f t="shared" si="12"/>
        <v>100</v>
      </c>
      <c r="T31" s="753" t="s">
        <v>25</v>
      </c>
      <c r="U31" s="754">
        <f t="shared" si="13"/>
        <v>100</v>
      </c>
      <c r="V31" s="753" t="s">
        <v>25</v>
      </c>
      <c r="W31" s="754">
        <f t="shared" si="14"/>
        <v>100</v>
      </c>
      <c r="X31" s="1890"/>
      <c r="Y31" s="3089"/>
      <c r="Z31" s="1892" t="str">
        <f t="shared" si="15"/>
        <v>建筑结构</v>
      </c>
      <c r="AA31" s="1893">
        <f t="shared" si="3"/>
        <v>1</v>
      </c>
      <c r="AB31" s="1893">
        <f t="shared" si="4"/>
        <v>1</v>
      </c>
      <c r="AC31" s="1893">
        <f t="shared" si="5"/>
        <v>1</v>
      </c>
    </row>
    <row r="32" spans="1:29" ht="15">
      <c r="A32" s="453"/>
      <c r="B32" s="402" t="s">
        <v>2447</v>
      </c>
      <c r="C32" s="441" t="s">
        <v>2487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89"/>
      <c r="Q32" s="1889" t="str">
        <f t="shared" si="11"/>
        <v>公共部分装修</v>
      </c>
      <c r="R32" s="753" t="s">
        <v>25</v>
      </c>
      <c r="S32" s="754">
        <f t="shared" si="12"/>
        <v>100</v>
      </c>
      <c r="T32" s="753" t="s">
        <v>25</v>
      </c>
      <c r="U32" s="754">
        <f t="shared" si="13"/>
        <v>100</v>
      </c>
      <c r="V32" s="753" t="s">
        <v>25</v>
      </c>
      <c r="W32" s="754">
        <f t="shared" si="14"/>
        <v>100</v>
      </c>
      <c r="X32" s="1890"/>
      <c r="Y32" s="3089"/>
      <c r="Z32" s="1892" t="str">
        <f t="shared" si="15"/>
        <v>公共部分装修</v>
      </c>
      <c r="AA32" s="1893">
        <f t="shared" si="3"/>
        <v>1</v>
      </c>
      <c r="AB32" s="1893">
        <f t="shared" si="4"/>
        <v>1</v>
      </c>
      <c r="AC32" s="1893">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89"/>
      <c r="Q33" s="1889" t="str">
        <f t="shared" si="11"/>
        <v>成新度</v>
      </c>
      <c r="R33" s="753" t="s">
        <v>25</v>
      </c>
      <c r="S33" s="754" t="e">
        <f t="shared" si="12"/>
        <v>#N/A</v>
      </c>
      <c r="T33" s="753" t="s">
        <v>25</v>
      </c>
      <c r="U33" s="754" t="e">
        <f t="shared" si="13"/>
        <v>#N/A</v>
      </c>
      <c r="V33" s="753" t="s">
        <v>25</v>
      </c>
      <c r="W33" s="754" t="e">
        <f t="shared" si="14"/>
        <v>#N/A</v>
      </c>
      <c r="X33" s="1890"/>
      <c r="Y33" s="3089"/>
      <c r="Z33" s="1892" t="str">
        <f t="shared" si="15"/>
        <v>成新度</v>
      </c>
      <c r="AA33" s="1893" t="e">
        <f t="shared" si="3"/>
        <v>#N/A</v>
      </c>
      <c r="AB33" s="1893" t="e">
        <f t="shared" si="4"/>
        <v>#N/A</v>
      </c>
      <c r="AC33" s="1893" t="e">
        <f t="shared" si="5"/>
        <v>#N/A</v>
      </c>
    </row>
    <row r="34" spans="1:29" s="35" customFormat="1" ht="15">
      <c r="A34" s="454"/>
      <c r="B34" s="402" t="s">
        <v>2475</v>
      </c>
      <c r="C34" s="441" t="s">
        <v>2488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89"/>
      <c r="Q34" s="1877" t="str">
        <f t="shared" si="11"/>
        <v>物业管理</v>
      </c>
      <c r="R34" s="749" t="s">
        <v>25</v>
      </c>
      <c r="S34" s="750">
        <f t="shared" si="12"/>
        <v>100</v>
      </c>
      <c r="T34" s="749" t="s">
        <v>25</v>
      </c>
      <c r="U34" s="750">
        <f t="shared" si="13"/>
        <v>100</v>
      </c>
      <c r="V34" s="749" t="s">
        <v>25</v>
      </c>
      <c r="W34" s="750">
        <f t="shared" si="14"/>
        <v>100</v>
      </c>
      <c r="X34" s="751"/>
      <c r="Y34" s="3089"/>
      <c r="Z34" s="23" t="str">
        <f t="shared" si="15"/>
        <v>物业管理</v>
      </c>
      <c r="AA34" s="752">
        <f t="shared" si="3"/>
        <v>1</v>
      </c>
      <c r="AB34" s="752">
        <f t="shared" si="4"/>
        <v>1</v>
      </c>
      <c r="AC34" s="752">
        <f t="shared" si="5"/>
        <v>1</v>
      </c>
    </row>
    <row r="35" spans="1:29" ht="15">
      <c r="A35" s="453"/>
      <c r="B35" s="402" t="s">
        <v>2449</v>
      </c>
      <c r="C35" s="441" t="s">
        <v>2489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89" t="s">
        <v>2360</v>
      </c>
      <c r="Q35" s="1889" t="str">
        <f t="shared" si="11"/>
        <v>市政基础设施</v>
      </c>
      <c r="R35" s="753" t="s">
        <v>25</v>
      </c>
      <c r="S35" s="754">
        <f t="shared" si="12"/>
        <v>100</v>
      </c>
      <c r="T35" s="753" t="s">
        <v>25</v>
      </c>
      <c r="U35" s="754">
        <f t="shared" si="13"/>
        <v>100</v>
      </c>
      <c r="V35" s="753" t="s">
        <v>25</v>
      </c>
      <c r="W35" s="754">
        <f t="shared" si="14"/>
        <v>100</v>
      </c>
      <c r="X35" s="1890"/>
      <c r="Y35" s="3089" t="s">
        <v>2360</v>
      </c>
      <c r="Z35" s="1892" t="str">
        <f t="shared" si="15"/>
        <v>市政基础设施</v>
      </c>
      <c r="AA35" s="1893">
        <f t="shared" si="3"/>
        <v>1</v>
      </c>
      <c r="AB35" s="1893">
        <f t="shared" si="4"/>
        <v>1</v>
      </c>
      <c r="AC35" s="1893">
        <f t="shared" si="5"/>
        <v>1</v>
      </c>
    </row>
    <row r="36" spans="1:29" ht="15">
      <c r="A36" s="453"/>
      <c r="B36" s="402" t="s">
        <v>2454</v>
      </c>
      <c r="C36" s="441" t="s">
        <v>2487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89"/>
      <c r="Q36" s="1889" t="str">
        <f t="shared" si="11"/>
        <v>内部装修</v>
      </c>
      <c r="R36" s="753" t="s">
        <v>25</v>
      </c>
      <c r="S36" s="754">
        <f t="shared" si="12"/>
        <v>100</v>
      </c>
      <c r="T36" s="753" t="s">
        <v>25</v>
      </c>
      <c r="U36" s="754">
        <f t="shared" si="13"/>
        <v>100</v>
      </c>
      <c r="V36" s="753" t="s">
        <v>25</v>
      </c>
      <c r="W36" s="754">
        <f t="shared" si="14"/>
        <v>100</v>
      </c>
      <c r="X36" s="1890"/>
      <c r="Y36" s="3089"/>
      <c r="Z36" s="1892" t="str">
        <f t="shared" si="15"/>
        <v>内部装修</v>
      </c>
      <c r="AA36" s="1893">
        <f t="shared" si="3"/>
        <v>1</v>
      </c>
      <c r="AB36" s="1893">
        <f t="shared" si="4"/>
        <v>1</v>
      </c>
      <c r="AC36" s="1893">
        <f t="shared" si="5"/>
        <v>1</v>
      </c>
    </row>
    <row r="37" spans="1:29" ht="15">
      <c r="A37" s="453"/>
      <c r="B37" s="402" t="s">
        <v>2490</v>
      </c>
      <c r="C37" s="600" t="s">
        <v>2491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89"/>
      <c r="Q37" s="1889" t="str">
        <f t="shared" si="11"/>
        <v>内部装修状况</v>
      </c>
      <c r="R37" s="753" t="s">
        <v>25</v>
      </c>
      <c r="S37" s="754">
        <f t="shared" si="12"/>
        <v>0</v>
      </c>
      <c r="T37" s="753" t="s">
        <v>25</v>
      </c>
      <c r="U37" s="754">
        <f t="shared" si="13"/>
        <v>0</v>
      </c>
      <c r="V37" s="753" t="s">
        <v>25</v>
      </c>
      <c r="W37" s="754">
        <f t="shared" si="14"/>
        <v>0</v>
      </c>
      <c r="X37" s="1890"/>
      <c r="Y37" s="3089"/>
      <c r="Z37" s="1892" t="str">
        <f t="shared" si="15"/>
        <v>内部装修状况</v>
      </c>
      <c r="AA37" s="1893" t="e">
        <f t="shared" si="3"/>
        <v>#DIV/0!</v>
      </c>
      <c r="AB37" s="1893" t="e">
        <f t="shared" si="4"/>
        <v>#DIV/0!</v>
      </c>
      <c r="AC37" s="1893"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89"/>
      <c r="Q38" s="755">
        <f t="shared" si="11"/>
        <v>111</v>
      </c>
      <c r="R38" s="756" t="s">
        <v>25</v>
      </c>
      <c r="S38" s="757">
        <f t="shared" si="12"/>
        <v>100</v>
      </c>
      <c r="T38" s="756" t="s">
        <v>25</v>
      </c>
      <c r="U38" s="757">
        <f t="shared" si="13"/>
        <v>100</v>
      </c>
      <c r="V38" s="756" t="s">
        <v>25</v>
      </c>
      <c r="W38" s="757">
        <f t="shared" si="14"/>
        <v>100</v>
      </c>
      <c r="X38" s="758"/>
      <c r="Y38" s="3089"/>
      <c r="Z38" s="759">
        <f t="shared" si="15"/>
        <v>111</v>
      </c>
      <c r="AA38" s="1893">
        <f t="shared" si="3"/>
        <v>1</v>
      </c>
      <c r="AB38" s="1893">
        <f t="shared" si="4"/>
        <v>1</v>
      </c>
      <c r="AC38" s="1893">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89"/>
      <c r="Q39" s="1889">
        <f t="shared" si="11"/>
        <v>111</v>
      </c>
      <c r="R39" s="753" t="s">
        <v>25</v>
      </c>
      <c r="S39" s="754">
        <f t="shared" si="12"/>
        <v>100</v>
      </c>
      <c r="T39" s="753" t="s">
        <v>25</v>
      </c>
      <c r="U39" s="754">
        <f t="shared" si="13"/>
        <v>100</v>
      </c>
      <c r="V39" s="753" t="s">
        <v>25</v>
      </c>
      <c r="W39" s="754">
        <f t="shared" si="14"/>
        <v>100</v>
      </c>
      <c r="X39" s="1890"/>
      <c r="Y39" s="3089"/>
      <c r="Z39" s="1892">
        <f t="shared" si="15"/>
        <v>111</v>
      </c>
      <c r="AA39" s="1893">
        <f t="shared" si="3"/>
        <v>1</v>
      </c>
      <c r="AB39" s="1893">
        <f t="shared" si="4"/>
        <v>1</v>
      </c>
      <c r="AC39" s="1893">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90"/>
      <c r="Q40" s="1889">
        <f t="shared" si="11"/>
        <v>111</v>
      </c>
      <c r="R40" s="753" t="s">
        <v>25</v>
      </c>
      <c r="S40" s="754">
        <f t="shared" si="12"/>
        <v>100</v>
      </c>
      <c r="T40" s="753" t="s">
        <v>25</v>
      </c>
      <c r="U40" s="754">
        <f t="shared" si="13"/>
        <v>100</v>
      </c>
      <c r="V40" s="753" t="s">
        <v>25</v>
      </c>
      <c r="W40" s="754">
        <f t="shared" si="14"/>
        <v>100</v>
      </c>
      <c r="X40" s="1890"/>
      <c r="Y40" s="3090"/>
      <c r="Z40" s="1892">
        <f t="shared" si="15"/>
        <v>111</v>
      </c>
      <c r="AA40" s="1893">
        <f t="shared" si="3"/>
        <v>1</v>
      </c>
      <c r="AB40" s="1893">
        <f t="shared" si="4"/>
        <v>1</v>
      </c>
      <c r="AC40" s="1893">
        <f t="shared" si="5"/>
        <v>1</v>
      </c>
    </row>
    <row r="41" spans="1:29" ht="15">
      <c r="A41" s="460" t="s">
        <v>2372</v>
      </c>
      <c r="B41" s="461"/>
      <c r="C41" s="1502" t="s">
        <v>1</v>
      </c>
      <c r="D41" s="1503"/>
      <c r="E41" s="1504"/>
      <c r="F41" s="1505"/>
      <c r="G41" s="1506"/>
      <c r="H41" s="1507"/>
      <c r="I41" s="1504"/>
      <c r="J41" s="1507"/>
      <c r="K41" s="762"/>
      <c r="L41" s="1256"/>
      <c r="M41" s="1257"/>
      <c r="N41" s="1244"/>
      <c r="O41" s="1257"/>
      <c r="P41" s="3081" t="str">
        <f>A41</f>
        <v>成交单价（元/平方米）</v>
      </c>
      <c r="Q41" s="3081"/>
      <c r="R41" s="3077">
        <f>E41</f>
        <v>0</v>
      </c>
      <c r="S41" s="3077"/>
      <c r="T41" s="3077">
        <f>G41</f>
        <v>0</v>
      </c>
      <c r="U41" s="3077"/>
      <c r="V41" s="3077">
        <f>I41</f>
        <v>0</v>
      </c>
      <c r="W41" s="3077"/>
      <c r="X41" s="738"/>
      <c r="Y41" s="760"/>
      <c r="Z41" s="738"/>
      <c r="AA41" s="738"/>
      <c r="AB41" s="738"/>
      <c r="AC41" s="738"/>
    </row>
    <row r="42" spans="1:29" ht="15.75" thickBot="1">
      <c r="A42" s="467" t="s">
        <v>2455</v>
      </c>
      <c r="B42" s="468"/>
      <c r="C42" s="1508" t="e">
        <f>R43</f>
        <v>#DIV/0!</v>
      </c>
      <c r="D42" s="1509"/>
      <c r="E42" s="1510" t="e">
        <f>R42</f>
        <v>#DIV/0!</v>
      </c>
      <c r="F42" s="1510"/>
      <c r="G42" s="1508" t="e">
        <f>T42</f>
        <v>#DIV/0!</v>
      </c>
      <c r="H42" s="1509"/>
      <c r="I42" s="1510" t="e">
        <f>V42</f>
        <v>#DIV/0!</v>
      </c>
      <c r="J42" s="1509"/>
      <c r="K42" s="763"/>
      <c r="L42" s="1256"/>
      <c r="M42" s="1257"/>
      <c r="N42" s="1244"/>
      <c r="O42" s="1257"/>
      <c r="P42" s="3081" t="str">
        <f>A42</f>
        <v>比较价值（元/平方米）</v>
      </c>
      <c r="Q42" s="3081"/>
      <c r="R42" s="3077" t="e">
        <f>IF(E1="售价",ROUND(PRODUCT(R41,AA7:AA40),0),ROUND(PRODUCT(R41,AA7:AA40),1))</f>
        <v>#DIV/0!</v>
      </c>
      <c r="S42" s="3077"/>
      <c r="T42" s="3077" t="e">
        <f>IF(E1="售价",ROUND(PRODUCT(T41,AB7:AB40),0),ROUND(PRODUCT(T41,AB7:AB40),1))</f>
        <v>#DIV/0!</v>
      </c>
      <c r="U42" s="3077"/>
      <c r="V42" s="3077" t="e">
        <f>IF(E1="售价",ROUND(PRODUCT(V41,AC7:AC40),0),ROUND(PRODUCT(V41,AC7:AC40),1))</f>
        <v>#DIV/0!</v>
      </c>
      <c r="W42" s="3077"/>
      <c r="X42" s="738"/>
      <c r="Y42" s="738"/>
      <c r="Z42" s="738"/>
      <c r="AA42" s="738"/>
      <c r="AB42" s="738"/>
      <c r="AC42" s="738"/>
    </row>
    <row r="43" spans="1:29" ht="15.75" thickBot="1">
      <c r="A43" s="473" t="s">
        <v>2477</v>
      </c>
      <c r="B43" s="474"/>
      <c r="C43" s="1512" t="e">
        <f>R43</f>
        <v>#DIV/0!</v>
      </c>
      <c r="D43" s="1512"/>
      <c r="E43" s="1512"/>
      <c r="F43" s="1512"/>
      <c r="G43" s="1512"/>
      <c r="H43" s="1512"/>
      <c r="I43" s="1512"/>
      <c r="J43" s="1512"/>
      <c r="K43" s="764"/>
      <c r="L43" s="1256"/>
      <c r="M43" s="1257"/>
      <c r="N43" s="1257"/>
      <c r="O43" s="1257"/>
      <c r="P43" s="3078" t="str">
        <f>A43</f>
        <v>估价对象XX用房的比较价值（楼面单价，元/平方米）</v>
      </c>
      <c r="Q43" s="3079"/>
      <c r="R43" s="3080" t="e">
        <f>IF(E1="售价",ROUND(AVERAGE(R42:V42),0),ROUND(AVERAGE(R42:V42),1))</f>
        <v>#DIV/0!</v>
      </c>
      <c r="S43" s="3080"/>
      <c r="T43" s="3080"/>
      <c r="U43" s="3080"/>
      <c r="V43" s="3080"/>
      <c r="W43" s="308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2456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2457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2459</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2383</v>
      </c>
      <c r="B57" s="509" t="s">
        <v>2348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2353</v>
      </c>
      <c r="B70" s="509" t="s">
        <v>2492</v>
      </c>
      <c r="C70" s="557" t="s">
        <v>2392</v>
      </c>
      <c r="D70" s="557" t="s">
        <v>2393</v>
      </c>
      <c r="E70" s="557" t="s">
        <v>2394</v>
      </c>
      <c r="F70" s="557" t="s">
        <v>2395</v>
      </c>
      <c r="G70" s="557" t="s">
        <v>2396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2469</v>
      </c>
      <c r="C76" s="522" t="s">
        <v>2399</v>
      </c>
      <c r="D76" s="522" t="s">
        <v>2400</v>
      </c>
      <c r="E76" s="522" t="s">
        <v>2401</v>
      </c>
      <c r="F76" s="522" t="s">
        <v>2402</v>
      </c>
      <c r="G76" s="522" t="s">
        <v>2403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2479</v>
      </c>
      <c r="C78" s="562" t="s">
        <v>2392</v>
      </c>
      <c r="D78" s="562" t="s">
        <v>2393</v>
      </c>
      <c r="E78" s="562" t="s">
        <v>2394</v>
      </c>
      <c r="F78" s="562" t="s">
        <v>2395</v>
      </c>
      <c r="G78" s="562" t="s">
        <v>2396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2"/>
      <c r="B87" s="553"/>
      <c r="C87" s="554"/>
      <c r="D87" s="554"/>
      <c r="E87" s="554"/>
      <c r="F87" s="554"/>
      <c r="G87" s="575"/>
      <c r="H87" s="575"/>
      <c r="I87" s="575"/>
      <c r="J87" s="575"/>
      <c r="K87" s="575"/>
      <c r="L87" s="575"/>
      <c r="M87" s="576"/>
      <c r="N87" s="1268"/>
      <c r="O87" s="1268"/>
      <c r="P87" s="22"/>
      <c r="Q87" s="485"/>
    </row>
    <row r="88" spans="1:17">
      <c r="A88" s="508" t="s">
        <v>2358</v>
      </c>
      <c r="B88" s="509" t="s">
        <v>2407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2409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2416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2493</v>
      </c>
      <c r="C106" s="562" t="s">
        <v>2392</v>
      </c>
      <c r="D106" s="562" t="s">
        <v>2393</v>
      </c>
      <c r="E106" s="562" t="s">
        <v>2394</v>
      </c>
      <c r="F106" s="562" t="s">
        <v>2395</v>
      </c>
      <c r="G106" s="562" t="s">
        <v>2396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2494</v>
      </c>
      <c r="B1" s="2470"/>
      <c r="C1" s="1730"/>
      <c r="D1" s="1731"/>
      <c r="E1" s="2372"/>
      <c r="F1" s="1732" t="s">
        <v>2327</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1994</v>
      </c>
      <c r="B2" s="1726" t="e">
        <f ca="1">IF(D2="——",IF(B37="元/平方米",IF(C2="元",ROUND(C39*D3,0),ROUND(C39*D3/10000,0)),IF(C2="元",ROUND(F3*C39,0),ROUND(F3*C39/10000,0))),IF(B37="元/平方米",IF(C2="元",ROUND(C39*D3,0),ROUND(C39*D3/10000,0)),IF(C2="元",ROUND(F3*C39,0),ROUND(F3*C39/10000,0)))-E2)</f>
        <v>#DIV/0!</v>
      </c>
      <c r="C2" s="163" t="str">
        <f>'数据-取费表'!B3</f>
        <v>元</v>
      </c>
      <c r="D2" s="2374"/>
      <c r="E2" s="1214" t="e">
        <f ca="1">SUMIF(INDIRECT("'"&amp;G2&amp;"'"&amp;"!A:A"),"承租人权益价值",INDIRECT("'"&amp;G2&amp;"'"&amp;"!c:c"))</f>
        <v>#REF!</v>
      </c>
      <c r="F2" s="2375" t="str">
        <f>C2</f>
        <v>元</v>
      </c>
      <c r="G2" s="237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1995</v>
      </c>
      <c r="B3" s="593" t="e">
        <f>IF(AND(D2="——",B37="元/平方米"),C39,ROUND(F3*C39/D3,0))</f>
        <v>#DIV/0!</v>
      </c>
      <c r="C3" s="379" t="s">
        <v>2328</v>
      </c>
      <c r="D3" s="378">
        <f>IF(C1="仅计算典型户型",'数据-取费表'!E5,'数据-取费表'!B5)</f>
        <v>110</v>
      </c>
      <c r="E3" s="1092" t="s">
        <v>2495</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2329</v>
      </c>
      <c r="B4" s="381"/>
      <c r="C4" s="3108" t="s">
        <v>2330</v>
      </c>
      <c r="D4" s="3109"/>
      <c r="E4" s="3110" t="s">
        <v>2331</v>
      </c>
      <c r="F4" s="3111"/>
      <c r="G4" s="3108" t="s">
        <v>2332</v>
      </c>
      <c r="H4" s="3109"/>
      <c r="I4" s="3108" t="s">
        <v>2333</v>
      </c>
      <c r="J4" s="3109"/>
      <c r="K4" s="594" t="s">
        <v>2334</v>
      </c>
      <c r="L4" s="1514"/>
      <c r="M4" s="425"/>
      <c r="N4" s="425"/>
      <c r="O4" s="425"/>
      <c r="P4" s="3112" t="s">
        <v>2335</v>
      </c>
      <c r="Q4" s="3113"/>
      <c r="R4" s="3097" t="s">
        <v>2331</v>
      </c>
      <c r="S4" s="3098"/>
      <c r="T4" s="3097" t="s">
        <v>2332</v>
      </c>
      <c r="U4" s="3098"/>
      <c r="V4" s="3118" t="s">
        <v>2333</v>
      </c>
      <c r="W4" s="3118"/>
      <c r="X4" s="1890"/>
      <c r="Y4" s="3097" t="s">
        <v>2335</v>
      </c>
      <c r="Z4" s="3098"/>
      <c r="AA4" s="3105" t="s">
        <v>2331</v>
      </c>
      <c r="AB4" s="3106" t="s">
        <v>2332</v>
      </c>
      <c r="AC4" s="3105" t="s">
        <v>2333</v>
      </c>
    </row>
    <row r="5" spans="1:29" ht="15">
      <c r="A5" s="383"/>
      <c r="B5" s="384"/>
      <c r="C5" s="3093" t="s">
        <v>2336</v>
      </c>
      <c r="D5" s="3094"/>
      <c r="E5" s="3119" t="s">
        <v>2337</v>
      </c>
      <c r="F5" s="3120"/>
      <c r="G5" s="3093" t="s">
        <v>2338</v>
      </c>
      <c r="H5" s="3094"/>
      <c r="I5" s="3093" t="s">
        <v>2339</v>
      </c>
      <c r="J5" s="3094"/>
      <c r="K5" s="594"/>
      <c r="L5" s="1514"/>
      <c r="M5" s="425"/>
      <c r="N5" s="425"/>
      <c r="O5" s="425"/>
      <c r="P5" s="3114"/>
      <c r="Q5" s="3115"/>
      <c r="R5" s="3099"/>
      <c r="S5" s="3100"/>
      <c r="T5" s="3099"/>
      <c r="U5" s="3100"/>
      <c r="V5" s="3118"/>
      <c r="W5" s="3118"/>
      <c r="X5" s="1890"/>
      <c r="Y5" s="3099"/>
      <c r="Z5" s="3100"/>
      <c r="AA5" s="3106"/>
      <c r="AB5" s="3106"/>
      <c r="AC5" s="3106"/>
    </row>
    <row r="6" spans="1:29" ht="15.75" thickBot="1">
      <c r="A6" s="385"/>
      <c r="B6" s="386"/>
      <c r="C6" s="3091" t="s">
        <v>2340</v>
      </c>
      <c r="D6" s="3092"/>
      <c r="E6" s="3121" t="s">
        <v>2340</v>
      </c>
      <c r="F6" s="3122"/>
      <c r="G6" s="3091" t="s">
        <v>2340</v>
      </c>
      <c r="H6" s="3092"/>
      <c r="I6" s="3091" t="s">
        <v>2340</v>
      </c>
      <c r="J6" s="3092"/>
      <c r="K6" s="594" t="s">
        <v>2341</v>
      </c>
      <c r="L6" s="1514"/>
      <c r="M6" s="425"/>
      <c r="N6" s="425"/>
      <c r="O6" s="425"/>
      <c r="P6" s="3116"/>
      <c r="Q6" s="3117"/>
      <c r="R6" s="3099"/>
      <c r="S6" s="3100"/>
      <c r="T6" s="3101"/>
      <c r="U6" s="3102"/>
      <c r="V6" s="3118"/>
      <c r="W6" s="3118"/>
      <c r="X6" s="1890"/>
      <c r="Y6" s="3101"/>
      <c r="Z6" s="3102"/>
      <c r="AA6" s="3107"/>
      <c r="AB6" s="3107"/>
      <c r="AC6" s="3107"/>
    </row>
    <row r="7" spans="1:29" s="35" customFormat="1" ht="15.75" thickBot="1">
      <c r="A7" s="387" t="s">
        <v>2342</v>
      </c>
      <c r="B7" s="388"/>
      <c r="C7" s="389">
        <f>'数据-取费表'!B2</f>
        <v>43077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95" t="s">
        <v>2343</v>
      </c>
      <c r="Q7" s="3103"/>
      <c r="R7" s="749" t="s">
        <v>25</v>
      </c>
      <c r="S7" s="750">
        <f t="shared" ref="S7:S14" si="0">F7</f>
        <v>0</v>
      </c>
      <c r="T7" s="749" t="s">
        <v>25</v>
      </c>
      <c r="U7" s="750">
        <f t="shared" ref="U7:U14" si="1">H7</f>
        <v>0</v>
      </c>
      <c r="V7" s="749" t="s">
        <v>25</v>
      </c>
      <c r="W7" s="750">
        <f t="shared" ref="W7:W14" si="2">J7</f>
        <v>0</v>
      </c>
      <c r="X7" s="751"/>
      <c r="Y7" s="3095" t="s">
        <v>2343</v>
      </c>
      <c r="Z7" s="3096"/>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95" t="s">
        <v>2346</v>
      </c>
      <c r="Q8" s="3096"/>
      <c r="R8" s="749" t="s">
        <v>25</v>
      </c>
      <c r="S8" s="750">
        <f t="shared" si="0"/>
        <v>0</v>
      </c>
      <c r="T8" s="749" t="s">
        <v>25</v>
      </c>
      <c r="U8" s="750">
        <f t="shared" si="1"/>
        <v>0</v>
      </c>
      <c r="V8" s="749" t="s">
        <v>25</v>
      </c>
      <c r="W8" s="750">
        <f t="shared" si="2"/>
        <v>0</v>
      </c>
      <c r="X8" s="751"/>
      <c r="Y8" s="3095" t="s">
        <v>2346</v>
      </c>
      <c r="Z8" s="3096"/>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81" t="s">
        <v>2349</v>
      </c>
      <c r="Q9" s="1877" t="str">
        <f t="shared" ref="Q9:Q14" si="6">B9</f>
        <v>用途</v>
      </c>
      <c r="R9" s="749" t="s">
        <v>25</v>
      </c>
      <c r="S9" s="750">
        <f t="shared" si="0"/>
        <v>100</v>
      </c>
      <c r="T9" s="749" t="s">
        <v>25</v>
      </c>
      <c r="U9" s="750">
        <f t="shared" si="1"/>
        <v>100</v>
      </c>
      <c r="V9" s="749" t="s">
        <v>25</v>
      </c>
      <c r="W9" s="750">
        <f t="shared" si="2"/>
        <v>100</v>
      </c>
      <c r="X9" s="751"/>
      <c r="Y9" s="2907"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81"/>
      <c r="Q10" s="1877" t="str">
        <f t="shared" si="6"/>
        <v>土地使用年限（年）</v>
      </c>
      <c r="R10" s="749" t="s">
        <v>25</v>
      </c>
      <c r="S10" s="750">
        <f t="shared" si="0"/>
        <v>100</v>
      </c>
      <c r="T10" s="749" t="s">
        <v>25</v>
      </c>
      <c r="U10" s="750">
        <f t="shared" si="1"/>
        <v>100</v>
      </c>
      <c r="V10" s="749" t="s">
        <v>25</v>
      </c>
      <c r="W10" s="750">
        <f t="shared" si="2"/>
        <v>100</v>
      </c>
      <c r="X10" s="751"/>
      <c r="Y10" s="290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891"/>
      <c r="P11" s="3081"/>
      <c r="Q11" s="1877">
        <f t="shared" si="6"/>
        <v>111</v>
      </c>
      <c r="R11" s="749" t="s">
        <v>25</v>
      </c>
      <c r="S11" s="750">
        <f t="shared" si="0"/>
        <v>100</v>
      </c>
      <c r="T11" s="749" t="s">
        <v>25</v>
      </c>
      <c r="U11" s="750">
        <f t="shared" si="1"/>
        <v>100</v>
      </c>
      <c r="V11" s="749" t="s">
        <v>25</v>
      </c>
      <c r="W11" s="750">
        <f t="shared" si="2"/>
        <v>100</v>
      </c>
      <c r="X11" s="751"/>
      <c r="Y11" s="290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81"/>
      <c r="Q12" s="1877">
        <f t="shared" si="6"/>
        <v>111</v>
      </c>
      <c r="R12" s="749" t="s">
        <v>25</v>
      </c>
      <c r="S12" s="750">
        <f t="shared" si="0"/>
        <v>100</v>
      </c>
      <c r="T12" s="749" t="s">
        <v>25</v>
      </c>
      <c r="U12" s="750">
        <f t="shared" si="1"/>
        <v>100</v>
      </c>
      <c r="V12" s="749" t="s">
        <v>25</v>
      </c>
      <c r="W12" s="750">
        <f t="shared" si="2"/>
        <v>100</v>
      </c>
      <c r="X12" s="751"/>
      <c r="Y12" s="290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891"/>
      <c r="P13" s="3081"/>
      <c r="Q13" s="1877">
        <f t="shared" si="6"/>
        <v>111</v>
      </c>
      <c r="R13" s="749" t="s">
        <v>25</v>
      </c>
      <c r="S13" s="750">
        <f t="shared" si="0"/>
        <v>100</v>
      </c>
      <c r="T13" s="749" t="s">
        <v>25</v>
      </c>
      <c r="U13" s="750">
        <f t="shared" si="1"/>
        <v>100</v>
      </c>
      <c r="V13" s="749" t="s">
        <v>25</v>
      </c>
      <c r="W13" s="750">
        <f t="shared" si="2"/>
        <v>100</v>
      </c>
      <c r="X13" s="751"/>
      <c r="Y13" s="2907"/>
      <c r="Z13" s="23">
        <f t="shared" si="7"/>
        <v>111</v>
      </c>
      <c r="AA13" s="752">
        <f t="shared" si="3"/>
        <v>1</v>
      </c>
      <c r="AB13" s="752">
        <f t="shared" si="4"/>
        <v>1</v>
      </c>
      <c r="AC13" s="752">
        <f t="shared" si="5"/>
        <v>1</v>
      </c>
    </row>
    <row r="14" spans="1:29" ht="114">
      <c r="A14" s="380" t="s">
        <v>2353</v>
      </c>
      <c r="B14" s="613" t="s">
        <v>2496</v>
      </c>
      <c r="C14" s="1480" t="str">
        <f>IF(B1="工业",估价对象房地状况!G4,估价对象房地状况!C6)</f>
        <v>周边2公里内最高级别道路高速公路—G6，周边遍布十余条公交站点及地铁10号线（牡丹园站）等，综合评价交通便捷度较好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891"/>
      <c r="P14" s="3084" t="s">
        <v>2354</v>
      </c>
      <c r="Q14" s="1889" t="str">
        <f t="shared" si="6"/>
        <v>交通便捷度</v>
      </c>
      <c r="R14" s="753" t="s">
        <v>25</v>
      </c>
      <c r="S14" s="754">
        <f t="shared" si="0"/>
        <v>100</v>
      </c>
      <c r="T14" s="753" t="s">
        <v>25</v>
      </c>
      <c r="U14" s="754">
        <f t="shared" si="1"/>
        <v>100</v>
      </c>
      <c r="V14" s="753" t="s">
        <v>25</v>
      </c>
      <c r="W14" s="754">
        <f t="shared" si="2"/>
        <v>100</v>
      </c>
      <c r="X14" s="1890"/>
      <c r="Y14" s="3084" t="s">
        <v>2354</v>
      </c>
      <c r="Z14" s="1892" t="str">
        <f t="shared" si="7"/>
        <v>交通便捷度</v>
      </c>
      <c r="AA14" s="1893">
        <f t="shared" si="3"/>
        <v>1</v>
      </c>
      <c r="AB14" s="1893">
        <f t="shared" si="4"/>
        <v>1</v>
      </c>
      <c r="AC14" s="1893">
        <f t="shared" si="5"/>
        <v>1</v>
      </c>
    </row>
    <row r="15" spans="1:29" ht="15">
      <c r="A15" s="383"/>
      <c r="B15" s="631"/>
      <c r="C15" s="1481"/>
      <c r="D15" s="1475"/>
      <c r="E15" s="426"/>
      <c r="F15" s="427"/>
      <c r="G15" s="1472"/>
      <c r="H15" s="430"/>
      <c r="I15" s="426"/>
      <c r="J15" s="427"/>
      <c r="K15" s="599"/>
      <c r="L15" s="1522"/>
      <c r="M15" s="425"/>
      <c r="N15" s="425"/>
      <c r="O15" s="1891"/>
      <c r="P15" s="3085"/>
      <c r="Q15" s="1889"/>
      <c r="R15" s="753"/>
      <c r="S15" s="754"/>
      <c r="T15" s="753"/>
      <c r="U15" s="754"/>
      <c r="V15" s="753"/>
      <c r="W15" s="754"/>
      <c r="X15" s="1890"/>
      <c r="Y15" s="3085"/>
      <c r="Z15" s="1892"/>
      <c r="AA15" s="1893">
        <v>1</v>
      </c>
      <c r="AB15" s="1893">
        <v>1</v>
      </c>
      <c r="AC15" s="1893">
        <v>1</v>
      </c>
    </row>
    <row r="16" spans="1:29" ht="85.5">
      <c r="A16" s="383"/>
      <c r="B16" s="615" t="s">
        <v>2468</v>
      </c>
      <c r="C16" s="1482" t="str">
        <f>IF(B1="工业",估价对象房地状况!G5,估价对象房地状况!C7)</f>
        <v>2公里内有餐饮、医院、超市、购物中心、学校等，估价对象所在区域公共配套设施较齐备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891"/>
      <c r="P16" s="3085"/>
      <c r="Q16" s="1889" t="str">
        <f>B16</f>
        <v>公共配套设施</v>
      </c>
      <c r="R16" s="753" t="s">
        <v>25</v>
      </c>
      <c r="S16" s="754">
        <f>F16</f>
        <v>100</v>
      </c>
      <c r="T16" s="753" t="s">
        <v>25</v>
      </c>
      <c r="U16" s="754">
        <f>H16</f>
        <v>100</v>
      </c>
      <c r="V16" s="753" t="s">
        <v>25</v>
      </c>
      <c r="W16" s="754">
        <f>J16</f>
        <v>100</v>
      </c>
      <c r="X16" s="1890"/>
      <c r="Y16" s="3085"/>
      <c r="Z16" s="1892" t="str">
        <f>Q16</f>
        <v>公共配套设施</v>
      </c>
      <c r="AA16" s="1893">
        <f t="shared" si="3"/>
        <v>1</v>
      </c>
      <c r="AB16" s="1893">
        <f t="shared" si="4"/>
        <v>1</v>
      </c>
      <c r="AC16" s="1893">
        <f t="shared" si="5"/>
        <v>1</v>
      </c>
    </row>
    <row r="17" spans="1:29" ht="15">
      <c r="A17" s="383"/>
      <c r="B17" s="616"/>
      <c r="C17" s="1470"/>
      <c r="D17" s="1476"/>
      <c r="E17" s="428"/>
      <c r="F17" s="430"/>
      <c r="G17" s="428"/>
      <c r="H17" s="427"/>
      <c r="I17" s="428"/>
      <c r="J17" s="427"/>
      <c r="K17" s="599"/>
      <c r="L17" s="1522"/>
      <c r="M17" s="425"/>
      <c r="N17" s="425"/>
      <c r="O17" s="1891"/>
      <c r="P17" s="3085"/>
      <c r="Q17" s="1889"/>
      <c r="R17" s="753"/>
      <c r="S17" s="754"/>
      <c r="T17" s="753"/>
      <c r="U17" s="754"/>
      <c r="V17" s="753"/>
      <c r="W17" s="754"/>
      <c r="X17" s="1890"/>
      <c r="Y17" s="3085"/>
      <c r="Z17" s="1892"/>
      <c r="AA17" s="1893">
        <v>1</v>
      </c>
      <c r="AB17" s="1893">
        <v>1</v>
      </c>
      <c r="AC17" s="1893">
        <v>1</v>
      </c>
    </row>
    <row r="18" spans="1:29" ht="15">
      <c r="A18" s="383"/>
      <c r="B18" s="617" t="s">
        <v>2469</v>
      </c>
      <c r="C18" s="1482" t="str">
        <f>IF(B1="工业",估价对象房地状况!G6,估价对象房地状况!C8)</f>
        <v>五通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891"/>
      <c r="P18" s="3085"/>
      <c r="Q18" s="1889" t="str">
        <f>B18</f>
        <v>基础设施水平</v>
      </c>
      <c r="R18" s="753" t="s">
        <v>25</v>
      </c>
      <c r="S18" s="754">
        <f>F18</f>
        <v>100</v>
      </c>
      <c r="T18" s="753" t="s">
        <v>25</v>
      </c>
      <c r="U18" s="754">
        <f>H18</f>
        <v>100</v>
      </c>
      <c r="V18" s="753" t="s">
        <v>25</v>
      </c>
      <c r="W18" s="754">
        <f>J18</f>
        <v>100</v>
      </c>
      <c r="X18" s="1890"/>
      <c r="Y18" s="3085"/>
      <c r="Z18" s="1892" t="str">
        <f>Q18</f>
        <v>基础设施水平</v>
      </c>
      <c r="AA18" s="1893">
        <f t="shared" ref="AA18" si="8">D18/F18</f>
        <v>1</v>
      </c>
      <c r="AB18" s="1893">
        <f t="shared" ref="AB18" si="9">D18/H18</f>
        <v>1</v>
      </c>
      <c r="AC18" s="1893">
        <f t="shared" ref="AC18" si="10">D18/J18</f>
        <v>1</v>
      </c>
    </row>
    <row r="19" spans="1:29" ht="15">
      <c r="A19" s="383"/>
      <c r="B19" s="617"/>
      <c r="C19" s="1471"/>
      <c r="D19" s="1476"/>
      <c r="E19" s="1468"/>
      <c r="F19" s="430"/>
      <c r="G19" s="1468"/>
      <c r="H19" s="427"/>
      <c r="I19" s="428"/>
      <c r="J19" s="427"/>
      <c r="K19" s="1469"/>
      <c r="L19" s="1522"/>
      <c r="M19" s="425"/>
      <c r="N19" s="425"/>
      <c r="O19" s="1891"/>
      <c r="P19" s="3085"/>
      <c r="Q19" s="1889"/>
      <c r="R19" s="753"/>
      <c r="S19" s="754"/>
      <c r="T19" s="753"/>
      <c r="U19" s="754"/>
      <c r="V19" s="753"/>
      <c r="W19" s="754"/>
      <c r="X19" s="1890"/>
      <c r="Y19" s="3085"/>
      <c r="Z19" s="1892"/>
      <c r="AA19" s="1893">
        <v>1</v>
      </c>
      <c r="AB19" s="1893">
        <v>1</v>
      </c>
      <c r="AC19" s="1893">
        <v>1</v>
      </c>
    </row>
    <row r="20" spans="1:29" ht="71.25">
      <c r="A20" s="383"/>
      <c r="B20" s="615" t="s">
        <v>2497</v>
      </c>
      <c r="C20" s="1482" t="str">
        <f>IF(B1="工业",估价对象房地状况!G7,估价对象房地状况!C9)</f>
        <v>区域自然环境：元大都遗址公园；人文环境；综合评价环境状况一般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891"/>
      <c r="P20" s="3085"/>
      <c r="Q20" s="1889" t="str">
        <f>B20</f>
        <v>自然及人文环境</v>
      </c>
      <c r="R20" s="753" t="s">
        <v>25</v>
      </c>
      <c r="S20" s="754">
        <f>F20</f>
        <v>100</v>
      </c>
      <c r="T20" s="753" t="s">
        <v>25</v>
      </c>
      <c r="U20" s="754">
        <f>H20</f>
        <v>100</v>
      </c>
      <c r="V20" s="753" t="s">
        <v>25</v>
      </c>
      <c r="W20" s="754">
        <f>J20</f>
        <v>100</v>
      </c>
      <c r="X20" s="1890"/>
      <c r="Y20" s="3085"/>
      <c r="Z20" s="1892" t="str">
        <f>Q20</f>
        <v>自然及人文环境</v>
      </c>
      <c r="AA20" s="1893">
        <f t="shared" si="3"/>
        <v>1</v>
      </c>
      <c r="AB20" s="1893">
        <f t="shared" si="4"/>
        <v>1</v>
      </c>
      <c r="AC20" s="1893">
        <f t="shared" si="5"/>
        <v>1</v>
      </c>
    </row>
    <row r="21" spans="1:29" ht="15">
      <c r="A21" s="383"/>
      <c r="B21" s="616"/>
      <c r="C21" s="1481"/>
      <c r="D21" s="1475"/>
      <c r="E21" s="426"/>
      <c r="F21" s="427"/>
      <c r="G21" s="1472"/>
      <c r="H21" s="427"/>
      <c r="I21" s="426"/>
      <c r="J21" s="427"/>
      <c r="K21" s="599"/>
      <c r="L21" s="1522"/>
      <c r="M21" s="425"/>
      <c r="N21" s="425"/>
      <c r="O21" s="1891"/>
      <c r="P21" s="3085"/>
      <c r="Q21" s="1889"/>
      <c r="R21" s="753"/>
      <c r="S21" s="754"/>
      <c r="T21" s="753"/>
      <c r="U21" s="754"/>
      <c r="V21" s="753"/>
      <c r="W21" s="754"/>
      <c r="X21" s="1890"/>
      <c r="Y21" s="3085"/>
      <c r="Z21" s="1892"/>
      <c r="AA21" s="1893">
        <v>1</v>
      </c>
      <c r="AB21" s="1893">
        <v>1</v>
      </c>
      <c r="AC21" s="1893">
        <v>1</v>
      </c>
    </row>
    <row r="22" spans="1:29" ht="15">
      <c r="A22" s="383"/>
      <c r="B22" s="615" t="s">
        <v>2498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891"/>
      <c r="P22" s="3085"/>
      <c r="Q22" s="1889" t="str">
        <f>B22</f>
        <v>楼层</v>
      </c>
      <c r="R22" s="753" t="s">
        <v>25</v>
      </c>
      <c r="S22" s="754">
        <f>F22</f>
        <v>100</v>
      </c>
      <c r="T22" s="753" t="s">
        <v>25</v>
      </c>
      <c r="U22" s="754">
        <f>H22</f>
        <v>100</v>
      </c>
      <c r="V22" s="753" t="s">
        <v>25</v>
      </c>
      <c r="W22" s="754">
        <f>J22</f>
        <v>100</v>
      </c>
      <c r="X22" s="1890"/>
      <c r="Y22" s="3085"/>
      <c r="Z22" s="1892" t="str">
        <f>Q22</f>
        <v>楼层</v>
      </c>
      <c r="AA22" s="1893">
        <f t="shared" si="3"/>
        <v>1</v>
      </c>
      <c r="AB22" s="1893">
        <f t="shared" si="4"/>
        <v>1</v>
      </c>
      <c r="AC22" s="189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891"/>
      <c r="P23" s="3085"/>
      <c r="Q23" s="1889">
        <f>B23</f>
        <v>111</v>
      </c>
      <c r="R23" s="753" t="s">
        <v>25</v>
      </c>
      <c r="S23" s="754">
        <f>F23</f>
        <v>100</v>
      </c>
      <c r="T23" s="753" t="s">
        <v>25</v>
      </c>
      <c r="U23" s="754">
        <f>H23</f>
        <v>100</v>
      </c>
      <c r="V23" s="753" t="s">
        <v>25</v>
      </c>
      <c r="W23" s="754">
        <f>J23</f>
        <v>100</v>
      </c>
      <c r="X23" s="1890"/>
      <c r="Y23" s="3085"/>
      <c r="Z23" s="1892">
        <f>Q23</f>
        <v>111</v>
      </c>
      <c r="AA23" s="1893">
        <f t="shared" si="3"/>
        <v>1</v>
      </c>
      <c r="AB23" s="1893">
        <f t="shared" si="4"/>
        <v>1</v>
      </c>
      <c r="AC23" s="189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891"/>
      <c r="P24" s="3085"/>
      <c r="Q24" s="1889">
        <f t="shared" ref="Q24:Q36" si="11">B24</f>
        <v>111</v>
      </c>
      <c r="R24" s="753" t="s">
        <v>25</v>
      </c>
      <c r="S24" s="754">
        <f>F24</f>
        <v>100</v>
      </c>
      <c r="T24" s="753" t="s">
        <v>25</v>
      </c>
      <c r="U24" s="754">
        <f>H24</f>
        <v>100</v>
      </c>
      <c r="V24" s="753" t="s">
        <v>25</v>
      </c>
      <c r="W24" s="754">
        <f>J24</f>
        <v>100</v>
      </c>
      <c r="X24" s="1890"/>
      <c r="Y24" s="3085"/>
      <c r="Z24" s="1892">
        <f>Q24</f>
        <v>111</v>
      </c>
      <c r="AA24" s="1893">
        <f t="shared" si="3"/>
        <v>1</v>
      </c>
      <c r="AB24" s="1893">
        <f t="shared" si="4"/>
        <v>1</v>
      </c>
      <c r="AC24" s="189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85"/>
      <c r="Q25" s="1877">
        <f t="shared" si="11"/>
        <v>111</v>
      </c>
      <c r="R25" s="749" t="s">
        <v>25</v>
      </c>
      <c r="S25" s="750">
        <f>F25</f>
        <v>100</v>
      </c>
      <c r="T25" s="749" t="s">
        <v>25</v>
      </c>
      <c r="U25" s="750">
        <f>H25</f>
        <v>100</v>
      </c>
      <c r="V25" s="749" t="s">
        <v>25</v>
      </c>
      <c r="W25" s="750">
        <f>J25</f>
        <v>100</v>
      </c>
      <c r="X25" s="751"/>
      <c r="Y25" s="3085"/>
      <c r="Z25" s="23">
        <f>Q25</f>
        <v>111</v>
      </c>
      <c r="AA25" s="1893">
        <f>D25/F25</f>
        <v>1</v>
      </c>
      <c r="AB25" s="1893">
        <f>D25/H25</f>
        <v>1</v>
      </c>
      <c r="AC25" s="1893">
        <f>D25/J25</f>
        <v>1</v>
      </c>
    </row>
    <row r="26" spans="1:29" ht="15">
      <c r="A26" s="635" t="s">
        <v>2358</v>
      </c>
      <c r="B26" s="27" t="s">
        <v>2499</v>
      </c>
      <c r="C26" s="247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891"/>
      <c r="P26" s="3133" t="s">
        <v>2360</v>
      </c>
      <c r="Q26" s="1889" t="str">
        <f t="shared" si="11"/>
        <v>配套类型</v>
      </c>
      <c r="R26" s="753" t="s">
        <v>25</v>
      </c>
      <c r="S26" s="754">
        <f t="shared" ref="S26:S36" si="12">F26</f>
        <v>100</v>
      </c>
      <c r="T26" s="753" t="s">
        <v>25</v>
      </c>
      <c r="U26" s="754">
        <f t="shared" ref="U26:U36" si="13">H26</f>
        <v>100</v>
      </c>
      <c r="V26" s="753" t="s">
        <v>25</v>
      </c>
      <c r="W26" s="754">
        <f t="shared" ref="W26:W36" si="14">J26</f>
        <v>100</v>
      </c>
      <c r="X26" s="1890"/>
      <c r="Y26" s="3089" t="s">
        <v>2360</v>
      </c>
      <c r="Z26" s="1892" t="str">
        <f t="shared" ref="Z26:Z36" si="15">Q26</f>
        <v>配套类型</v>
      </c>
      <c r="AA26" s="1893">
        <f t="shared" si="3"/>
        <v>1</v>
      </c>
      <c r="AB26" s="1893">
        <f t="shared" si="4"/>
        <v>1</v>
      </c>
      <c r="AC26" s="1893">
        <f t="shared" si="5"/>
        <v>1</v>
      </c>
    </row>
    <row r="27" spans="1:29" s="452" customFormat="1" ht="15">
      <c r="A27" s="636"/>
      <c r="B27" s="637" t="s">
        <v>2500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89"/>
      <c r="Q27" s="755" t="str">
        <f t="shared" si="11"/>
        <v>项目停车位配比</v>
      </c>
      <c r="R27" s="756" t="s">
        <v>25</v>
      </c>
      <c r="S27" s="757">
        <f t="shared" si="12"/>
        <v>100</v>
      </c>
      <c r="T27" s="756" t="s">
        <v>25</v>
      </c>
      <c r="U27" s="757">
        <f t="shared" si="13"/>
        <v>100</v>
      </c>
      <c r="V27" s="756" t="s">
        <v>25</v>
      </c>
      <c r="W27" s="757">
        <f t="shared" si="14"/>
        <v>100</v>
      </c>
      <c r="X27" s="758"/>
      <c r="Y27" s="3089"/>
      <c r="Z27" s="759" t="str">
        <f t="shared" si="15"/>
        <v>项目停车位配比</v>
      </c>
      <c r="AA27" s="1893">
        <f t="shared" si="3"/>
        <v>1</v>
      </c>
      <c r="AB27" s="1893">
        <f t="shared" si="4"/>
        <v>1</v>
      </c>
      <c r="AC27" s="1893">
        <f t="shared" si="5"/>
        <v>1</v>
      </c>
    </row>
    <row r="28" spans="1:29" ht="15">
      <c r="A28" s="639"/>
      <c r="B28" s="637" t="s">
        <v>2501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891"/>
      <c r="P28" s="3089"/>
      <c r="Q28" s="1889" t="str">
        <f t="shared" si="11"/>
        <v>公共部分装修</v>
      </c>
      <c r="R28" s="753" t="s">
        <v>25</v>
      </c>
      <c r="S28" s="754">
        <f t="shared" si="12"/>
        <v>100</v>
      </c>
      <c r="T28" s="753" t="s">
        <v>25</v>
      </c>
      <c r="U28" s="754">
        <f t="shared" si="13"/>
        <v>100</v>
      </c>
      <c r="V28" s="753" t="s">
        <v>25</v>
      </c>
      <c r="W28" s="754">
        <f t="shared" si="14"/>
        <v>100</v>
      </c>
      <c r="X28" s="1890"/>
      <c r="Y28" s="3089"/>
      <c r="Z28" s="1892" t="str">
        <f t="shared" si="15"/>
        <v>公共部分装修</v>
      </c>
      <c r="AA28" s="1893">
        <f t="shared" si="3"/>
        <v>1</v>
      </c>
      <c r="AB28" s="1893">
        <f t="shared" si="4"/>
        <v>1</v>
      </c>
      <c r="AC28" s="1893">
        <f t="shared" si="5"/>
        <v>1</v>
      </c>
    </row>
    <row r="29" spans="1:29" ht="15">
      <c r="A29" s="639"/>
      <c r="B29" s="637" t="s">
        <v>2502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891"/>
      <c r="P29" s="3089"/>
      <c r="Q29" s="1889" t="str">
        <f t="shared" si="11"/>
        <v>成新率</v>
      </c>
      <c r="R29" s="753" t="s">
        <v>25</v>
      </c>
      <c r="S29" s="754" t="e">
        <f t="shared" si="12"/>
        <v>#N/A</v>
      </c>
      <c r="T29" s="753" t="s">
        <v>25</v>
      </c>
      <c r="U29" s="754" t="e">
        <f t="shared" si="13"/>
        <v>#N/A</v>
      </c>
      <c r="V29" s="753" t="s">
        <v>25</v>
      </c>
      <c r="W29" s="754" t="e">
        <f t="shared" si="14"/>
        <v>#N/A</v>
      </c>
      <c r="X29" s="1890"/>
      <c r="Y29" s="3089"/>
      <c r="Z29" s="1892" t="str">
        <f t="shared" si="15"/>
        <v>成新率</v>
      </c>
      <c r="AA29" s="1893" t="e">
        <f t="shared" si="3"/>
        <v>#N/A</v>
      </c>
      <c r="AB29" s="1893" t="e">
        <f t="shared" si="4"/>
        <v>#N/A</v>
      </c>
      <c r="AC29" s="1893" t="e">
        <f t="shared" si="5"/>
        <v>#N/A</v>
      </c>
    </row>
    <row r="30" spans="1:29" ht="15">
      <c r="A30" s="639"/>
      <c r="B30" s="637" t="s">
        <v>2503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891"/>
      <c r="P30" s="3089"/>
      <c r="Q30" s="1889" t="str">
        <f t="shared" si="11"/>
        <v>物业等级</v>
      </c>
      <c r="R30" s="753" t="s">
        <v>25</v>
      </c>
      <c r="S30" s="754">
        <f t="shared" si="12"/>
        <v>100</v>
      </c>
      <c r="T30" s="753" t="s">
        <v>25</v>
      </c>
      <c r="U30" s="754">
        <f t="shared" si="13"/>
        <v>100</v>
      </c>
      <c r="V30" s="753" t="s">
        <v>25</v>
      </c>
      <c r="W30" s="754">
        <f t="shared" si="14"/>
        <v>100</v>
      </c>
      <c r="X30" s="1890"/>
      <c r="Y30" s="3089"/>
      <c r="Z30" s="1892" t="str">
        <f t="shared" si="15"/>
        <v>物业等级</v>
      </c>
      <c r="AA30" s="1893">
        <f t="shared" si="3"/>
        <v>1</v>
      </c>
      <c r="AB30" s="1893">
        <f t="shared" si="4"/>
        <v>1</v>
      </c>
      <c r="AC30" s="1893">
        <f t="shared" si="5"/>
        <v>1</v>
      </c>
    </row>
    <row r="31" spans="1:29" s="35" customFormat="1" ht="15">
      <c r="A31" s="641"/>
      <c r="B31" s="637" t="s">
        <v>2504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89"/>
      <c r="Q31" s="1877" t="str">
        <f t="shared" si="11"/>
        <v>停车位面积</v>
      </c>
      <c r="R31" s="749" t="s">
        <v>25</v>
      </c>
      <c r="S31" s="750" t="e">
        <f t="shared" si="12"/>
        <v>#N/A</v>
      </c>
      <c r="T31" s="749" t="s">
        <v>25</v>
      </c>
      <c r="U31" s="750" t="e">
        <f t="shared" si="13"/>
        <v>#N/A</v>
      </c>
      <c r="V31" s="749" t="s">
        <v>25</v>
      </c>
      <c r="W31" s="750" t="e">
        <f t="shared" si="14"/>
        <v>#N/A</v>
      </c>
      <c r="X31" s="751"/>
      <c r="Y31" s="3089"/>
      <c r="Z31" s="23" t="str">
        <f t="shared" si="15"/>
        <v>停车位面积</v>
      </c>
      <c r="AA31" s="752" t="e">
        <f t="shared" si="3"/>
        <v>#N/A</v>
      </c>
      <c r="AB31" s="752" t="e">
        <f t="shared" si="4"/>
        <v>#N/A</v>
      </c>
      <c r="AC31" s="752" t="e">
        <f t="shared" si="5"/>
        <v>#N/A</v>
      </c>
    </row>
    <row r="32" spans="1:29" ht="15">
      <c r="A32" s="639"/>
      <c r="B32" s="637" t="s">
        <v>2505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891"/>
      <c r="P32" s="3089" t="s">
        <v>2360</v>
      </c>
      <c r="Q32" s="1889" t="str">
        <f t="shared" si="11"/>
        <v>车位类型</v>
      </c>
      <c r="R32" s="753" t="s">
        <v>25</v>
      </c>
      <c r="S32" s="754">
        <f t="shared" si="12"/>
        <v>100</v>
      </c>
      <c r="T32" s="753" t="s">
        <v>25</v>
      </c>
      <c r="U32" s="754">
        <f t="shared" si="13"/>
        <v>100</v>
      </c>
      <c r="V32" s="753" t="s">
        <v>25</v>
      </c>
      <c r="W32" s="754">
        <f t="shared" si="14"/>
        <v>100</v>
      </c>
      <c r="X32" s="1890"/>
      <c r="Y32" s="3089" t="s">
        <v>2360</v>
      </c>
      <c r="Z32" s="1892" t="str">
        <f t="shared" si="15"/>
        <v>车位类型</v>
      </c>
      <c r="AA32" s="1893">
        <f t="shared" si="3"/>
        <v>1</v>
      </c>
      <c r="AB32" s="1893">
        <f t="shared" si="4"/>
        <v>1</v>
      </c>
      <c r="AC32" s="1893">
        <f t="shared" si="5"/>
        <v>1</v>
      </c>
    </row>
    <row r="33" spans="1:29" ht="15">
      <c r="A33" s="639"/>
      <c r="B33" s="637" t="s">
        <v>2506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891"/>
      <c r="P33" s="3089"/>
      <c r="Q33" s="1889" t="str">
        <f t="shared" si="11"/>
        <v>是否直接入户</v>
      </c>
      <c r="R33" s="753" t="s">
        <v>25</v>
      </c>
      <c r="S33" s="754">
        <f t="shared" si="12"/>
        <v>100</v>
      </c>
      <c r="T33" s="753" t="s">
        <v>25</v>
      </c>
      <c r="U33" s="754">
        <f t="shared" si="13"/>
        <v>100</v>
      </c>
      <c r="V33" s="753" t="s">
        <v>25</v>
      </c>
      <c r="W33" s="754">
        <f t="shared" si="14"/>
        <v>100</v>
      </c>
      <c r="X33" s="1890"/>
      <c r="Y33" s="3089"/>
      <c r="Z33" s="1892" t="str">
        <f t="shared" si="15"/>
        <v>是否直接入户</v>
      </c>
      <c r="AA33" s="1893">
        <f t="shared" si="3"/>
        <v>1</v>
      </c>
      <c r="AB33" s="1893">
        <f t="shared" si="4"/>
        <v>1</v>
      </c>
      <c r="AC33" s="189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891"/>
      <c r="P34" s="3089"/>
      <c r="Q34" s="1889">
        <f t="shared" si="11"/>
        <v>111</v>
      </c>
      <c r="R34" s="753" t="s">
        <v>25</v>
      </c>
      <c r="S34" s="754">
        <f t="shared" si="12"/>
        <v>100</v>
      </c>
      <c r="T34" s="753" t="s">
        <v>25</v>
      </c>
      <c r="U34" s="754">
        <f t="shared" si="13"/>
        <v>100</v>
      </c>
      <c r="V34" s="753" t="s">
        <v>25</v>
      </c>
      <c r="W34" s="754">
        <f t="shared" si="14"/>
        <v>100</v>
      </c>
      <c r="X34" s="1890"/>
      <c r="Y34" s="3089"/>
      <c r="Z34" s="1892">
        <f t="shared" si="15"/>
        <v>111</v>
      </c>
      <c r="AA34" s="1893">
        <f t="shared" si="3"/>
        <v>1</v>
      </c>
      <c r="AB34" s="1893">
        <f t="shared" si="4"/>
        <v>1</v>
      </c>
      <c r="AC34" s="189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89"/>
      <c r="Q35" s="755">
        <f t="shared" si="11"/>
        <v>111</v>
      </c>
      <c r="R35" s="756" t="s">
        <v>25</v>
      </c>
      <c r="S35" s="757">
        <f t="shared" si="12"/>
        <v>100</v>
      </c>
      <c r="T35" s="756" t="s">
        <v>25</v>
      </c>
      <c r="U35" s="757">
        <f t="shared" si="13"/>
        <v>100</v>
      </c>
      <c r="V35" s="756" t="s">
        <v>25</v>
      </c>
      <c r="W35" s="757">
        <f t="shared" si="14"/>
        <v>100</v>
      </c>
      <c r="X35" s="758"/>
      <c r="Y35" s="3089"/>
      <c r="Z35" s="759">
        <f t="shared" si="15"/>
        <v>111</v>
      </c>
      <c r="AA35" s="1893">
        <f t="shared" si="3"/>
        <v>1</v>
      </c>
      <c r="AB35" s="1893">
        <f t="shared" si="4"/>
        <v>1</v>
      </c>
      <c r="AC35" s="189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891"/>
      <c r="P36" s="3089"/>
      <c r="Q36" s="1889">
        <f t="shared" si="11"/>
        <v>111</v>
      </c>
      <c r="R36" s="753" t="s">
        <v>25</v>
      </c>
      <c r="S36" s="754">
        <f t="shared" si="12"/>
        <v>100</v>
      </c>
      <c r="T36" s="753" t="s">
        <v>25</v>
      </c>
      <c r="U36" s="754">
        <f t="shared" si="13"/>
        <v>100</v>
      </c>
      <c r="V36" s="753" t="s">
        <v>25</v>
      </c>
      <c r="W36" s="754">
        <f t="shared" si="14"/>
        <v>100</v>
      </c>
      <c r="X36" s="1890"/>
      <c r="Y36" s="3089"/>
      <c r="Z36" s="1892">
        <f t="shared" si="15"/>
        <v>111</v>
      </c>
      <c r="AA36" s="1893">
        <f t="shared" si="3"/>
        <v>1</v>
      </c>
      <c r="AB36" s="1893">
        <f t="shared" si="4"/>
        <v>1</v>
      </c>
      <c r="AC36" s="1893">
        <f t="shared" si="5"/>
        <v>1</v>
      </c>
    </row>
    <row r="37" spans="1:29" ht="15">
      <c r="A37" s="460" t="s">
        <v>2507</v>
      </c>
      <c r="B37" s="1093" t="s">
        <v>2508</v>
      </c>
      <c r="C37" s="1502" t="s">
        <v>1</v>
      </c>
      <c r="D37" s="1503"/>
      <c r="E37" s="1504"/>
      <c r="F37" s="1505"/>
      <c r="G37" s="1506"/>
      <c r="H37" s="1507"/>
      <c r="I37" s="1504"/>
      <c r="J37" s="1507"/>
      <c r="K37" s="603"/>
      <c r="L37" s="1525"/>
      <c r="M37" s="738"/>
      <c r="N37" s="425"/>
      <c r="O37" s="738"/>
      <c r="P37" s="3081" t="str">
        <f>A37</f>
        <v>成交单价</v>
      </c>
      <c r="Q37" s="3081"/>
      <c r="R37" s="3077">
        <f>E37</f>
        <v>0</v>
      </c>
      <c r="S37" s="3077"/>
      <c r="T37" s="3077">
        <f>G37</f>
        <v>0</v>
      </c>
      <c r="U37" s="3077"/>
      <c r="V37" s="3077">
        <f>I37</f>
        <v>0</v>
      </c>
      <c r="W37" s="3077"/>
      <c r="X37" s="738"/>
      <c r="Y37" s="760"/>
      <c r="Z37" s="738"/>
      <c r="AA37" s="738"/>
      <c r="AB37" s="738"/>
      <c r="AC37" s="738"/>
    </row>
    <row r="38" spans="1:29" ht="15.75" thickBot="1">
      <c r="A38" s="467" t="s">
        <v>2509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81" t="str">
        <f>A38</f>
        <v>比较价值</v>
      </c>
      <c r="Q38" s="3081"/>
      <c r="R38" s="3077" t="e">
        <f>IF(E1="售价",ROUND(PRODUCT(R37,AA7:AA36),0),ROUND(PRODUCT(R37,AA7:AA36),1))</f>
        <v>#DIV/0!</v>
      </c>
      <c r="S38" s="3077"/>
      <c r="T38" s="3077" t="e">
        <f>IF(E1="售价",ROUND(PRODUCT(T37,AB7:AB36),0),ROUND(PRODUCT(T37,AB7:AB36),1))</f>
        <v>#DIV/0!</v>
      </c>
      <c r="U38" s="3077"/>
      <c r="V38" s="3077" t="e">
        <f>IF(E1="售价",ROUND(PRODUCT(V37,AC7:AC36),0),ROUND(PRODUCT(V37,AC7:AC36),1))</f>
        <v>#DIV/0!</v>
      </c>
      <c r="W38" s="3077"/>
      <c r="X38" s="738"/>
      <c r="Y38" s="738"/>
      <c r="Z38" s="738"/>
      <c r="AA38" s="738"/>
      <c r="AB38" s="738"/>
      <c r="AC38" s="738"/>
    </row>
    <row r="39" spans="1:29" ht="15.75" thickBot="1">
      <c r="A39" s="473" t="s">
        <v>2510</v>
      </c>
      <c r="B39" s="474"/>
      <c r="C39" s="1512" t="e">
        <f>R39</f>
        <v>#DIV/0!</v>
      </c>
      <c r="D39" s="1512"/>
      <c r="E39" s="1512"/>
      <c r="F39" s="1512"/>
      <c r="G39" s="1512"/>
      <c r="H39" s="1512"/>
      <c r="I39" s="1512"/>
      <c r="J39" s="1512"/>
      <c r="K39" s="605"/>
      <c r="L39" s="1525"/>
      <c r="M39" s="738"/>
      <c r="N39" s="738"/>
      <c r="O39" s="738"/>
      <c r="P39" s="3078" t="str">
        <f>A39</f>
        <v>估价对象XX用房的比较价值（楼面单价，元/平方米）</v>
      </c>
      <c r="Q39" s="3079"/>
      <c r="R39" s="3080" t="e">
        <f>IF(E1="售价",ROUND(AVERAGE(R38:V38),0),ROUND(AVERAGE(R38:V38),1))</f>
        <v>#DIV/0!</v>
      </c>
      <c r="S39" s="3080"/>
      <c r="T39" s="3080"/>
      <c r="U39" s="3080"/>
      <c r="V39" s="3080"/>
      <c r="W39" s="308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2514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2515</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2469</v>
      </c>
      <c r="C67" s="522" t="s">
        <v>2399</v>
      </c>
      <c r="D67" s="522" t="s">
        <v>2400</v>
      </c>
      <c r="E67" s="522" t="s">
        <v>2401</v>
      </c>
      <c r="F67" s="522" t="s">
        <v>2402</v>
      </c>
      <c r="G67" s="522" t="s">
        <v>2403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2494</v>
      </c>
      <c r="B1" s="2470"/>
      <c r="C1" s="1730"/>
      <c r="D1" s="1740"/>
      <c r="E1" s="2372"/>
      <c r="F1" s="1741" t="s">
        <v>2327</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1994</v>
      </c>
      <c r="B2" s="1726" t="e">
        <f ca="1">IF(D2="——",IF(C2="元",ROUND(C37*D3,0),ROUND(C37*D3/10000,0)),IF(C2="元",ROUND(C37*D3,0),ROUND(C37*D3/10000,0))-E2)</f>
        <v>#DIV/0!</v>
      </c>
      <c r="C2" s="163" t="str">
        <f>'数据-取费表'!B3</f>
        <v>元</v>
      </c>
      <c r="D2" s="2374"/>
      <c r="E2" s="1739" t="e">
        <f ca="1">SUMIF(INDIRECT("'"&amp;G2&amp;"'"&amp;"!A:A"),"承租人权益价值",INDIRECT("'"&amp;G2&amp;"'"&amp;"!c:c"))</f>
        <v>#REF!</v>
      </c>
      <c r="F2" s="2375" t="str">
        <f>C2</f>
        <v>元</v>
      </c>
      <c r="G2" s="237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1995</v>
      </c>
      <c r="B3" s="593" t="e">
        <f ca="1">ROUND(IF(D2="——",C37,IF(C2="万元",B2*10000/D3,B2/D3)),0)</f>
        <v>#DIV/0!</v>
      </c>
      <c r="C3" s="379" t="s">
        <v>2328</v>
      </c>
      <c r="D3" s="378">
        <f>IF(C1="仅计算典型户型",'数据-取费表'!E5,'数据-取费表'!B5)</f>
        <v>110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2329</v>
      </c>
      <c r="B4" s="381"/>
      <c r="C4" s="3108" t="s">
        <v>2330</v>
      </c>
      <c r="D4" s="3109"/>
      <c r="E4" s="3110" t="s">
        <v>2331</v>
      </c>
      <c r="F4" s="3111"/>
      <c r="G4" s="3108" t="s">
        <v>2332</v>
      </c>
      <c r="H4" s="3109"/>
      <c r="I4" s="3108" t="s">
        <v>2333</v>
      </c>
      <c r="J4" s="3109"/>
      <c r="K4" s="594" t="s">
        <v>2334</v>
      </c>
      <c r="L4" s="1243"/>
      <c r="M4" s="1244"/>
      <c r="N4" s="1244"/>
      <c r="O4" s="1244"/>
      <c r="P4" s="3112" t="s">
        <v>2335</v>
      </c>
      <c r="Q4" s="3113"/>
      <c r="R4" s="3097" t="s">
        <v>2331</v>
      </c>
      <c r="S4" s="3098"/>
      <c r="T4" s="3097" t="s">
        <v>2332</v>
      </c>
      <c r="U4" s="3098"/>
      <c r="V4" s="3118" t="s">
        <v>2333</v>
      </c>
      <c r="W4" s="3118"/>
      <c r="X4" s="1890"/>
      <c r="Y4" s="3097" t="s">
        <v>2335</v>
      </c>
      <c r="Z4" s="3098"/>
      <c r="AA4" s="3105" t="s">
        <v>2331</v>
      </c>
      <c r="AB4" s="3106" t="s">
        <v>2332</v>
      </c>
      <c r="AC4" s="3105" t="s">
        <v>2333</v>
      </c>
    </row>
    <row r="5" spans="1:29" ht="15">
      <c r="A5" s="383"/>
      <c r="B5" s="384"/>
      <c r="C5" s="3093" t="s">
        <v>2336</v>
      </c>
      <c r="D5" s="3094"/>
      <c r="E5" s="3119" t="s">
        <v>2337</v>
      </c>
      <c r="F5" s="3120"/>
      <c r="G5" s="3093" t="s">
        <v>2338</v>
      </c>
      <c r="H5" s="3094"/>
      <c r="I5" s="3093" t="s">
        <v>2339</v>
      </c>
      <c r="J5" s="3094"/>
      <c r="K5" s="594"/>
      <c r="L5" s="1243"/>
      <c r="M5" s="1244"/>
      <c r="N5" s="1244"/>
      <c r="O5" s="1244"/>
      <c r="P5" s="3114"/>
      <c r="Q5" s="3115"/>
      <c r="R5" s="3099"/>
      <c r="S5" s="3100"/>
      <c r="T5" s="3099"/>
      <c r="U5" s="3100"/>
      <c r="V5" s="3118"/>
      <c r="W5" s="3118"/>
      <c r="X5" s="1890"/>
      <c r="Y5" s="3099"/>
      <c r="Z5" s="3100"/>
      <c r="AA5" s="3106"/>
      <c r="AB5" s="3106"/>
      <c r="AC5" s="3106"/>
    </row>
    <row r="6" spans="1:29" ht="15.75" thickBot="1">
      <c r="A6" s="385"/>
      <c r="B6" s="386"/>
      <c r="C6" s="3091" t="s">
        <v>2340</v>
      </c>
      <c r="D6" s="3092"/>
      <c r="E6" s="3121" t="s">
        <v>2340</v>
      </c>
      <c r="F6" s="3122"/>
      <c r="G6" s="3091" t="s">
        <v>2340</v>
      </c>
      <c r="H6" s="3092"/>
      <c r="I6" s="3091" t="s">
        <v>2340</v>
      </c>
      <c r="J6" s="3092"/>
      <c r="K6" s="594" t="s">
        <v>2341</v>
      </c>
      <c r="L6" s="1243"/>
      <c r="M6" s="1244"/>
      <c r="N6" s="1244"/>
      <c r="O6" s="1244"/>
      <c r="P6" s="3116"/>
      <c r="Q6" s="3117"/>
      <c r="R6" s="3099"/>
      <c r="S6" s="3100"/>
      <c r="T6" s="3101"/>
      <c r="U6" s="3102"/>
      <c r="V6" s="3118"/>
      <c r="W6" s="3118"/>
      <c r="X6" s="1890"/>
      <c r="Y6" s="3101"/>
      <c r="Z6" s="3102"/>
      <c r="AA6" s="3107"/>
      <c r="AB6" s="3107"/>
      <c r="AC6" s="3107"/>
    </row>
    <row r="7" spans="1:29" s="35" customFormat="1" ht="15.75" thickBot="1">
      <c r="A7" s="387" t="s">
        <v>2342</v>
      </c>
      <c r="B7" s="388"/>
      <c r="C7" s="389">
        <f>'数据-取费表'!B2</f>
        <v>43077</v>
      </c>
      <c r="D7" s="390">
        <v>100</v>
      </c>
      <c r="E7" s="2456"/>
      <c r="F7" s="390">
        <f>SUMIF(46:46,YEAR(E7)&amp;"-"&amp;MONTH(E7),47:47)</f>
        <v>0</v>
      </c>
      <c r="G7" s="391"/>
      <c r="H7" s="390">
        <f>SUMIF(46:46,YEAR(G7)&amp;"-"&amp;MONTH(G7),47:47)</f>
        <v>0</v>
      </c>
      <c r="I7" s="391"/>
      <c r="J7" s="390">
        <f>SUMIF(46:46,YEAR(I7)&amp;"-"&amp;MONTH(I7),47:47)</f>
        <v>0</v>
      </c>
      <c r="K7" s="595"/>
      <c r="L7" s="1245"/>
      <c r="M7" s="1246"/>
      <c r="N7" s="1246"/>
      <c r="O7" s="1246"/>
      <c r="P7" s="3095" t="s">
        <v>2343</v>
      </c>
      <c r="Q7" s="3103"/>
      <c r="R7" s="749" t="s">
        <v>25</v>
      </c>
      <c r="S7" s="750">
        <f t="shared" ref="S7:S14" si="0">F7</f>
        <v>0</v>
      </c>
      <c r="T7" s="749" t="s">
        <v>25</v>
      </c>
      <c r="U7" s="750">
        <f t="shared" ref="U7:U14" si="1">H7</f>
        <v>0</v>
      </c>
      <c r="V7" s="749" t="s">
        <v>25</v>
      </c>
      <c r="W7" s="750">
        <f t="shared" ref="W7:W14" si="2">J7</f>
        <v>0</v>
      </c>
      <c r="X7" s="751"/>
      <c r="Y7" s="3095" t="s">
        <v>2343</v>
      </c>
      <c r="Z7" s="3096"/>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95" t="s">
        <v>2346</v>
      </c>
      <c r="Q8" s="3096"/>
      <c r="R8" s="749" t="s">
        <v>25</v>
      </c>
      <c r="S8" s="750">
        <f t="shared" si="0"/>
        <v>0</v>
      </c>
      <c r="T8" s="749" t="s">
        <v>25</v>
      </c>
      <c r="U8" s="750">
        <f t="shared" si="1"/>
        <v>0</v>
      </c>
      <c r="V8" s="749" t="s">
        <v>25</v>
      </c>
      <c r="W8" s="750">
        <f t="shared" si="2"/>
        <v>0</v>
      </c>
      <c r="X8" s="751"/>
      <c r="Y8" s="3095" t="s">
        <v>2346</v>
      </c>
      <c r="Z8" s="3096"/>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81" t="s">
        <v>2349</v>
      </c>
      <c r="Q9" s="1877" t="str">
        <f t="shared" ref="Q9:Q14" si="6">B9</f>
        <v>用途</v>
      </c>
      <c r="R9" s="749" t="s">
        <v>25</v>
      </c>
      <c r="S9" s="750">
        <f t="shared" si="0"/>
        <v>100</v>
      </c>
      <c r="T9" s="749" t="s">
        <v>25</v>
      </c>
      <c r="U9" s="750">
        <f t="shared" si="1"/>
        <v>100</v>
      </c>
      <c r="V9" s="749" t="s">
        <v>25</v>
      </c>
      <c r="W9" s="750">
        <f t="shared" si="2"/>
        <v>100</v>
      </c>
      <c r="X9" s="751"/>
      <c r="Y9" s="2907"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81"/>
      <c r="Q10" s="1877" t="str">
        <f t="shared" si="6"/>
        <v>土地使用年限（年）</v>
      </c>
      <c r="R10" s="749" t="s">
        <v>25</v>
      </c>
      <c r="S10" s="750">
        <f t="shared" si="0"/>
        <v>100</v>
      </c>
      <c r="T10" s="749" t="s">
        <v>25</v>
      </c>
      <c r="U10" s="750">
        <f t="shared" si="1"/>
        <v>100</v>
      </c>
      <c r="V10" s="749" t="s">
        <v>25</v>
      </c>
      <c r="W10" s="750">
        <f t="shared" si="2"/>
        <v>100</v>
      </c>
      <c r="X10" s="751"/>
      <c r="Y10" s="2907"/>
      <c r="Z10" s="23" t="str">
        <f t="shared" si="7"/>
        <v>土地使用年限（年）</v>
      </c>
      <c r="AA10" s="752">
        <f t="shared" si="3"/>
        <v>1</v>
      </c>
      <c r="AB10" s="752">
        <f t="shared" si="4"/>
        <v>1</v>
      </c>
      <c r="AC10" s="752">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81"/>
      <c r="Q11" s="1877">
        <f t="shared" si="6"/>
        <v>111</v>
      </c>
      <c r="R11" s="749" t="s">
        <v>25</v>
      </c>
      <c r="S11" s="750">
        <f t="shared" si="0"/>
        <v>100</v>
      </c>
      <c r="T11" s="749" t="s">
        <v>25</v>
      </c>
      <c r="U11" s="750">
        <f t="shared" si="1"/>
        <v>100</v>
      </c>
      <c r="V11" s="749" t="s">
        <v>25</v>
      </c>
      <c r="W11" s="750">
        <f t="shared" si="2"/>
        <v>100</v>
      </c>
      <c r="X11" s="751"/>
      <c r="Y11" s="2907"/>
      <c r="Z11" s="23">
        <f t="shared" si="7"/>
        <v>111</v>
      </c>
      <c r="AA11" s="752">
        <f t="shared" si="3"/>
        <v>1</v>
      </c>
      <c r="AB11" s="752">
        <f t="shared" si="4"/>
        <v>1</v>
      </c>
      <c r="AC11" s="752">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81"/>
      <c r="Q12" s="1877">
        <f t="shared" si="6"/>
        <v>111</v>
      </c>
      <c r="R12" s="749" t="s">
        <v>25</v>
      </c>
      <c r="S12" s="750">
        <f t="shared" si="0"/>
        <v>100</v>
      </c>
      <c r="T12" s="749" t="s">
        <v>25</v>
      </c>
      <c r="U12" s="750">
        <f t="shared" si="1"/>
        <v>100</v>
      </c>
      <c r="V12" s="749" t="s">
        <v>25</v>
      </c>
      <c r="W12" s="750">
        <f t="shared" si="2"/>
        <v>100</v>
      </c>
      <c r="X12" s="751"/>
      <c r="Y12" s="2907"/>
      <c r="Z12" s="23">
        <f t="shared" si="7"/>
        <v>111</v>
      </c>
      <c r="AA12" s="752">
        <f>D12/F12</f>
        <v>1</v>
      </c>
      <c r="AB12" s="752">
        <f>D12/H12</f>
        <v>1</v>
      </c>
      <c r="AC12" s="752">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81"/>
      <c r="Q13" s="1877">
        <f t="shared" si="6"/>
        <v>111</v>
      </c>
      <c r="R13" s="749" t="s">
        <v>25</v>
      </c>
      <c r="S13" s="750">
        <f t="shared" si="0"/>
        <v>100</v>
      </c>
      <c r="T13" s="749" t="s">
        <v>25</v>
      </c>
      <c r="U13" s="750">
        <f t="shared" si="1"/>
        <v>100</v>
      </c>
      <c r="V13" s="749" t="s">
        <v>25</v>
      </c>
      <c r="W13" s="750">
        <f t="shared" si="2"/>
        <v>100</v>
      </c>
      <c r="X13" s="751"/>
      <c r="Y13" s="2907"/>
      <c r="Z13" s="23">
        <f t="shared" si="7"/>
        <v>111</v>
      </c>
      <c r="AA13" s="752">
        <f t="shared" si="3"/>
        <v>1</v>
      </c>
      <c r="AB13" s="752">
        <f t="shared" si="4"/>
        <v>1</v>
      </c>
      <c r="AC13" s="752">
        <f t="shared" si="5"/>
        <v>1</v>
      </c>
    </row>
    <row r="14" spans="1:29" ht="114">
      <c r="A14" s="419" t="s">
        <v>2353</v>
      </c>
      <c r="B14" s="26" t="s">
        <v>2496</v>
      </c>
      <c r="C14" s="2469" t="str">
        <f>IF(B1="工业",估价对象房地状况!G4,估价对象房地状况!C6)</f>
        <v>周边2公里内最高级别道路高速公路—G6，周边遍布十余条公交站点及地铁10号线（牡丹园站）等，综合评价交通便捷度较好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84" t="s">
        <v>2354</v>
      </c>
      <c r="Q14" s="1889" t="str">
        <f t="shared" si="6"/>
        <v>交通便捷度</v>
      </c>
      <c r="R14" s="753" t="s">
        <v>25</v>
      </c>
      <c r="S14" s="754">
        <f t="shared" si="0"/>
        <v>100</v>
      </c>
      <c r="T14" s="753" t="s">
        <v>25</v>
      </c>
      <c r="U14" s="754">
        <f t="shared" si="1"/>
        <v>100</v>
      </c>
      <c r="V14" s="753" t="s">
        <v>25</v>
      </c>
      <c r="W14" s="754">
        <f t="shared" si="2"/>
        <v>100</v>
      </c>
      <c r="X14" s="1890"/>
      <c r="Y14" s="3084" t="s">
        <v>2354</v>
      </c>
      <c r="Z14" s="1892" t="str">
        <f t="shared" si="7"/>
        <v>交通便捷度</v>
      </c>
      <c r="AA14" s="1893">
        <f t="shared" si="3"/>
        <v>1</v>
      </c>
      <c r="AB14" s="1893">
        <f t="shared" si="4"/>
        <v>1</v>
      </c>
      <c r="AC14" s="1893">
        <f t="shared" si="5"/>
        <v>1</v>
      </c>
    </row>
    <row r="15" spans="1:29" ht="15">
      <c r="A15" s="408"/>
      <c r="B15" s="425"/>
      <c r="C15" s="426"/>
      <c r="D15" s="427"/>
      <c r="E15" s="426"/>
      <c r="F15" s="429"/>
      <c r="G15" s="426"/>
      <c r="H15" s="430"/>
      <c r="I15" s="426"/>
      <c r="J15" s="427"/>
      <c r="K15" s="599"/>
      <c r="L15" s="1253"/>
      <c r="M15" s="1244"/>
      <c r="N15" s="1244"/>
      <c r="O15" s="1252"/>
      <c r="P15" s="3085"/>
      <c r="Q15" s="1889"/>
      <c r="R15" s="753"/>
      <c r="S15" s="754"/>
      <c r="T15" s="753"/>
      <c r="U15" s="754"/>
      <c r="V15" s="753"/>
      <c r="W15" s="754"/>
      <c r="X15" s="1890"/>
      <c r="Y15" s="3085"/>
      <c r="Z15" s="1892"/>
      <c r="AA15" s="1893">
        <v>1</v>
      </c>
      <c r="AB15" s="1893">
        <v>1</v>
      </c>
      <c r="AC15" s="1893">
        <v>1</v>
      </c>
    </row>
    <row r="16" spans="1:29" ht="85.5">
      <c r="A16" s="408"/>
      <c r="B16" s="615" t="s">
        <v>2468</v>
      </c>
      <c r="C16" s="2396" t="str">
        <f>IF(B1="工业",估价对象房地状况!G5,估价对象房地状况!C7)</f>
        <v>2公里内有餐饮、医院、超市、购物中心、学校等，估价对象所在区域公共配套设施较齐备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85"/>
      <c r="Q16" s="1889" t="str">
        <f>B16</f>
        <v>公共配套设施</v>
      </c>
      <c r="R16" s="753" t="s">
        <v>25</v>
      </c>
      <c r="S16" s="754">
        <f>F16</f>
        <v>100</v>
      </c>
      <c r="T16" s="753" t="s">
        <v>25</v>
      </c>
      <c r="U16" s="754">
        <f>H16</f>
        <v>100</v>
      </c>
      <c r="V16" s="753" t="s">
        <v>25</v>
      </c>
      <c r="W16" s="754">
        <f>J16</f>
        <v>100</v>
      </c>
      <c r="X16" s="1890"/>
      <c r="Y16" s="3085"/>
      <c r="Z16" s="1892" t="str">
        <f>Q16</f>
        <v>公共配套设施</v>
      </c>
      <c r="AA16" s="1893">
        <f t="shared" si="3"/>
        <v>1</v>
      </c>
      <c r="AB16" s="1893">
        <f t="shared" si="4"/>
        <v>1</v>
      </c>
      <c r="AC16" s="1893">
        <f t="shared" si="5"/>
        <v>1</v>
      </c>
    </row>
    <row r="17" spans="1:29" ht="15">
      <c r="A17" s="408"/>
      <c r="B17" s="616"/>
      <c r="C17" s="437"/>
      <c r="D17" s="427"/>
      <c r="E17" s="426"/>
      <c r="F17" s="429"/>
      <c r="G17" s="426"/>
      <c r="H17" s="427"/>
      <c r="I17" s="426"/>
      <c r="J17" s="427"/>
      <c r="K17" s="599"/>
      <c r="L17" s="1253"/>
      <c r="M17" s="1244"/>
      <c r="N17" s="1244"/>
      <c r="O17" s="1252"/>
      <c r="P17" s="3085"/>
      <c r="Q17" s="1889"/>
      <c r="R17" s="753"/>
      <c r="S17" s="754"/>
      <c r="T17" s="753"/>
      <c r="U17" s="754"/>
      <c r="V17" s="753"/>
      <c r="W17" s="754"/>
      <c r="X17" s="1890"/>
      <c r="Y17" s="3085"/>
      <c r="Z17" s="1892"/>
      <c r="AA17" s="1893">
        <v>1</v>
      </c>
      <c r="AB17" s="1893">
        <v>1</v>
      </c>
      <c r="AC17" s="1893">
        <v>1</v>
      </c>
    </row>
    <row r="18" spans="1:29" ht="15">
      <c r="A18" s="408"/>
      <c r="B18" s="617" t="s">
        <v>2469</v>
      </c>
      <c r="C18" s="2396"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85"/>
      <c r="Q18" s="1889" t="str">
        <f>B18</f>
        <v>基础设施水平</v>
      </c>
      <c r="R18" s="753" t="s">
        <v>25</v>
      </c>
      <c r="S18" s="754">
        <f>F18</f>
        <v>100</v>
      </c>
      <c r="T18" s="753" t="s">
        <v>25</v>
      </c>
      <c r="U18" s="754">
        <f>H18</f>
        <v>100</v>
      </c>
      <c r="V18" s="753" t="s">
        <v>25</v>
      </c>
      <c r="W18" s="754">
        <f>J18</f>
        <v>100</v>
      </c>
      <c r="X18" s="1890"/>
      <c r="Y18" s="3085"/>
      <c r="Z18" s="1892" t="str">
        <f>Q18</f>
        <v>基础设施水平</v>
      </c>
      <c r="AA18" s="1893">
        <f t="shared" ref="AA18" si="8">D18/F18</f>
        <v>1</v>
      </c>
      <c r="AB18" s="1893">
        <f t="shared" ref="AB18" si="9">D18/H18</f>
        <v>1</v>
      </c>
      <c r="AC18" s="1893">
        <f t="shared" ref="AC18" si="10">D18/J18</f>
        <v>1</v>
      </c>
    </row>
    <row r="19" spans="1:29" ht="15">
      <c r="A19" s="408"/>
      <c r="B19" s="617"/>
      <c r="C19" s="437"/>
      <c r="D19" s="427"/>
      <c r="E19" s="437"/>
      <c r="F19" s="433"/>
      <c r="G19" s="437"/>
      <c r="H19" s="427"/>
      <c r="I19" s="426"/>
      <c r="J19" s="427"/>
      <c r="K19" s="1469"/>
      <c r="L19" s="1253"/>
      <c r="M19" s="1244"/>
      <c r="N19" s="1244"/>
      <c r="O19" s="1252"/>
      <c r="P19" s="3085"/>
      <c r="Q19" s="1889"/>
      <c r="R19" s="753"/>
      <c r="S19" s="754"/>
      <c r="T19" s="753"/>
      <c r="U19" s="754"/>
      <c r="V19" s="753"/>
      <c r="W19" s="754"/>
      <c r="X19" s="1890"/>
      <c r="Y19" s="3085"/>
      <c r="Z19" s="1892"/>
      <c r="AA19" s="1893">
        <v>1</v>
      </c>
      <c r="AB19" s="1893">
        <v>1</v>
      </c>
      <c r="AC19" s="1893">
        <v>1</v>
      </c>
    </row>
    <row r="20" spans="1:29" ht="71.25">
      <c r="A20" s="408"/>
      <c r="B20" s="431" t="s">
        <v>2497</v>
      </c>
      <c r="C20" s="2396" t="str">
        <f>IF(B1="工业",估价对象房地状况!G7,估价对象房地状况!C9)</f>
        <v>区域自然环境：元大都遗址公园；人文环境；综合评价环境状况一般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85"/>
      <c r="Q20" s="1889" t="str">
        <f>B20</f>
        <v>自然及人文环境</v>
      </c>
      <c r="R20" s="753" t="s">
        <v>25</v>
      </c>
      <c r="S20" s="754">
        <f>F20</f>
        <v>100</v>
      </c>
      <c r="T20" s="753" t="s">
        <v>25</v>
      </c>
      <c r="U20" s="754">
        <f>H20</f>
        <v>100</v>
      </c>
      <c r="V20" s="753" t="s">
        <v>25</v>
      </c>
      <c r="W20" s="754">
        <f>J20</f>
        <v>100</v>
      </c>
      <c r="X20" s="1890"/>
      <c r="Y20" s="3085"/>
      <c r="Z20" s="1892" t="str">
        <f>Q20</f>
        <v>自然及人文环境</v>
      </c>
      <c r="AA20" s="1893">
        <f t="shared" si="3"/>
        <v>1</v>
      </c>
      <c r="AB20" s="1893">
        <f t="shared" si="4"/>
        <v>1</v>
      </c>
      <c r="AC20" s="1893">
        <f t="shared" si="5"/>
        <v>1</v>
      </c>
    </row>
    <row r="21" spans="1:29" ht="15">
      <c r="A21" s="408"/>
      <c r="B21" s="436"/>
      <c r="C21" s="426"/>
      <c r="D21" s="427"/>
      <c r="E21" s="426"/>
      <c r="F21" s="429"/>
      <c r="G21" s="426"/>
      <c r="H21" s="427"/>
      <c r="I21" s="426"/>
      <c r="J21" s="427"/>
      <c r="K21" s="599"/>
      <c r="L21" s="1253"/>
      <c r="M21" s="1244"/>
      <c r="N21" s="1244"/>
      <c r="O21" s="1252"/>
      <c r="P21" s="3085"/>
      <c r="Q21" s="1889"/>
      <c r="R21" s="753"/>
      <c r="S21" s="754"/>
      <c r="T21" s="753"/>
      <c r="U21" s="754"/>
      <c r="V21" s="753"/>
      <c r="W21" s="754"/>
      <c r="X21" s="1890"/>
      <c r="Y21" s="3085"/>
      <c r="Z21" s="1892"/>
      <c r="AA21" s="1893">
        <v>1</v>
      </c>
      <c r="AB21" s="1893">
        <v>1</v>
      </c>
      <c r="AC21" s="1893">
        <v>1</v>
      </c>
    </row>
    <row r="22" spans="1:29" ht="15">
      <c r="A22" s="408"/>
      <c r="B22" s="431" t="s">
        <v>2498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85"/>
      <c r="Q22" s="1889" t="str">
        <f>B22</f>
        <v>楼层</v>
      </c>
      <c r="R22" s="753" t="s">
        <v>25</v>
      </c>
      <c r="S22" s="754">
        <f>F22</f>
        <v>100</v>
      </c>
      <c r="T22" s="753" t="s">
        <v>25</v>
      </c>
      <c r="U22" s="754">
        <f>H22</f>
        <v>100</v>
      </c>
      <c r="V22" s="753" t="s">
        <v>25</v>
      </c>
      <c r="W22" s="754">
        <f>J22</f>
        <v>100</v>
      </c>
      <c r="X22" s="1890"/>
      <c r="Y22" s="3085"/>
      <c r="Z22" s="1892" t="str">
        <f>Q22</f>
        <v>楼层</v>
      </c>
      <c r="AA22" s="1893">
        <f t="shared" si="3"/>
        <v>1</v>
      </c>
      <c r="AB22" s="1893">
        <f t="shared" si="4"/>
        <v>1</v>
      </c>
      <c r="AC22" s="1893">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85"/>
      <c r="Q23" s="1889">
        <f>B23</f>
        <v>111</v>
      </c>
      <c r="R23" s="753" t="s">
        <v>25</v>
      </c>
      <c r="S23" s="754">
        <f>F23</f>
        <v>100</v>
      </c>
      <c r="T23" s="753" t="s">
        <v>25</v>
      </c>
      <c r="U23" s="754">
        <f>H23</f>
        <v>100</v>
      </c>
      <c r="V23" s="753" t="s">
        <v>25</v>
      </c>
      <c r="W23" s="754">
        <f>J23</f>
        <v>100</v>
      </c>
      <c r="X23" s="1890"/>
      <c r="Y23" s="3085"/>
      <c r="Z23" s="1892">
        <f>Q23</f>
        <v>111</v>
      </c>
      <c r="AA23" s="1893">
        <f t="shared" si="3"/>
        <v>1</v>
      </c>
      <c r="AB23" s="1893">
        <f t="shared" si="4"/>
        <v>1</v>
      </c>
      <c r="AC23" s="1893">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85"/>
      <c r="Q24" s="1889">
        <f t="shared" ref="Q24:Q34" si="11">B24</f>
        <v>111</v>
      </c>
      <c r="R24" s="753" t="s">
        <v>25</v>
      </c>
      <c r="S24" s="754">
        <f>F24</f>
        <v>100</v>
      </c>
      <c r="T24" s="753" t="s">
        <v>25</v>
      </c>
      <c r="U24" s="754">
        <f>H24</f>
        <v>100</v>
      </c>
      <c r="V24" s="753" t="s">
        <v>25</v>
      </c>
      <c r="W24" s="754">
        <f>J24</f>
        <v>100</v>
      </c>
      <c r="X24" s="1890"/>
      <c r="Y24" s="3085"/>
      <c r="Z24" s="1892">
        <f>Q24</f>
        <v>111</v>
      </c>
      <c r="AA24" s="1893">
        <f t="shared" si="3"/>
        <v>1</v>
      </c>
      <c r="AB24" s="1893">
        <f t="shared" si="4"/>
        <v>1</v>
      </c>
      <c r="AC24" s="1893">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45"/>
      <c r="M25" s="1246"/>
      <c r="N25" s="1246"/>
      <c r="O25" s="1247"/>
      <c r="P25" s="3085"/>
      <c r="Q25" s="1877">
        <f t="shared" si="11"/>
        <v>111</v>
      </c>
      <c r="R25" s="749" t="s">
        <v>25</v>
      </c>
      <c r="S25" s="750">
        <f>F25</f>
        <v>100</v>
      </c>
      <c r="T25" s="749" t="s">
        <v>25</v>
      </c>
      <c r="U25" s="750">
        <f>H25</f>
        <v>100</v>
      </c>
      <c r="V25" s="749" t="s">
        <v>25</v>
      </c>
      <c r="W25" s="750">
        <f>J25</f>
        <v>100</v>
      </c>
      <c r="X25" s="751"/>
      <c r="Y25" s="3085"/>
      <c r="Z25" s="23">
        <f>Q25</f>
        <v>111</v>
      </c>
      <c r="AA25" s="1893">
        <f>D25/F25</f>
        <v>1</v>
      </c>
      <c r="AB25" s="1893">
        <f>D25/H25</f>
        <v>1</v>
      </c>
      <c r="AC25" s="1893">
        <f>D25/J25</f>
        <v>1</v>
      </c>
    </row>
    <row r="26" spans="1:29" ht="15">
      <c r="A26" s="447" t="s">
        <v>2358</v>
      </c>
      <c r="B26" s="28" t="s">
        <v>2501</v>
      </c>
      <c r="C26" s="2463"/>
      <c r="D26" s="448">
        <v>100</v>
      </c>
      <c r="E26" s="2463"/>
      <c r="F26" s="650">
        <f>SUMIF(77:77,E26,78:78)-SUMIF(77:77,C26,78:78)+100</f>
        <v>100</v>
      </c>
      <c r="G26" s="2463"/>
      <c r="H26" s="448">
        <f>SUMIF(77:77,G26,78:78)-SUMIF(77:77,C26,78:78)+100</f>
        <v>100</v>
      </c>
      <c r="I26" s="2463"/>
      <c r="J26" s="448">
        <f>SUMIF(77:77,I26,78:78)-SUMIF(77:77,C26,78:78)+100</f>
        <v>100</v>
      </c>
      <c r="K26" s="596"/>
      <c r="L26" s="1253"/>
      <c r="M26" s="1244"/>
      <c r="N26" s="1244"/>
      <c r="O26" s="1252"/>
      <c r="P26" s="3133" t="s">
        <v>2360</v>
      </c>
      <c r="Q26" s="1889" t="str">
        <f t="shared" si="11"/>
        <v>公共部分装修</v>
      </c>
      <c r="R26" s="753" t="s">
        <v>25</v>
      </c>
      <c r="S26" s="754">
        <f t="shared" ref="S26:S34" si="12">F26</f>
        <v>100</v>
      </c>
      <c r="T26" s="753" t="s">
        <v>25</v>
      </c>
      <c r="U26" s="754">
        <f t="shared" ref="U26:U34" si="13">H26</f>
        <v>100</v>
      </c>
      <c r="V26" s="753" t="s">
        <v>25</v>
      </c>
      <c r="W26" s="754">
        <f t="shared" ref="W26:W34" si="14">J26</f>
        <v>100</v>
      </c>
      <c r="X26" s="1890"/>
      <c r="Y26" s="3089" t="s">
        <v>2360</v>
      </c>
      <c r="Z26" s="1892" t="str">
        <f t="shared" ref="Z26:Z34" si="15">Q26</f>
        <v>公共部分装修</v>
      </c>
      <c r="AA26" s="1893">
        <f t="shared" si="3"/>
        <v>1</v>
      </c>
      <c r="AB26" s="1893">
        <f t="shared" si="4"/>
        <v>1</v>
      </c>
      <c r="AC26" s="1893">
        <f t="shared" si="5"/>
        <v>1</v>
      </c>
    </row>
    <row r="27" spans="1:29" s="452" customFormat="1" ht="15">
      <c r="A27" s="449"/>
      <c r="B27" s="402" t="s">
        <v>2502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89"/>
      <c r="Q27" s="755" t="str">
        <f t="shared" si="11"/>
        <v>成新率</v>
      </c>
      <c r="R27" s="756" t="s">
        <v>25</v>
      </c>
      <c r="S27" s="757" t="e">
        <f t="shared" si="12"/>
        <v>#N/A</v>
      </c>
      <c r="T27" s="756" t="s">
        <v>25</v>
      </c>
      <c r="U27" s="757" t="e">
        <f t="shared" si="13"/>
        <v>#N/A</v>
      </c>
      <c r="V27" s="756" t="s">
        <v>25</v>
      </c>
      <c r="W27" s="757" t="e">
        <f t="shared" si="14"/>
        <v>#N/A</v>
      </c>
      <c r="X27" s="758"/>
      <c r="Y27" s="3089"/>
      <c r="Z27" s="759" t="str">
        <f t="shared" si="15"/>
        <v>成新率</v>
      </c>
      <c r="AA27" s="1893" t="e">
        <f t="shared" si="3"/>
        <v>#N/A</v>
      </c>
      <c r="AB27" s="1893" t="e">
        <f t="shared" si="4"/>
        <v>#N/A</v>
      </c>
      <c r="AC27" s="1893" t="e">
        <f t="shared" si="5"/>
        <v>#N/A</v>
      </c>
    </row>
    <row r="28" spans="1:29" ht="15">
      <c r="A28" s="453"/>
      <c r="B28" s="402" t="s">
        <v>2503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89"/>
      <c r="Q28" s="1889" t="str">
        <f t="shared" si="11"/>
        <v>物业等级</v>
      </c>
      <c r="R28" s="753" t="s">
        <v>25</v>
      </c>
      <c r="S28" s="754">
        <f t="shared" si="12"/>
        <v>100</v>
      </c>
      <c r="T28" s="753" t="s">
        <v>25</v>
      </c>
      <c r="U28" s="754">
        <f t="shared" si="13"/>
        <v>100</v>
      </c>
      <c r="V28" s="753" t="s">
        <v>25</v>
      </c>
      <c r="W28" s="754">
        <f t="shared" si="14"/>
        <v>100</v>
      </c>
      <c r="X28" s="1890"/>
      <c r="Y28" s="3089"/>
      <c r="Z28" s="1892" t="str">
        <f t="shared" si="15"/>
        <v>物业等级</v>
      </c>
      <c r="AA28" s="1893">
        <f t="shared" si="3"/>
        <v>1</v>
      </c>
      <c r="AB28" s="1893">
        <f t="shared" si="4"/>
        <v>1</v>
      </c>
      <c r="AC28" s="1893">
        <f t="shared" si="5"/>
        <v>1</v>
      </c>
    </row>
    <row r="29" spans="1:29" ht="15">
      <c r="A29" s="453"/>
      <c r="B29" s="402" t="s">
        <v>2524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89"/>
      <c r="Q29" s="1889" t="str">
        <f t="shared" si="11"/>
        <v>有无电梯</v>
      </c>
      <c r="R29" s="753" t="s">
        <v>25</v>
      </c>
      <c r="S29" s="754">
        <f t="shared" si="12"/>
        <v>100</v>
      </c>
      <c r="T29" s="753" t="s">
        <v>25</v>
      </c>
      <c r="U29" s="754">
        <f t="shared" si="13"/>
        <v>100</v>
      </c>
      <c r="V29" s="753" t="s">
        <v>25</v>
      </c>
      <c r="W29" s="754">
        <f t="shared" si="14"/>
        <v>100</v>
      </c>
      <c r="X29" s="1890"/>
      <c r="Y29" s="3089"/>
      <c r="Z29" s="1892" t="str">
        <f t="shared" si="15"/>
        <v>有无电梯</v>
      </c>
      <c r="AA29" s="1893">
        <f t="shared" si="3"/>
        <v>1</v>
      </c>
      <c r="AB29" s="1893">
        <f t="shared" si="4"/>
        <v>1</v>
      </c>
      <c r="AC29" s="1893">
        <f t="shared" si="5"/>
        <v>1</v>
      </c>
    </row>
    <row r="30" spans="1:29" ht="15">
      <c r="A30" s="453"/>
      <c r="B30" s="402" t="s">
        <v>2525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89"/>
      <c r="Q30" s="1889" t="str">
        <f t="shared" si="11"/>
        <v>建筑面积</v>
      </c>
      <c r="R30" s="753" t="s">
        <v>25</v>
      </c>
      <c r="S30" s="754" t="e">
        <f t="shared" si="12"/>
        <v>#N/A</v>
      </c>
      <c r="T30" s="753" t="s">
        <v>25</v>
      </c>
      <c r="U30" s="754" t="e">
        <f t="shared" si="13"/>
        <v>#N/A</v>
      </c>
      <c r="V30" s="753" t="s">
        <v>25</v>
      </c>
      <c r="W30" s="754" t="e">
        <f t="shared" si="14"/>
        <v>#N/A</v>
      </c>
      <c r="X30" s="1890"/>
      <c r="Y30" s="3089"/>
      <c r="Z30" s="1892" t="str">
        <f t="shared" si="15"/>
        <v>建筑面积</v>
      </c>
      <c r="AA30" s="1893" t="e">
        <f t="shared" si="3"/>
        <v>#N/A</v>
      </c>
      <c r="AB30" s="1893" t="e">
        <f t="shared" si="4"/>
        <v>#N/A</v>
      </c>
      <c r="AC30" s="1893" t="e">
        <f t="shared" si="5"/>
        <v>#N/A</v>
      </c>
    </row>
    <row r="31" spans="1:29" s="35" customFormat="1" ht="15">
      <c r="A31" s="454"/>
      <c r="B31" s="402" t="s">
        <v>2526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89"/>
      <c r="Q31" s="1877" t="str">
        <f t="shared" si="11"/>
        <v>是否封闭</v>
      </c>
      <c r="R31" s="749" t="s">
        <v>25</v>
      </c>
      <c r="S31" s="750">
        <f t="shared" si="12"/>
        <v>100</v>
      </c>
      <c r="T31" s="749" t="s">
        <v>25</v>
      </c>
      <c r="U31" s="750">
        <f t="shared" si="13"/>
        <v>100</v>
      </c>
      <c r="V31" s="749" t="s">
        <v>25</v>
      </c>
      <c r="W31" s="750">
        <f t="shared" si="14"/>
        <v>100</v>
      </c>
      <c r="X31" s="751"/>
      <c r="Y31" s="3089"/>
      <c r="Z31" s="23" t="str">
        <f t="shared" si="15"/>
        <v>是否封闭</v>
      </c>
      <c r="AA31" s="752">
        <f t="shared" si="3"/>
        <v>1</v>
      </c>
      <c r="AB31" s="752">
        <f t="shared" si="4"/>
        <v>1</v>
      </c>
      <c r="AC31" s="752">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89" t="s">
        <v>2360</v>
      </c>
      <c r="Q32" s="1889">
        <f t="shared" si="11"/>
        <v>111</v>
      </c>
      <c r="R32" s="753" t="s">
        <v>25</v>
      </c>
      <c r="S32" s="754">
        <f t="shared" si="12"/>
        <v>100</v>
      </c>
      <c r="T32" s="753" t="s">
        <v>25</v>
      </c>
      <c r="U32" s="754">
        <f t="shared" si="13"/>
        <v>100</v>
      </c>
      <c r="V32" s="753" t="s">
        <v>25</v>
      </c>
      <c r="W32" s="754">
        <f t="shared" si="14"/>
        <v>100</v>
      </c>
      <c r="X32" s="1890"/>
      <c r="Y32" s="3089" t="s">
        <v>2360</v>
      </c>
      <c r="Z32" s="1892">
        <f t="shared" si="15"/>
        <v>111</v>
      </c>
      <c r="AA32" s="1893">
        <f t="shared" si="3"/>
        <v>1</v>
      </c>
      <c r="AB32" s="1893">
        <f t="shared" si="4"/>
        <v>1</v>
      </c>
      <c r="AC32" s="1893">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89"/>
      <c r="Q33" s="1889">
        <f t="shared" si="11"/>
        <v>111</v>
      </c>
      <c r="R33" s="753" t="s">
        <v>25</v>
      </c>
      <c r="S33" s="754">
        <f t="shared" si="12"/>
        <v>100</v>
      </c>
      <c r="T33" s="753" t="s">
        <v>25</v>
      </c>
      <c r="U33" s="754">
        <f t="shared" si="13"/>
        <v>100</v>
      </c>
      <c r="V33" s="753" t="s">
        <v>25</v>
      </c>
      <c r="W33" s="754">
        <f t="shared" si="14"/>
        <v>100</v>
      </c>
      <c r="X33" s="1890"/>
      <c r="Y33" s="3089"/>
      <c r="Z33" s="1892">
        <f t="shared" si="15"/>
        <v>111</v>
      </c>
      <c r="AA33" s="1893">
        <f t="shared" si="3"/>
        <v>1</v>
      </c>
      <c r="AB33" s="1893">
        <f t="shared" si="4"/>
        <v>1</v>
      </c>
      <c r="AC33" s="1893">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53"/>
      <c r="M34" s="1244"/>
      <c r="N34" s="1244"/>
      <c r="O34" s="1252"/>
      <c r="P34" s="3089"/>
      <c r="Q34" s="1889">
        <f t="shared" si="11"/>
        <v>111</v>
      </c>
      <c r="R34" s="753" t="s">
        <v>25</v>
      </c>
      <c r="S34" s="754">
        <f t="shared" si="12"/>
        <v>100</v>
      </c>
      <c r="T34" s="753" t="s">
        <v>25</v>
      </c>
      <c r="U34" s="754">
        <f t="shared" si="13"/>
        <v>100</v>
      </c>
      <c r="V34" s="753" t="s">
        <v>25</v>
      </c>
      <c r="W34" s="754">
        <f t="shared" si="14"/>
        <v>100</v>
      </c>
      <c r="X34" s="1890"/>
      <c r="Y34" s="3089"/>
      <c r="Z34" s="1892">
        <f t="shared" si="15"/>
        <v>111</v>
      </c>
      <c r="AA34" s="1893">
        <f t="shared" si="3"/>
        <v>1</v>
      </c>
      <c r="AB34" s="1893">
        <f t="shared" si="4"/>
        <v>1</v>
      </c>
      <c r="AC34" s="1893">
        <f t="shared" si="5"/>
        <v>1</v>
      </c>
    </row>
    <row r="35" spans="1:29" ht="15">
      <c r="A35" s="460" t="s">
        <v>2372</v>
      </c>
      <c r="B35" s="461"/>
      <c r="C35" s="1502" t="s">
        <v>1</v>
      </c>
      <c r="D35" s="1503"/>
      <c r="E35" s="1504"/>
      <c r="F35" s="1505"/>
      <c r="G35" s="1506"/>
      <c r="H35" s="1507"/>
      <c r="I35" s="1504"/>
      <c r="J35" s="1507"/>
      <c r="K35" s="762"/>
      <c r="L35" s="1256"/>
      <c r="M35" s="1257"/>
      <c r="N35" s="1244"/>
      <c r="O35" s="1257"/>
      <c r="P35" s="3081" t="str">
        <f>A35</f>
        <v>成交单价（元/平方米）</v>
      </c>
      <c r="Q35" s="3081"/>
      <c r="R35" s="3077">
        <f>E35</f>
        <v>0</v>
      </c>
      <c r="S35" s="3077"/>
      <c r="T35" s="3077">
        <f>G35</f>
        <v>0</v>
      </c>
      <c r="U35" s="3077"/>
      <c r="V35" s="3077">
        <f>I35</f>
        <v>0</v>
      </c>
      <c r="W35" s="3077"/>
      <c r="X35" s="738"/>
      <c r="Y35" s="760"/>
      <c r="Z35" s="738"/>
      <c r="AA35" s="738"/>
      <c r="AB35" s="738"/>
      <c r="AC35" s="738"/>
    </row>
    <row r="36" spans="1:29" ht="15.75" thickBot="1">
      <c r="A36" s="467" t="s">
        <v>2455</v>
      </c>
      <c r="B36" s="468"/>
      <c r="C36" s="1508" t="e">
        <f>R37</f>
        <v>#DIV/0!</v>
      </c>
      <c r="D36" s="1509"/>
      <c r="E36" s="1510" t="e">
        <f>R36</f>
        <v>#DIV/0!</v>
      </c>
      <c r="F36" s="1510"/>
      <c r="G36" s="1508" t="e">
        <f>T36</f>
        <v>#DIV/0!</v>
      </c>
      <c r="H36" s="1509"/>
      <c r="I36" s="1510" t="e">
        <f>V36</f>
        <v>#DIV/0!</v>
      </c>
      <c r="J36" s="1509"/>
      <c r="K36" s="763"/>
      <c r="L36" s="1256"/>
      <c r="M36" s="1257"/>
      <c r="N36" s="1244"/>
      <c r="O36" s="1257"/>
      <c r="P36" s="3081" t="str">
        <f>A36</f>
        <v>比较价值（元/平方米）</v>
      </c>
      <c r="Q36" s="3081"/>
      <c r="R36" s="3077" t="e">
        <f>IF(E1="售价",ROUND(PRODUCT(R35,AA7:AA34),0),ROUND(PRODUCT(R35,AA7:AA34),1))</f>
        <v>#DIV/0!</v>
      </c>
      <c r="S36" s="3077"/>
      <c r="T36" s="3077" t="e">
        <f>IF(E1="售价",ROUND(PRODUCT(T35,AB7:AB34),0),ROUND(PRODUCT(T35,AB7:AB34),1))</f>
        <v>#DIV/0!</v>
      </c>
      <c r="U36" s="3077"/>
      <c r="V36" s="3077" t="e">
        <f>IF(E1="售价",ROUND(PRODUCT(V35,AC7:AC34),0),ROUND(PRODUCT(V35,AC7:AC34),1))</f>
        <v>#DIV/0!</v>
      </c>
      <c r="W36" s="3077"/>
      <c r="X36" s="738"/>
      <c r="Y36" s="738"/>
      <c r="Z36" s="738"/>
      <c r="AA36" s="738"/>
      <c r="AB36" s="738"/>
      <c r="AC36" s="738"/>
    </row>
    <row r="37" spans="1:29" ht="15.75" thickBot="1">
      <c r="A37" s="473" t="s">
        <v>2477</v>
      </c>
      <c r="B37" s="474"/>
      <c r="C37" s="1512" t="e">
        <f>R37</f>
        <v>#DIV/0!</v>
      </c>
      <c r="D37" s="1512"/>
      <c r="E37" s="1512"/>
      <c r="F37" s="1512"/>
      <c r="G37" s="1512"/>
      <c r="H37" s="1512"/>
      <c r="I37" s="1512"/>
      <c r="J37" s="1512"/>
      <c r="K37" s="764"/>
      <c r="L37" s="1256"/>
      <c r="M37" s="1257"/>
      <c r="N37" s="1257"/>
      <c r="O37" s="1257"/>
      <c r="P37" s="3078" t="str">
        <f>A37</f>
        <v>估价对象XX用房的比较价值（楼面单价，元/平方米）</v>
      </c>
      <c r="Q37" s="3079"/>
      <c r="R37" s="3080" t="e">
        <f>IF(E1="售价",ROUND(AVERAGE(R36:V36),0),ROUND(AVERAGE(R36:V36),1))</f>
        <v>#DIV/0!</v>
      </c>
      <c r="S37" s="3080"/>
      <c r="T37" s="3080"/>
      <c r="U37" s="3080"/>
      <c r="V37" s="3080"/>
      <c r="W37" s="308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2456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2457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2458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2459</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2383</v>
      </c>
      <c r="B51" s="509" t="s">
        <v>2348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2469</v>
      </c>
      <c r="C65" s="522" t="s">
        <v>2399</v>
      </c>
      <c r="D65" s="522" t="s">
        <v>2400</v>
      </c>
      <c r="E65" s="522" t="s">
        <v>2401</v>
      </c>
      <c r="F65" s="522" t="s">
        <v>2402</v>
      </c>
      <c r="G65" s="522" t="s">
        <v>2403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2516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2358</v>
      </c>
      <c r="B77" s="509" t="s">
        <v>2411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2519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2527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2528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2529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2530</v>
      </c>
      <c r="B1" s="374"/>
      <c r="C1" s="375" t="s">
        <v>2531</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1994</v>
      </c>
      <c r="B2" s="654" t="e">
        <f>F66</f>
        <v>#DIV/0!</v>
      </c>
      <c r="C2" s="732" t="s">
        <v>2532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1995</v>
      </c>
      <c r="B3" s="593" t="e">
        <f>ROUND(B2/'数据-取费表'!B5,0)</f>
        <v>#DIV/0!</v>
      </c>
      <c r="C3" s="732" t="s">
        <v>2533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2329</v>
      </c>
      <c r="B4" s="381"/>
      <c r="C4" s="3108" t="s">
        <v>2330</v>
      </c>
      <c r="D4" s="3109"/>
      <c r="E4" s="3110" t="s">
        <v>2331</v>
      </c>
      <c r="F4" s="3111"/>
      <c r="G4" s="3108" t="s">
        <v>2332</v>
      </c>
      <c r="H4" s="3109"/>
      <c r="I4" s="3108" t="s">
        <v>2333</v>
      </c>
      <c r="J4" s="3109"/>
      <c r="K4" s="594" t="s">
        <v>2334</v>
      </c>
      <c r="L4" s="1243"/>
      <c r="M4" s="1244"/>
      <c r="N4" s="1244"/>
      <c r="O4" s="1244"/>
      <c r="P4" s="3112" t="s">
        <v>2335</v>
      </c>
      <c r="Q4" s="3113"/>
      <c r="R4" s="3097" t="s">
        <v>2331</v>
      </c>
      <c r="S4" s="3098"/>
      <c r="T4" s="3097" t="s">
        <v>2332</v>
      </c>
      <c r="U4" s="3098"/>
      <c r="V4" s="3118" t="s">
        <v>2333</v>
      </c>
      <c r="W4" s="3118"/>
      <c r="X4" s="1890"/>
      <c r="Y4" s="3097" t="s">
        <v>2335</v>
      </c>
      <c r="Z4" s="3098"/>
      <c r="AA4" s="3105" t="s">
        <v>2331</v>
      </c>
      <c r="AB4" s="3106" t="s">
        <v>2332</v>
      </c>
      <c r="AC4" s="3105" t="s">
        <v>2333</v>
      </c>
    </row>
    <row r="5" spans="1:30" ht="15">
      <c r="A5" s="383"/>
      <c r="B5" s="384"/>
      <c r="C5" s="3093" t="s">
        <v>2336</v>
      </c>
      <c r="D5" s="3094"/>
      <c r="E5" s="3119" t="s">
        <v>2337</v>
      </c>
      <c r="F5" s="3120"/>
      <c r="G5" s="3093" t="s">
        <v>2338</v>
      </c>
      <c r="H5" s="3094"/>
      <c r="I5" s="3093" t="s">
        <v>2339</v>
      </c>
      <c r="J5" s="3094"/>
      <c r="K5" s="594"/>
      <c r="L5" s="1243"/>
      <c r="M5" s="1244"/>
      <c r="N5" s="1244"/>
      <c r="O5" s="1244"/>
      <c r="P5" s="3114"/>
      <c r="Q5" s="3115"/>
      <c r="R5" s="3099"/>
      <c r="S5" s="3100"/>
      <c r="T5" s="3099"/>
      <c r="U5" s="3100"/>
      <c r="V5" s="3118"/>
      <c r="W5" s="3118"/>
      <c r="X5" s="1890"/>
      <c r="Y5" s="3099"/>
      <c r="Z5" s="3100"/>
      <c r="AA5" s="3106"/>
      <c r="AB5" s="3106"/>
      <c r="AC5" s="3106"/>
    </row>
    <row r="6" spans="1:30" ht="15.75" thickBot="1">
      <c r="A6" s="385"/>
      <c r="B6" s="386"/>
      <c r="C6" s="3091" t="s">
        <v>2340</v>
      </c>
      <c r="D6" s="3092"/>
      <c r="E6" s="3121" t="s">
        <v>2340</v>
      </c>
      <c r="F6" s="3122"/>
      <c r="G6" s="3091" t="s">
        <v>2340</v>
      </c>
      <c r="H6" s="3092"/>
      <c r="I6" s="3091" t="s">
        <v>2340</v>
      </c>
      <c r="J6" s="3092"/>
      <c r="K6" s="594" t="s">
        <v>2341</v>
      </c>
      <c r="L6" s="1243"/>
      <c r="M6" s="1244"/>
      <c r="N6" s="1244"/>
      <c r="O6" s="1244"/>
      <c r="P6" s="3116"/>
      <c r="Q6" s="3117"/>
      <c r="R6" s="3099"/>
      <c r="S6" s="3100"/>
      <c r="T6" s="3101"/>
      <c r="U6" s="3102"/>
      <c r="V6" s="3118"/>
      <c r="W6" s="3118"/>
      <c r="X6" s="1890"/>
      <c r="Y6" s="3101"/>
      <c r="Z6" s="3102"/>
      <c r="AA6" s="3107"/>
      <c r="AB6" s="3107"/>
      <c r="AC6" s="3107"/>
    </row>
    <row r="7" spans="1:30" s="35" customFormat="1" ht="15.75" thickBot="1">
      <c r="A7" s="387" t="s">
        <v>2342</v>
      </c>
      <c r="B7" s="388"/>
      <c r="C7" s="389">
        <f>'数据-取费表'!B2</f>
        <v>43077</v>
      </c>
      <c r="D7" s="390">
        <v>100</v>
      </c>
      <c r="E7" s="391"/>
      <c r="F7" s="392">
        <f>SUMIF(70:70,YEAR(E7)&amp;"-"&amp;INT((MONTH(E7)+2)/3),71:71)</f>
        <v>0</v>
      </c>
      <c r="G7" s="2456"/>
      <c r="H7" s="390">
        <f>SUMIF(70:70,YEAR(G7)&amp;"-"&amp;INT((MONTH(G7)+2)/3),71:71)</f>
        <v>0</v>
      </c>
      <c r="I7" s="2456"/>
      <c r="J7" s="390">
        <f>SUMIF(70:70,YEAR(I7)&amp;"-"&amp;INT((MONTH(I7)+2)/3),71:71)</f>
        <v>0</v>
      </c>
      <c r="K7" s="595"/>
      <c r="L7" s="1245"/>
      <c r="M7" s="1246"/>
      <c r="N7" s="1246"/>
      <c r="O7" s="1246"/>
      <c r="P7" s="3095" t="s">
        <v>2343</v>
      </c>
      <c r="Q7" s="3103"/>
      <c r="R7" s="749" t="s">
        <v>25</v>
      </c>
      <c r="S7" s="750">
        <f t="shared" ref="S7:S15" si="0">F7</f>
        <v>0</v>
      </c>
      <c r="T7" s="749" t="s">
        <v>25</v>
      </c>
      <c r="U7" s="750">
        <f t="shared" ref="U7:U15" si="1">H7</f>
        <v>0</v>
      </c>
      <c r="V7" s="749" t="s">
        <v>25</v>
      </c>
      <c r="W7" s="750">
        <f t="shared" ref="W7:W15" si="2">J7</f>
        <v>0</v>
      </c>
      <c r="X7" s="751"/>
      <c r="Y7" s="3095" t="s">
        <v>2343</v>
      </c>
      <c r="Z7" s="3096"/>
      <c r="AA7" s="752" t="e">
        <f>D7/F7</f>
        <v>#DIV/0!</v>
      </c>
      <c r="AB7" s="752" t="e">
        <f>D7/H7</f>
        <v>#DIV/0!</v>
      </c>
      <c r="AC7" s="752" t="e">
        <f>D7/J7</f>
        <v>#DIV/0!</v>
      </c>
    </row>
    <row r="8" spans="1:30" s="35" customFormat="1" ht="15.75" thickBot="1">
      <c r="A8" s="387" t="s">
        <v>2344</v>
      </c>
      <c r="B8" s="388"/>
      <c r="C8" s="394" t="s">
        <v>2534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95" t="s">
        <v>2346</v>
      </c>
      <c r="Q8" s="3096"/>
      <c r="R8" s="749" t="s">
        <v>25</v>
      </c>
      <c r="S8" s="750">
        <f t="shared" si="0"/>
        <v>0</v>
      </c>
      <c r="T8" s="749" t="s">
        <v>25</v>
      </c>
      <c r="U8" s="750">
        <f t="shared" si="1"/>
        <v>0</v>
      </c>
      <c r="V8" s="749" t="s">
        <v>25</v>
      </c>
      <c r="W8" s="750">
        <f t="shared" si="2"/>
        <v>0</v>
      </c>
      <c r="X8" s="751"/>
      <c r="Y8" s="3095" t="s">
        <v>2346</v>
      </c>
      <c r="Z8" s="3096"/>
      <c r="AA8" s="752" t="e">
        <f t="shared" ref="AA8:AA45" si="3">D8/F8</f>
        <v>#DIV/0!</v>
      </c>
      <c r="AB8" s="752" t="e">
        <f t="shared" ref="AB8:AB45" si="4">D8/H8</f>
        <v>#DIV/0!</v>
      </c>
      <c r="AC8" s="752" t="e">
        <f t="shared" ref="AC8:AC45" si="5">D8/J8</f>
        <v>#DIV/0!</v>
      </c>
    </row>
    <row r="9" spans="1:30" s="35" customFormat="1">
      <c r="A9" s="395" t="s">
        <v>2347</v>
      </c>
      <c r="B9" s="28" t="s">
        <v>2348</v>
      </c>
      <c r="C9" s="2474"/>
      <c r="D9" s="51">
        <v>100</v>
      </c>
      <c r="E9" s="2474"/>
      <c r="F9" s="51">
        <f>SUMIF(75:75,E9,76:76)-SUMIF(75:75,C9,76:76)+100</f>
        <v>100</v>
      </c>
      <c r="G9" s="2474"/>
      <c r="H9" s="51">
        <f>SUMIF(75:75,G9,76:76)-SUMIF(75:75,C9,76:76)+100</f>
        <v>100</v>
      </c>
      <c r="I9" s="2474"/>
      <c r="J9" s="51">
        <f>SUMIF(75:75,I9,76:76)-SUMIF(75:75,C9,76:76)+100</f>
        <v>100</v>
      </c>
      <c r="K9" s="595"/>
      <c r="L9" s="1245"/>
      <c r="M9" s="1246"/>
      <c r="N9" s="1246"/>
      <c r="O9" s="1247"/>
      <c r="P9" s="3081" t="s">
        <v>2349</v>
      </c>
      <c r="Q9" s="1877" t="str">
        <f t="shared" ref="Q9:Q15" si="6">B9</f>
        <v>用途</v>
      </c>
      <c r="R9" s="749" t="s">
        <v>25</v>
      </c>
      <c r="S9" s="750">
        <f t="shared" si="0"/>
        <v>100</v>
      </c>
      <c r="T9" s="749" t="s">
        <v>25</v>
      </c>
      <c r="U9" s="750">
        <f t="shared" si="1"/>
        <v>100</v>
      </c>
      <c r="V9" s="749" t="s">
        <v>25</v>
      </c>
      <c r="W9" s="750">
        <f t="shared" si="2"/>
        <v>100</v>
      </c>
      <c r="X9" s="751"/>
      <c r="Y9" s="2907"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81"/>
      <c r="Q10" s="1877" t="str">
        <f t="shared" si="6"/>
        <v>土地使用年限（年）</v>
      </c>
      <c r="R10" s="749" t="s">
        <v>25</v>
      </c>
      <c r="S10" s="750">
        <f t="shared" si="0"/>
        <v>100</v>
      </c>
      <c r="T10" s="749" t="s">
        <v>25</v>
      </c>
      <c r="U10" s="750">
        <f t="shared" si="1"/>
        <v>100</v>
      </c>
      <c r="V10" s="749" t="s">
        <v>25</v>
      </c>
      <c r="W10" s="750">
        <f t="shared" si="2"/>
        <v>100</v>
      </c>
      <c r="X10" s="751"/>
      <c r="Y10" s="2907"/>
      <c r="Z10" s="23" t="str">
        <f t="shared" si="7"/>
        <v>土地使用年限（年）</v>
      </c>
      <c r="AA10" s="752">
        <f t="shared" si="3"/>
        <v>1</v>
      </c>
      <c r="AB10" s="752">
        <f t="shared" si="4"/>
        <v>1</v>
      </c>
      <c r="AC10" s="752">
        <f t="shared" si="5"/>
        <v>1</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81"/>
      <c r="Q11" s="1877" t="str">
        <f t="shared" si="6"/>
        <v>容积率</v>
      </c>
      <c r="R11" s="749" t="s">
        <v>25</v>
      </c>
      <c r="S11" s="750" t="e">
        <f t="shared" si="0"/>
        <v>#N/A</v>
      </c>
      <c r="T11" s="749" t="s">
        <v>25</v>
      </c>
      <c r="U11" s="750" t="e">
        <f t="shared" si="1"/>
        <v>#N/A</v>
      </c>
      <c r="V11" s="749" t="s">
        <v>25</v>
      </c>
      <c r="W11" s="750" t="e">
        <f t="shared" si="2"/>
        <v>#N/A</v>
      </c>
      <c r="X11" s="751"/>
      <c r="Y11" s="2907"/>
      <c r="Z11" s="23" t="str">
        <f t="shared" si="7"/>
        <v>容积率</v>
      </c>
      <c r="AA11" s="752" t="e">
        <f t="shared" si="3"/>
        <v>#N/A</v>
      </c>
      <c r="AB11" s="752" t="e">
        <f t="shared" si="4"/>
        <v>#N/A</v>
      </c>
      <c r="AC11" s="752" t="e">
        <f t="shared" si="5"/>
        <v>#N/A</v>
      </c>
    </row>
    <row r="12" spans="1:30" s="35" customFormat="1" ht="15">
      <c r="A12" s="411"/>
      <c r="B12" s="2389" t="s">
        <v>2535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81"/>
      <c r="Q12" s="1877" t="str">
        <f t="shared" si="6"/>
        <v>配建</v>
      </c>
      <c r="R12" s="749" t="s">
        <v>25</v>
      </c>
      <c r="S12" s="750">
        <f t="shared" si="0"/>
        <v>100</v>
      </c>
      <c r="T12" s="749" t="s">
        <v>25</v>
      </c>
      <c r="U12" s="750">
        <f t="shared" si="1"/>
        <v>100</v>
      </c>
      <c r="V12" s="749" t="s">
        <v>25</v>
      </c>
      <c r="W12" s="750">
        <f t="shared" si="2"/>
        <v>100</v>
      </c>
      <c r="X12" s="751"/>
      <c r="Y12" s="2907"/>
      <c r="Z12" s="23" t="str">
        <f t="shared" si="7"/>
        <v>配建</v>
      </c>
      <c r="AA12" s="752">
        <f>D12/F12</f>
        <v>1</v>
      </c>
      <c r="AB12" s="752">
        <f>D12/H12</f>
        <v>1</v>
      </c>
      <c r="AC12" s="752">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81"/>
      <c r="Q13" s="1877">
        <f t="shared" si="6"/>
        <v>111</v>
      </c>
      <c r="R13" s="749" t="s">
        <v>25</v>
      </c>
      <c r="S13" s="750">
        <f t="shared" si="0"/>
        <v>100</v>
      </c>
      <c r="T13" s="749" t="s">
        <v>25</v>
      </c>
      <c r="U13" s="750">
        <f t="shared" si="1"/>
        <v>100</v>
      </c>
      <c r="V13" s="749" t="s">
        <v>25</v>
      </c>
      <c r="W13" s="750">
        <f t="shared" si="2"/>
        <v>100</v>
      </c>
      <c r="X13" s="751"/>
      <c r="Y13" s="2907"/>
      <c r="Z13" s="23">
        <f t="shared" si="7"/>
        <v>111</v>
      </c>
      <c r="AA13" s="752">
        <f>D13/F13</f>
        <v>1</v>
      </c>
      <c r="AB13" s="752">
        <f>D13/H13</f>
        <v>1</v>
      </c>
      <c r="AC13" s="752">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81"/>
      <c r="Q14" s="1877">
        <f t="shared" si="6"/>
        <v>111</v>
      </c>
      <c r="R14" s="749" t="s">
        <v>25</v>
      </c>
      <c r="S14" s="750">
        <f t="shared" si="0"/>
        <v>100</v>
      </c>
      <c r="T14" s="749" t="s">
        <v>25</v>
      </c>
      <c r="U14" s="750">
        <f t="shared" si="1"/>
        <v>100</v>
      </c>
      <c r="V14" s="749" t="s">
        <v>25</v>
      </c>
      <c r="W14" s="750">
        <f t="shared" si="2"/>
        <v>100</v>
      </c>
      <c r="X14" s="751"/>
      <c r="Y14" s="2907"/>
      <c r="Z14" s="23">
        <f t="shared" si="7"/>
        <v>111</v>
      </c>
      <c r="AA14" s="752">
        <f>D14/F14</f>
        <v>1</v>
      </c>
      <c r="AB14" s="752">
        <f>D14/H14</f>
        <v>1</v>
      </c>
      <c r="AC14" s="752">
        <f>D14/J14</f>
        <v>1</v>
      </c>
    </row>
    <row r="15" spans="1:30" ht="99.75">
      <c r="A15" s="380" t="s">
        <v>2353</v>
      </c>
      <c r="B15" s="1487" t="s">
        <v>1727</v>
      </c>
      <c r="C15" s="245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84" t="s">
        <v>2354</v>
      </c>
      <c r="Q15" s="1889" t="str">
        <f t="shared" si="6"/>
        <v>居住社区成熟度</v>
      </c>
      <c r="R15" s="753" t="s">
        <v>25</v>
      </c>
      <c r="S15" s="754">
        <f t="shared" si="0"/>
        <v>100</v>
      </c>
      <c r="T15" s="753" t="s">
        <v>25</v>
      </c>
      <c r="U15" s="754">
        <f t="shared" si="1"/>
        <v>100</v>
      </c>
      <c r="V15" s="753" t="s">
        <v>25</v>
      </c>
      <c r="W15" s="754">
        <f t="shared" si="2"/>
        <v>100</v>
      </c>
      <c r="X15" s="1890"/>
      <c r="Y15" s="3084" t="s">
        <v>2354</v>
      </c>
      <c r="Z15" s="1892" t="str">
        <f t="shared" si="7"/>
        <v>居住社区成熟度</v>
      </c>
      <c r="AA15" s="1893">
        <f t="shared" si="3"/>
        <v>1</v>
      </c>
      <c r="AB15" s="1893">
        <f t="shared" si="4"/>
        <v>1</v>
      </c>
      <c r="AC15" s="1893">
        <f t="shared" si="5"/>
        <v>1</v>
      </c>
    </row>
    <row r="16" spans="1:30" ht="15">
      <c r="A16" s="383"/>
      <c r="B16" s="1488"/>
      <c r="C16" s="1472"/>
      <c r="D16" s="427"/>
      <c r="E16" s="428"/>
      <c r="F16" s="427"/>
      <c r="G16" s="428"/>
      <c r="H16" s="430"/>
      <c r="I16" s="2394"/>
      <c r="J16" s="427"/>
      <c r="K16" s="655"/>
      <c r="L16" s="1253"/>
      <c r="M16" s="1244"/>
      <c r="N16" s="1244"/>
      <c r="O16" s="1252"/>
      <c r="P16" s="3085"/>
      <c r="Q16" s="1889"/>
      <c r="R16" s="753"/>
      <c r="S16" s="754"/>
      <c r="T16" s="753"/>
      <c r="U16" s="754"/>
      <c r="V16" s="753"/>
      <c r="W16" s="754"/>
      <c r="X16" s="1890"/>
      <c r="Y16" s="3085"/>
      <c r="Z16" s="1892"/>
      <c r="AA16" s="1893">
        <v>1</v>
      </c>
      <c r="AB16" s="1893">
        <v>1</v>
      </c>
      <c r="AC16" s="1893">
        <v>1</v>
      </c>
    </row>
    <row r="17" spans="1:29" ht="99.75">
      <c r="A17" s="383"/>
      <c r="B17" s="1489" t="s">
        <v>2439</v>
      </c>
      <c r="C17" s="2475" t="str">
        <f>估价对象房地状况!C16</f>
        <v>隶属于蓟门桥商圈，周边2公里内有翠微百货（牡丹园店）、花园路百货商场、物美超市等，商业繁华度较好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85"/>
      <c r="Q17" s="1889" t="str">
        <f>B17</f>
        <v>商业繁华度</v>
      </c>
      <c r="R17" s="753" t="s">
        <v>25</v>
      </c>
      <c r="S17" s="754">
        <f>F17</f>
        <v>100</v>
      </c>
      <c r="T17" s="753" t="s">
        <v>25</v>
      </c>
      <c r="U17" s="754">
        <f>H17</f>
        <v>100</v>
      </c>
      <c r="V17" s="753" t="s">
        <v>25</v>
      </c>
      <c r="W17" s="754">
        <f>J17</f>
        <v>100</v>
      </c>
      <c r="X17" s="1890"/>
      <c r="Y17" s="3085"/>
      <c r="Z17" s="1892" t="str">
        <f>Q17</f>
        <v>商业繁华度</v>
      </c>
      <c r="AA17" s="1893">
        <f t="shared" si="3"/>
        <v>1</v>
      </c>
      <c r="AB17" s="1893">
        <f t="shared" si="4"/>
        <v>1</v>
      </c>
      <c r="AC17" s="1893">
        <f t="shared" si="5"/>
        <v>1</v>
      </c>
    </row>
    <row r="18" spans="1:29" ht="15">
      <c r="A18" s="383"/>
      <c r="B18" s="1490"/>
      <c r="C18" s="2459"/>
      <c r="D18" s="430"/>
      <c r="E18" s="1468"/>
      <c r="F18" s="430"/>
      <c r="G18" s="1468"/>
      <c r="H18" s="427"/>
      <c r="I18" s="2397"/>
      <c r="J18" s="427"/>
      <c r="K18" s="655"/>
      <c r="L18" s="1253"/>
      <c r="M18" s="1244"/>
      <c r="N18" s="1244"/>
      <c r="O18" s="1252"/>
      <c r="P18" s="3085"/>
      <c r="Q18" s="1889"/>
      <c r="R18" s="753"/>
      <c r="S18" s="754"/>
      <c r="T18" s="753"/>
      <c r="U18" s="754"/>
      <c r="V18" s="753"/>
      <c r="W18" s="754"/>
      <c r="X18" s="1890"/>
      <c r="Y18" s="3085"/>
      <c r="Z18" s="1892"/>
      <c r="AA18" s="1893">
        <v>1</v>
      </c>
      <c r="AB18" s="1893">
        <v>1</v>
      </c>
      <c r="AC18" s="1893">
        <v>1</v>
      </c>
    </row>
    <row r="19" spans="1:29" ht="71.25">
      <c r="A19" s="383"/>
      <c r="B19" s="1489" t="s">
        <v>2467</v>
      </c>
      <c r="C19" s="2475" t="str">
        <f>估价对象房地状况!C17</f>
        <v>隶属于蓟门桥商圈，周边2公里内写字楼大于10座，办公集聚程度较好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85"/>
      <c r="Q19" s="1889" t="str">
        <f>B19</f>
        <v>办公集聚程度</v>
      </c>
      <c r="R19" s="753" t="s">
        <v>25</v>
      </c>
      <c r="S19" s="754">
        <f>F19</f>
        <v>100</v>
      </c>
      <c r="T19" s="753" t="s">
        <v>25</v>
      </c>
      <c r="U19" s="754">
        <f>H19</f>
        <v>100</v>
      </c>
      <c r="V19" s="753" t="s">
        <v>25</v>
      </c>
      <c r="W19" s="754">
        <f>J19</f>
        <v>100</v>
      </c>
      <c r="X19" s="1890"/>
      <c r="Y19" s="3085"/>
      <c r="Z19" s="1892" t="str">
        <f>Q19</f>
        <v>办公集聚程度</v>
      </c>
      <c r="AA19" s="1893">
        <f t="shared" si="3"/>
        <v>1</v>
      </c>
      <c r="AB19" s="1893">
        <f t="shared" si="4"/>
        <v>1</v>
      </c>
      <c r="AC19" s="1893">
        <f t="shared" si="5"/>
        <v>1</v>
      </c>
    </row>
    <row r="20" spans="1:29" ht="15">
      <c r="A20" s="383"/>
      <c r="B20" s="1490"/>
      <c r="C20" s="1472"/>
      <c r="D20" s="427"/>
      <c r="E20" s="428"/>
      <c r="F20" s="427"/>
      <c r="G20" s="428"/>
      <c r="H20" s="427"/>
      <c r="I20" s="2394"/>
      <c r="J20" s="427"/>
      <c r="K20" s="655"/>
      <c r="L20" s="1253"/>
      <c r="M20" s="1244"/>
      <c r="N20" s="1244"/>
      <c r="O20" s="1252"/>
      <c r="P20" s="3085"/>
      <c r="Q20" s="1889"/>
      <c r="R20" s="753"/>
      <c r="S20" s="754"/>
      <c r="T20" s="753"/>
      <c r="U20" s="754"/>
      <c r="V20" s="753"/>
      <c r="W20" s="754"/>
      <c r="X20" s="1890"/>
      <c r="Y20" s="3085"/>
      <c r="Z20" s="1892"/>
      <c r="AA20" s="1893">
        <v>1</v>
      </c>
      <c r="AB20" s="1893">
        <v>1</v>
      </c>
      <c r="AC20" s="1893">
        <v>1</v>
      </c>
    </row>
    <row r="21" spans="1:29" ht="114">
      <c r="A21" s="383"/>
      <c r="B21" s="1489" t="s">
        <v>2496</v>
      </c>
      <c r="C21" s="2458" t="str">
        <f>估价对象房地状况!C18</f>
        <v>周边2公里内最高级别道路高速公路—G6，周边遍布十余条公交站点及地铁10号线（牡丹园站）等，综合评价交通便捷度较好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85"/>
      <c r="Q21" s="1889" t="str">
        <f>B21</f>
        <v>交通便捷度</v>
      </c>
      <c r="R21" s="753" t="s">
        <v>25</v>
      </c>
      <c r="S21" s="754">
        <f>F21</f>
        <v>100</v>
      </c>
      <c r="T21" s="753" t="s">
        <v>25</v>
      </c>
      <c r="U21" s="754">
        <f>H21</f>
        <v>100</v>
      </c>
      <c r="V21" s="753" t="s">
        <v>25</v>
      </c>
      <c r="W21" s="754">
        <f>J21</f>
        <v>100</v>
      </c>
      <c r="X21" s="1890"/>
      <c r="Y21" s="3085"/>
      <c r="Z21" s="1892" t="str">
        <f>Q21</f>
        <v>交通便捷度</v>
      </c>
      <c r="AA21" s="1893">
        <f t="shared" si="3"/>
        <v>1</v>
      </c>
      <c r="AB21" s="1893">
        <f t="shared" si="4"/>
        <v>1</v>
      </c>
      <c r="AC21" s="1893">
        <f t="shared" si="5"/>
        <v>1</v>
      </c>
    </row>
    <row r="22" spans="1:29" ht="15">
      <c r="A22" s="383"/>
      <c r="B22" s="1491"/>
      <c r="C22" s="1472"/>
      <c r="D22" s="430"/>
      <c r="E22" s="428"/>
      <c r="F22" s="427"/>
      <c r="G22" s="428"/>
      <c r="H22" s="427"/>
      <c r="I22" s="2394"/>
      <c r="J22" s="427"/>
      <c r="K22" s="655"/>
      <c r="L22" s="1253"/>
      <c r="M22" s="1244"/>
      <c r="N22" s="1244"/>
      <c r="O22" s="1252"/>
      <c r="P22" s="3085"/>
      <c r="Q22" s="1889"/>
      <c r="R22" s="753"/>
      <c r="S22" s="754"/>
      <c r="T22" s="753"/>
      <c r="U22" s="754"/>
      <c r="V22" s="753"/>
      <c r="W22" s="754"/>
      <c r="X22" s="1890"/>
      <c r="Y22" s="3085"/>
      <c r="Z22" s="1892"/>
      <c r="AA22" s="1893">
        <v>1</v>
      </c>
      <c r="AB22" s="1893">
        <v>1</v>
      </c>
      <c r="AC22" s="1893">
        <v>1</v>
      </c>
    </row>
    <row r="23" spans="1:29" ht="15">
      <c r="A23" s="383"/>
      <c r="B23" s="1492" t="s">
        <v>2536</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85"/>
      <c r="Q23" s="1889" t="str">
        <f t="shared" ref="Q23:Q37" si="8">B23</f>
        <v>区域土地利用方向</v>
      </c>
      <c r="R23" s="753" t="s">
        <v>25</v>
      </c>
      <c r="S23" s="754">
        <f>F23</f>
        <v>100</v>
      </c>
      <c r="T23" s="753" t="s">
        <v>25</v>
      </c>
      <c r="U23" s="754">
        <f>H23</f>
        <v>100</v>
      </c>
      <c r="V23" s="753" t="s">
        <v>25</v>
      </c>
      <c r="W23" s="754">
        <f>J23</f>
        <v>100</v>
      </c>
      <c r="X23" s="1890"/>
      <c r="Y23" s="3085"/>
      <c r="Z23" s="1892" t="str">
        <f>Q23</f>
        <v>区域土地利用方向</v>
      </c>
      <c r="AA23" s="1893">
        <f t="shared" si="3"/>
        <v>1</v>
      </c>
      <c r="AB23" s="1893">
        <f t="shared" si="4"/>
        <v>1</v>
      </c>
      <c r="AC23" s="1893">
        <f t="shared" si="5"/>
        <v>1</v>
      </c>
    </row>
    <row r="24" spans="1:29" ht="15">
      <c r="A24" s="383"/>
      <c r="B24" s="1493"/>
      <c r="C24" s="618"/>
      <c r="D24" s="427"/>
      <c r="E24" s="428"/>
      <c r="F24" s="427"/>
      <c r="G24" s="2394"/>
      <c r="H24" s="427"/>
      <c r="I24" s="2394"/>
      <c r="J24" s="427"/>
      <c r="K24" s="804"/>
      <c r="L24" s="1253"/>
      <c r="M24" s="1244"/>
      <c r="N24" s="1244"/>
      <c r="O24" s="1252"/>
      <c r="P24" s="3085"/>
      <c r="Q24" s="1889"/>
      <c r="R24" s="753"/>
      <c r="S24" s="754"/>
      <c r="T24" s="753"/>
      <c r="U24" s="754"/>
      <c r="V24" s="753"/>
      <c r="W24" s="754"/>
      <c r="X24" s="1890"/>
      <c r="Y24" s="3085"/>
      <c r="Z24" s="1892"/>
      <c r="AA24" s="1893"/>
      <c r="AB24" s="1893"/>
      <c r="AC24" s="1893"/>
    </row>
    <row r="25" spans="1:29" ht="71.25">
      <c r="A25" s="383"/>
      <c r="B25" s="1491" t="s">
        <v>2537</v>
      </c>
      <c r="C25" s="2475" t="str">
        <f>估价对象房地状况!C20</f>
        <v>区域自然环境：元大都遗址公园；人文环境；综合评价环境状况一般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85"/>
      <c r="Q25" s="1889" t="str">
        <f t="shared" si="8"/>
        <v>自然及人文环境状况</v>
      </c>
      <c r="R25" s="753" t="s">
        <v>25</v>
      </c>
      <c r="S25" s="754">
        <f>F25</f>
        <v>100</v>
      </c>
      <c r="T25" s="753" t="s">
        <v>25</v>
      </c>
      <c r="U25" s="754">
        <f>H25</f>
        <v>100</v>
      </c>
      <c r="V25" s="753" t="s">
        <v>25</v>
      </c>
      <c r="W25" s="754">
        <f>J25</f>
        <v>100</v>
      </c>
      <c r="X25" s="1890"/>
      <c r="Y25" s="3085"/>
      <c r="Z25" s="1892" t="str">
        <f>Q25</f>
        <v>自然及人文环境状况</v>
      </c>
      <c r="AA25" s="1893">
        <f t="shared" si="3"/>
        <v>1</v>
      </c>
      <c r="AB25" s="1893">
        <f t="shared" si="4"/>
        <v>1</v>
      </c>
      <c r="AC25" s="1893">
        <f t="shared" si="5"/>
        <v>1</v>
      </c>
    </row>
    <row r="26" spans="1:29" ht="15">
      <c r="A26" s="383"/>
      <c r="B26" s="1490"/>
      <c r="C26" s="1472"/>
      <c r="D26" s="427"/>
      <c r="E26" s="1472"/>
      <c r="F26" s="427"/>
      <c r="G26" s="1472"/>
      <c r="H26" s="427"/>
      <c r="I26" s="426"/>
      <c r="J26" s="427"/>
      <c r="K26" s="655"/>
      <c r="L26" s="1253"/>
      <c r="M26" s="1244"/>
      <c r="N26" s="1244"/>
      <c r="O26" s="1252"/>
      <c r="P26" s="3085"/>
      <c r="Q26" s="1889"/>
      <c r="R26" s="753"/>
      <c r="S26" s="754"/>
      <c r="T26" s="753"/>
      <c r="U26" s="754"/>
      <c r="V26" s="753"/>
      <c r="W26" s="754"/>
      <c r="X26" s="1890"/>
      <c r="Y26" s="3085"/>
      <c r="Z26" s="1892"/>
      <c r="AA26" s="1893">
        <v>1</v>
      </c>
      <c r="AB26" s="1893">
        <v>1</v>
      </c>
      <c r="AC26" s="1893">
        <v>1</v>
      </c>
    </row>
    <row r="27" spans="1:29" ht="85.5">
      <c r="A27" s="383"/>
      <c r="B27" s="1491" t="s">
        <v>2440</v>
      </c>
      <c r="C27" s="2458" t="str">
        <f>估价对象房地状况!C21</f>
        <v>2公里内有餐饮、医院、超市、购物中心、学校等，估价对象所在区域公共配套设施较齐备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85"/>
      <c r="Q27" s="1877" t="str">
        <f t="shared" ref="Q27" si="9">B27</f>
        <v>公共配套设施</v>
      </c>
      <c r="R27" s="749" t="s">
        <v>25</v>
      </c>
      <c r="S27" s="750">
        <f>F27</f>
        <v>100</v>
      </c>
      <c r="T27" s="749" t="s">
        <v>25</v>
      </c>
      <c r="U27" s="750">
        <f>H27</f>
        <v>100</v>
      </c>
      <c r="V27" s="749" t="s">
        <v>25</v>
      </c>
      <c r="W27" s="750">
        <f>J27</f>
        <v>100</v>
      </c>
      <c r="X27" s="1890"/>
      <c r="Y27" s="3085"/>
      <c r="Z27" s="23" t="str">
        <f>Q27</f>
        <v>公共配套设施</v>
      </c>
      <c r="AA27" s="1893">
        <f>D27/F27</f>
        <v>1</v>
      </c>
      <c r="AB27" s="1893">
        <f>D27/H27</f>
        <v>1</v>
      </c>
      <c r="AC27" s="1893">
        <f>D27/J27</f>
        <v>1</v>
      </c>
    </row>
    <row r="28" spans="1:29" ht="15">
      <c r="A28" s="383"/>
      <c r="B28" s="1490"/>
      <c r="C28" s="2477"/>
      <c r="D28" s="427"/>
      <c r="E28" s="2477"/>
      <c r="F28" s="427"/>
      <c r="G28" s="2477"/>
      <c r="H28" s="427"/>
      <c r="I28" s="2477"/>
      <c r="J28" s="427"/>
      <c r="K28" s="655"/>
      <c r="L28" s="1253"/>
      <c r="M28" s="1244"/>
      <c r="N28" s="1244"/>
      <c r="O28" s="1252"/>
      <c r="P28" s="3085"/>
      <c r="Q28" s="1889"/>
      <c r="R28" s="753"/>
      <c r="S28" s="754"/>
      <c r="T28" s="753"/>
      <c r="U28" s="754"/>
      <c r="V28" s="753"/>
      <c r="W28" s="754"/>
      <c r="X28" s="1890"/>
      <c r="Y28" s="3085"/>
      <c r="Z28" s="23"/>
      <c r="AA28" s="1893">
        <v>1</v>
      </c>
      <c r="AB28" s="1893">
        <v>1</v>
      </c>
      <c r="AC28" s="1893">
        <v>1</v>
      </c>
    </row>
    <row r="29" spans="1:29" s="35" customFormat="1" ht="15">
      <c r="A29" s="633"/>
      <c r="B29" s="1491" t="s">
        <v>2441</v>
      </c>
      <c r="C29" s="2478"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85"/>
      <c r="Q29" s="1877" t="str">
        <f t="shared" si="8"/>
        <v>基础设施水平</v>
      </c>
      <c r="R29" s="749" t="s">
        <v>25</v>
      </c>
      <c r="S29" s="750">
        <f>F29</f>
        <v>100</v>
      </c>
      <c r="T29" s="749" t="s">
        <v>25</v>
      </c>
      <c r="U29" s="750">
        <f>H29</f>
        <v>100</v>
      </c>
      <c r="V29" s="749" t="s">
        <v>25</v>
      </c>
      <c r="W29" s="750">
        <f>J29</f>
        <v>100</v>
      </c>
      <c r="X29" s="751"/>
      <c r="Y29" s="3085"/>
      <c r="Z29" s="23" t="str">
        <f>Q29</f>
        <v>基础设施水平</v>
      </c>
      <c r="AA29" s="1893">
        <f>D29/F29</f>
        <v>1</v>
      </c>
      <c r="AB29" s="1893">
        <f>D29/H29</f>
        <v>1</v>
      </c>
      <c r="AC29" s="1893">
        <f>D29/J29</f>
        <v>1</v>
      </c>
    </row>
    <row r="30" spans="1:29" s="35" customFormat="1" ht="15">
      <c r="A30" s="633"/>
      <c r="B30" s="1490"/>
      <c r="C30" s="2477"/>
      <c r="D30" s="427"/>
      <c r="E30" s="2477"/>
      <c r="F30" s="427"/>
      <c r="G30" s="2477"/>
      <c r="H30" s="427"/>
      <c r="I30" s="2477"/>
      <c r="J30" s="427"/>
      <c r="K30" s="655"/>
      <c r="L30" s="1245"/>
      <c r="M30" s="1246"/>
      <c r="N30" s="1246"/>
      <c r="O30" s="1247"/>
      <c r="P30" s="3085"/>
      <c r="Q30" s="1877"/>
      <c r="R30" s="749"/>
      <c r="S30" s="750"/>
      <c r="T30" s="749"/>
      <c r="U30" s="750"/>
      <c r="V30" s="749"/>
      <c r="W30" s="750"/>
      <c r="X30" s="751"/>
      <c r="Y30" s="3085"/>
      <c r="Z30" s="23"/>
      <c r="AA30" s="1893">
        <v>1</v>
      </c>
      <c r="AB30" s="1893">
        <v>1</v>
      </c>
      <c r="AC30" s="1893">
        <v>1</v>
      </c>
    </row>
    <row r="31" spans="1:29" ht="15">
      <c r="A31" s="383"/>
      <c r="B31" s="1490"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85"/>
      <c r="Q31" s="1889" t="str">
        <f t="shared" si="8"/>
        <v>临街状况</v>
      </c>
      <c r="R31" s="753" t="s">
        <v>25</v>
      </c>
      <c r="S31" s="754">
        <f t="shared" ref="S31:S45" si="10">F31</f>
        <v>100</v>
      </c>
      <c r="T31" s="753" t="s">
        <v>25</v>
      </c>
      <c r="U31" s="754">
        <f t="shared" ref="U31:U45" si="11">H31</f>
        <v>100</v>
      </c>
      <c r="V31" s="753" t="s">
        <v>25</v>
      </c>
      <c r="W31" s="754">
        <f t="shared" ref="W31:W45" si="12">J31</f>
        <v>100</v>
      </c>
      <c r="X31" s="1890"/>
      <c r="Y31" s="3085"/>
      <c r="Z31" s="1892" t="str">
        <f t="shared" ref="Z31:Z45" si="13">Q31</f>
        <v>临街状况</v>
      </c>
      <c r="AA31" s="1893">
        <f t="shared" si="3"/>
        <v>1</v>
      </c>
      <c r="AB31" s="1893">
        <f t="shared" si="4"/>
        <v>1</v>
      </c>
      <c r="AC31" s="1893">
        <f t="shared" si="5"/>
        <v>1</v>
      </c>
    </row>
    <row r="32" spans="1:29" ht="27">
      <c r="A32" s="383"/>
      <c r="B32" s="1491" t="s">
        <v>2471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85"/>
      <c r="Q32" s="1889" t="str">
        <f t="shared" si="8"/>
        <v>毗邻道路的类型与等级</v>
      </c>
      <c r="R32" s="753" t="s">
        <v>25</v>
      </c>
      <c r="S32" s="754">
        <f t="shared" si="10"/>
        <v>100</v>
      </c>
      <c r="T32" s="753" t="s">
        <v>25</v>
      </c>
      <c r="U32" s="754">
        <f t="shared" si="11"/>
        <v>100</v>
      </c>
      <c r="V32" s="753" t="s">
        <v>25</v>
      </c>
      <c r="W32" s="754">
        <f t="shared" si="12"/>
        <v>100</v>
      </c>
      <c r="X32" s="1890"/>
      <c r="Y32" s="3085"/>
      <c r="Z32" s="1892" t="str">
        <f t="shared" si="13"/>
        <v>毗邻道路的类型与等级</v>
      </c>
      <c r="AA32" s="1893">
        <f t="shared" si="3"/>
        <v>1</v>
      </c>
      <c r="AB32" s="1893">
        <f t="shared" si="4"/>
        <v>1</v>
      </c>
      <c r="AC32" s="1893">
        <f t="shared" si="5"/>
        <v>1</v>
      </c>
    </row>
    <row r="33" spans="1:29" ht="15">
      <c r="A33" s="383"/>
      <c r="B33" s="1490"/>
      <c r="C33" s="1472"/>
      <c r="D33" s="427"/>
      <c r="E33" s="1472"/>
      <c r="F33" s="427"/>
      <c r="G33" s="1472"/>
      <c r="H33" s="427"/>
      <c r="I33" s="426"/>
      <c r="J33" s="427"/>
      <c r="K33" s="597"/>
      <c r="L33" s="1253"/>
      <c r="M33" s="1244"/>
      <c r="N33" s="1244"/>
      <c r="O33" s="1252"/>
      <c r="P33" s="3085"/>
      <c r="Q33" s="1889"/>
      <c r="R33" s="753"/>
      <c r="S33" s="754"/>
      <c r="T33" s="753"/>
      <c r="U33" s="754"/>
      <c r="V33" s="753"/>
      <c r="W33" s="754"/>
      <c r="X33" s="1890"/>
      <c r="Y33" s="3085"/>
      <c r="Z33" s="1892"/>
      <c r="AA33" s="1893">
        <v>1</v>
      </c>
      <c r="AB33" s="1893">
        <v>1</v>
      </c>
      <c r="AC33" s="1893">
        <v>1</v>
      </c>
    </row>
    <row r="34" spans="1:29" ht="15">
      <c r="A34" s="383"/>
      <c r="B34" s="1494" t="s">
        <v>2538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85"/>
      <c r="Q34" s="1889" t="str">
        <f t="shared" si="8"/>
        <v>土地级别</v>
      </c>
      <c r="R34" s="753" t="s">
        <v>25</v>
      </c>
      <c r="S34" s="754">
        <f t="shared" si="10"/>
        <v>100</v>
      </c>
      <c r="T34" s="753" t="s">
        <v>25</v>
      </c>
      <c r="U34" s="754">
        <f t="shared" si="11"/>
        <v>100</v>
      </c>
      <c r="V34" s="753" t="s">
        <v>25</v>
      </c>
      <c r="W34" s="754">
        <f t="shared" si="12"/>
        <v>100</v>
      </c>
      <c r="X34" s="1890"/>
      <c r="Y34" s="3085"/>
      <c r="Z34" s="1892" t="str">
        <f t="shared" si="13"/>
        <v>土地级别</v>
      </c>
      <c r="AA34" s="1893">
        <f t="shared" si="3"/>
        <v>1</v>
      </c>
      <c r="AB34" s="1893">
        <f t="shared" si="4"/>
        <v>1</v>
      </c>
      <c r="AC34" s="189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85"/>
      <c r="Q35" s="1889">
        <f t="shared" si="8"/>
        <v>111</v>
      </c>
      <c r="R35" s="753" t="s">
        <v>25</v>
      </c>
      <c r="S35" s="754">
        <f t="shared" si="10"/>
        <v>100</v>
      </c>
      <c r="T35" s="753" t="s">
        <v>25</v>
      </c>
      <c r="U35" s="754">
        <f t="shared" si="11"/>
        <v>100</v>
      </c>
      <c r="V35" s="753" t="s">
        <v>25</v>
      </c>
      <c r="W35" s="754">
        <f t="shared" si="12"/>
        <v>100</v>
      </c>
      <c r="X35" s="1890"/>
      <c r="Y35" s="3085"/>
      <c r="Z35" s="1892">
        <f t="shared" si="13"/>
        <v>111</v>
      </c>
      <c r="AA35" s="1893">
        <f t="shared" si="3"/>
        <v>1</v>
      </c>
      <c r="AB35" s="1893">
        <f t="shared" si="4"/>
        <v>1</v>
      </c>
      <c r="AC35" s="189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33" t="s">
        <v>2360</v>
      </c>
      <c r="Q36" s="1889">
        <f t="shared" si="8"/>
        <v>111</v>
      </c>
      <c r="R36" s="753" t="s">
        <v>25</v>
      </c>
      <c r="S36" s="754">
        <f t="shared" si="10"/>
        <v>100</v>
      </c>
      <c r="T36" s="753" t="s">
        <v>25</v>
      </c>
      <c r="U36" s="754">
        <f t="shared" si="11"/>
        <v>100</v>
      </c>
      <c r="V36" s="753" t="s">
        <v>25</v>
      </c>
      <c r="W36" s="754">
        <f t="shared" si="12"/>
        <v>100</v>
      </c>
      <c r="X36" s="1890"/>
      <c r="Y36" s="3089" t="s">
        <v>2360</v>
      </c>
      <c r="Z36" s="1892">
        <f t="shared" si="13"/>
        <v>111</v>
      </c>
      <c r="AA36" s="1893">
        <f t="shared" si="3"/>
        <v>1</v>
      </c>
      <c r="AB36" s="1893">
        <f t="shared" si="4"/>
        <v>1</v>
      </c>
      <c r="AC36" s="189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89"/>
      <c r="Q37" s="1889">
        <f t="shared" si="8"/>
        <v>111</v>
      </c>
      <c r="R37" s="756" t="s">
        <v>25</v>
      </c>
      <c r="S37" s="757">
        <f t="shared" si="10"/>
        <v>100</v>
      </c>
      <c r="T37" s="756" t="s">
        <v>25</v>
      </c>
      <c r="U37" s="757">
        <f t="shared" si="11"/>
        <v>100</v>
      </c>
      <c r="V37" s="756" t="s">
        <v>25</v>
      </c>
      <c r="W37" s="757">
        <f t="shared" si="12"/>
        <v>100</v>
      </c>
      <c r="X37" s="758"/>
      <c r="Y37" s="3089"/>
      <c r="Z37" s="759">
        <f t="shared" si="13"/>
        <v>111</v>
      </c>
      <c r="AA37" s="1893">
        <f t="shared" si="3"/>
        <v>1</v>
      </c>
      <c r="AB37" s="1893">
        <f t="shared" si="4"/>
        <v>1</v>
      </c>
      <c r="AC37" s="1893">
        <f t="shared" si="5"/>
        <v>1</v>
      </c>
    </row>
    <row r="38" spans="1:29" ht="15">
      <c r="A38" s="380" t="s">
        <v>2358</v>
      </c>
      <c r="B38" s="436" t="s">
        <v>2539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89"/>
      <c r="Q38" s="1889" t="str">
        <f>B38</f>
        <v>宗地面积</v>
      </c>
      <c r="R38" s="753" t="s">
        <v>25</v>
      </c>
      <c r="S38" s="754" t="e">
        <f t="shared" si="10"/>
        <v>#N/A</v>
      </c>
      <c r="T38" s="753" t="s">
        <v>25</v>
      </c>
      <c r="U38" s="754" t="e">
        <f t="shared" si="11"/>
        <v>#N/A</v>
      </c>
      <c r="V38" s="753" t="s">
        <v>25</v>
      </c>
      <c r="W38" s="754" t="e">
        <f t="shared" si="12"/>
        <v>#N/A</v>
      </c>
      <c r="X38" s="1890"/>
      <c r="Y38" s="3089"/>
      <c r="Z38" s="1892" t="str">
        <f t="shared" si="13"/>
        <v>宗地面积</v>
      </c>
      <c r="AA38" s="1893" t="e">
        <f t="shared" si="3"/>
        <v>#N/A</v>
      </c>
      <c r="AB38" s="1893" t="e">
        <f t="shared" si="4"/>
        <v>#N/A</v>
      </c>
      <c r="AC38" s="1893" t="e">
        <f t="shared" si="5"/>
        <v>#N/A</v>
      </c>
    </row>
    <row r="39" spans="1:29" ht="15">
      <c r="A39" s="453"/>
      <c r="B39" s="402" t="s">
        <v>2540</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53"/>
      <c r="M39" s="1244"/>
      <c r="N39" s="1244"/>
      <c r="O39" s="1252"/>
      <c r="P39" s="3089"/>
      <c r="Q39" s="1889" t="str">
        <f t="shared" ref="Q39:Q45" si="14">B39</f>
        <v>宗地形状</v>
      </c>
      <c r="R39" s="753" t="s">
        <v>25</v>
      </c>
      <c r="S39" s="754">
        <f t="shared" si="10"/>
        <v>100</v>
      </c>
      <c r="T39" s="753" t="s">
        <v>25</v>
      </c>
      <c r="U39" s="754">
        <f t="shared" si="11"/>
        <v>100</v>
      </c>
      <c r="V39" s="753" t="s">
        <v>25</v>
      </c>
      <c r="W39" s="754">
        <f t="shared" si="12"/>
        <v>100</v>
      </c>
      <c r="X39" s="1890"/>
      <c r="Y39" s="3089"/>
      <c r="Z39" s="1892" t="str">
        <f t="shared" si="13"/>
        <v>宗地形状</v>
      </c>
      <c r="AA39" s="1893">
        <f t="shared" si="3"/>
        <v>1</v>
      </c>
      <c r="AB39" s="1893">
        <f t="shared" si="4"/>
        <v>1</v>
      </c>
      <c r="AC39" s="1893">
        <f t="shared" si="5"/>
        <v>1</v>
      </c>
    </row>
    <row r="40" spans="1:29" ht="15">
      <c r="A40" s="453"/>
      <c r="B40" s="402" t="s">
        <v>2541</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53"/>
      <c r="M40" s="1244"/>
      <c r="N40" s="1244"/>
      <c r="O40" s="1252"/>
      <c r="P40" s="3089"/>
      <c r="Q40" s="1889" t="str">
        <f t="shared" si="14"/>
        <v>临街宽度及深度</v>
      </c>
      <c r="R40" s="753" t="s">
        <v>25</v>
      </c>
      <c r="S40" s="754">
        <f t="shared" si="10"/>
        <v>100</v>
      </c>
      <c r="T40" s="753" t="s">
        <v>25</v>
      </c>
      <c r="U40" s="754">
        <f t="shared" si="11"/>
        <v>100</v>
      </c>
      <c r="V40" s="753" t="s">
        <v>25</v>
      </c>
      <c r="W40" s="754">
        <f t="shared" si="12"/>
        <v>100</v>
      </c>
      <c r="X40" s="1890"/>
      <c r="Y40" s="3089"/>
      <c r="Z40" s="1892" t="str">
        <f t="shared" si="13"/>
        <v>临街宽度及深度</v>
      </c>
      <c r="AA40" s="1893">
        <f t="shared" si="3"/>
        <v>1</v>
      </c>
      <c r="AB40" s="1893">
        <f t="shared" si="4"/>
        <v>1</v>
      </c>
      <c r="AC40" s="1893">
        <f t="shared" si="5"/>
        <v>1</v>
      </c>
    </row>
    <row r="41" spans="1:29" s="35" customFormat="1" ht="15">
      <c r="A41" s="454"/>
      <c r="B41" s="402" t="s">
        <v>2542</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45"/>
      <c r="M41" s="1246"/>
      <c r="N41" s="1246"/>
      <c r="O41" s="1247"/>
      <c r="P41" s="3089"/>
      <c r="Q41" s="1889" t="str">
        <f t="shared" si="14"/>
        <v>宗地开发程度</v>
      </c>
      <c r="R41" s="749" t="s">
        <v>25</v>
      </c>
      <c r="S41" s="750">
        <f t="shared" si="10"/>
        <v>100</v>
      </c>
      <c r="T41" s="749" t="s">
        <v>25</v>
      </c>
      <c r="U41" s="750">
        <f t="shared" si="11"/>
        <v>100</v>
      </c>
      <c r="V41" s="749" t="s">
        <v>25</v>
      </c>
      <c r="W41" s="750">
        <f t="shared" si="12"/>
        <v>100</v>
      </c>
      <c r="X41" s="751"/>
      <c r="Y41" s="3089"/>
      <c r="Z41" s="23" t="str">
        <f t="shared" si="13"/>
        <v>宗地开发程度</v>
      </c>
      <c r="AA41" s="752">
        <f t="shared" si="3"/>
        <v>1</v>
      </c>
      <c r="AB41" s="752">
        <f t="shared" si="4"/>
        <v>1</v>
      </c>
      <c r="AC41" s="752">
        <f t="shared" si="5"/>
        <v>1</v>
      </c>
    </row>
    <row r="42" spans="1:29" ht="15">
      <c r="A42" s="453"/>
      <c r="B42" s="402" t="s">
        <v>2543</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53"/>
      <c r="M42" s="1244"/>
      <c r="N42" s="1244"/>
      <c r="O42" s="1252"/>
      <c r="P42" s="3089" t="s">
        <v>2360</v>
      </c>
      <c r="Q42" s="1889" t="str">
        <f t="shared" si="14"/>
        <v>工程地质条件</v>
      </c>
      <c r="R42" s="753" t="s">
        <v>25</v>
      </c>
      <c r="S42" s="754">
        <f t="shared" si="10"/>
        <v>100</v>
      </c>
      <c r="T42" s="753" t="s">
        <v>25</v>
      </c>
      <c r="U42" s="754">
        <f t="shared" si="11"/>
        <v>100</v>
      </c>
      <c r="V42" s="753" t="s">
        <v>25</v>
      </c>
      <c r="W42" s="754">
        <f t="shared" si="12"/>
        <v>100</v>
      </c>
      <c r="X42" s="1890"/>
      <c r="Y42" s="3089" t="s">
        <v>2360</v>
      </c>
      <c r="Z42" s="1892" t="str">
        <f t="shared" si="13"/>
        <v>工程地质条件</v>
      </c>
      <c r="AA42" s="1893">
        <f t="shared" si="3"/>
        <v>1</v>
      </c>
      <c r="AB42" s="1893">
        <f t="shared" si="4"/>
        <v>1</v>
      </c>
      <c r="AC42" s="1893">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89"/>
      <c r="Q43" s="1889">
        <f t="shared" si="14"/>
        <v>111</v>
      </c>
      <c r="R43" s="753" t="s">
        <v>25</v>
      </c>
      <c r="S43" s="754">
        <f t="shared" si="10"/>
        <v>100</v>
      </c>
      <c r="T43" s="753" t="s">
        <v>25</v>
      </c>
      <c r="U43" s="754">
        <f t="shared" si="11"/>
        <v>100</v>
      </c>
      <c r="V43" s="753" t="s">
        <v>25</v>
      </c>
      <c r="W43" s="754">
        <f t="shared" si="12"/>
        <v>100</v>
      </c>
      <c r="X43" s="1890"/>
      <c r="Y43" s="3089"/>
      <c r="Z43" s="1892">
        <f t="shared" si="13"/>
        <v>111</v>
      </c>
      <c r="AA43" s="1893">
        <f t="shared" si="3"/>
        <v>1</v>
      </c>
      <c r="AB43" s="1893">
        <f t="shared" si="4"/>
        <v>1</v>
      </c>
      <c r="AC43" s="1893">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89"/>
      <c r="Q44" s="1889">
        <f t="shared" si="14"/>
        <v>111</v>
      </c>
      <c r="R44" s="753" t="s">
        <v>25</v>
      </c>
      <c r="S44" s="754">
        <f t="shared" si="10"/>
        <v>100</v>
      </c>
      <c r="T44" s="753" t="s">
        <v>25</v>
      </c>
      <c r="U44" s="754">
        <f t="shared" si="11"/>
        <v>100</v>
      </c>
      <c r="V44" s="753" t="s">
        <v>25</v>
      </c>
      <c r="W44" s="754">
        <f t="shared" si="12"/>
        <v>100</v>
      </c>
      <c r="X44" s="1890"/>
      <c r="Y44" s="3089"/>
      <c r="Z44" s="1892">
        <f t="shared" si="13"/>
        <v>111</v>
      </c>
      <c r="AA44" s="1893">
        <f t="shared" si="3"/>
        <v>1</v>
      </c>
      <c r="AB44" s="1893">
        <f t="shared" si="4"/>
        <v>1</v>
      </c>
      <c r="AC44" s="1893">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89"/>
      <c r="Q45" s="1889">
        <f t="shared" si="14"/>
        <v>111</v>
      </c>
      <c r="R45" s="756" t="s">
        <v>25</v>
      </c>
      <c r="S45" s="757">
        <f t="shared" si="10"/>
        <v>100</v>
      </c>
      <c r="T45" s="756" t="s">
        <v>25</v>
      </c>
      <c r="U45" s="757">
        <f t="shared" si="11"/>
        <v>100</v>
      </c>
      <c r="V45" s="756" t="s">
        <v>25</v>
      </c>
      <c r="W45" s="757">
        <f t="shared" si="12"/>
        <v>100</v>
      </c>
      <c r="X45" s="758"/>
      <c r="Y45" s="3089"/>
      <c r="Z45" s="759">
        <f t="shared" si="13"/>
        <v>111</v>
      </c>
      <c r="AA45" s="1893">
        <f t="shared" si="3"/>
        <v>1</v>
      </c>
      <c r="AB45" s="1893">
        <f t="shared" si="4"/>
        <v>1</v>
      </c>
      <c r="AC45" s="1893">
        <f t="shared" si="5"/>
        <v>1</v>
      </c>
    </row>
    <row r="46" spans="1:29" ht="15">
      <c r="A46" s="460" t="s">
        <v>2507</v>
      </c>
      <c r="B46" s="2482" t="s">
        <v>2544</v>
      </c>
      <c r="C46" s="665" t="s">
        <v>1</v>
      </c>
      <c r="D46" s="462"/>
      <c r="E46" s="463"/>
      <c r="F46" s="464"/>
      <c r="G46" s="465"/>
      <c r="H46" s="466"/>
      <c r="I46" s="463"/>
      <c r="J46" s="466"/>
      <c r="K46" s="762"/>
      <c r="L46" s="1256"/>
      <c r="M46" s="1257"/>
      <c r="N46" s="1244"/>
      <c r="O46" s="1257"/>
      <c r="P46" s="3081" t="str">
        <f>A46</f>
        <v>成交单价</v>
      </c>
      <c r="Q46" s="3081"/>
      <c r="R46" s="3118">
        <f>E46</f>
        <v>0</v>
      </c>
      <c r="S46" s="3118"/>
      <c r="T46" s="3118">
        <f>G46</f>
        <v>0</v>
      </c>
      <c r="U46" s="3118"/>
      <c r="V46" s="3118">
        <f>I46</f>
        <v>0</v>
      </c>
      <c r="W46" s="3118"/>
      <c r="X46" s="738"/>
      <c r="Y46" s="760"/>
      <c r="Z46" s="738"/>
      <c r="AA46" s="738"/>
      <c r="AB46" s="738"/>
      <c r="AC46" s="738"/>
    </row>
    <row r="47" spans="1:29" ht="15.75" thickBot="1">
      <c r="A47" s="467" t="s">
        <v>2455</v>
      </c>
      <c r="B47" s="666"/>
      <c r="C47" s="471" t="e">
        <f>R48</f>
        <v>#DIV/0!</v>
      </c>
      <c r="D47" s="470"/>
      <c r="E47" s="471" t="e">
        <f>R47</f>
        <v>#DIV/0!</v>
      </c>
      <c r="F47" s="472"/>
      <c r="G47" s="469" t="e">
        <f>T47</f>
        <v>#DIV/0!</v>
      </c>
      <c r="H47" s="470"/>
      <c r="I47" s="471" t="e">
        <f>V47</f>
        <v>#DIV/0!</v>
      </c>
      <c r="J47" s="470"/>
      <c r="K47" s="763"/>
      <c r="L47" s="1256"/>
      <c r="M47" s="1257"/>
      <c r="N47" s="1257"/>
      <c r="O47" s="1257"/>
      <c r="P47" s="3081" t="str">
        <f>A47</f>
        <v>比较价值（元/平方米）</v>
      </c>
      <c r="Q47" s="3081"/>
      <c r="R47" s="3134" t="e">
        <f>ROUND(PRODUCT(R46,AA7:AA45),0)</f>
        <v>#DIV/0!</v>
      </c>
      <c r="S47" s="3134"/>
      <c r="T47" s="3134" t="e">
        <f>ROUND(PRODUCT(T46,AB7:AB45),0)</f>
        <v>#DIV/0!</v>
      </c>
      <c r="U47" s="3134"/>
      <c r="V47" s="3134" t="e">
        <f>ROUND(PRODUCT(V46,AC7:AC45),0)</f>
        <v>#DIV/0!</v>
      </c>
      <c r="W47" s="3134"/>
      <c r="X47" s="738"/>
      <c r="Y47" s="738"/>
      <c r="Z47" s="738"/>
      <c r="AA47" s="738"/>
      <c r="AB47" s="738"/>
      <c r="AC47" s="738"/>
    </row>
    <row r="48" spans="1:29" ht="15.75" thickBot="1">
      <c r="A48" s="473" t="s">
        <v>2477</v>
      </c>
      <c r="B48" s="474"/>
      <c r="C48" s="475" t="e">
        <f>R48</f>
        <v>#DIV/0!</v>
      </c>
      <c r="D48" s="475"/>
      <c r="E48" s="475"/>
      <c r="F48" s="475"/>
      <c r="G48" s="475"/>
      <c r="H48" s="475"/>
      <c r="I48" s="475"/>
      <c r="J48" s="475"/>
      <c r="K48" s="764"/>
      <c r="L48" s="1256"/>
      <c r="M48" s="1257"/>
      <c r="N48" s="1257"/>
      <c r="O48" s="1257"/>
      <c r="P48" s="3078" t="str">
        <f>A48</f>
        <v>估价对象XX用房的比较价值（楼面单价，元/平方米）</v>
      </c>
      <c r="Q48" s="3079"/>
      <c r="R48" s="3135" t="e">
        <f>ROUND(AVERAGE(R47:V47),0)</f>
        <v>#DIV/0!</v>
      </c>
      <c r="S48" s="3135"/>
      <c r="T48" s="3135"/>
      <c r="U48" s="3135"/>
      <c r="V48" s="3135"/>
      <c r="W48" s="313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2456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2457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2458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2545</v>
      </c>
      <c r="B55" s="668" t="s">
        <v>2546</v>
      </c>
      <c r="C55" s="2483" t="s">
        <v>2547</v>
      </c>
      <c r="D55" s="2484" t="s">
        <v>2548</v>
      </c>
      <c r="E55" s="669" t="s">
        <v>2549</v>
      </c>
      <c r="F55" s="670" t="s">
        <v>2550</v>
      </c>
      <c r="G55" s="62" t="s">
        <v>2551</v>
      </c>
      <c r="H55" s="62">
        <f>项目基本情况!G8</f>
        <v>0</v>
      </c>
      <c r="I55" s="2485" t="s">
        <v>2552</v>
      </c>
      <c r="J55" s="739"/>
      <c r="K55" s="1258"/>
      <c r="L55" s="1258"/>
      <c r="M55" s="1257"/>
      <c r="N55" s="1257"/>
      <c r="O55" s="1257"/>
    </row>
    <row r="56" spans="1:15" s="675" customFormat="1">
      <c r="A56" s="671" t="s">
        <v>2553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2554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2555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2556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2557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2558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2559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2562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2563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2459</v>
      </c>
      <c r="B69" s="738"/>
      <c r="C69" s="743"/>
      <c r="D69" s="743"/>
      <c r="E69" s="743"/>
      <c r="F69" s="744"/>
      <c r="G69" s="744"/>
      <c r="H69" s="743"/>
      <c r="I69" s="1273"/>
      <c r="J69" s="1273"/>
      <c r="K69" s="1271"/>
      <c r="L69" s="1272"/>
      <c r="M69" s="1273"/>
      <c r="N69" s="1273"/>
      <c r="O69" s="1273"/>
      <c r="P69" s="484"/>
      <c r="Q69" s="485"/>
    </row>
    <row r="70" spans="1:17" s="1675" customFormat="1" ht="15">
      <c r="A70" s="2486" t="s">
        <v>2564</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87" t="s">
        <v>2565</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2380</v>
      </c>
      <c r="B72" s="497"/>
      <c r="C72" s="498"/>
      <c r="D72" s="499"/>
      <c r="E72" s="499"/>
      <c r="F72" s="499"/>
      <c r="G72" s="499"/>
      <c r="H72" s="499"/>
      <c r="I72" s="499"/>
      <c r="J72" s="499"/>
      <c r="K72" s="499"/>
      <c r="L72" s="499"/>
      <c r="M72" s="500"/>
      <c r="N72" s="499"/>
      <c r="O72" s="1677"/>
      <c r="P72" s="485"/>
      <c r="Q72" s="485"/>
    </row>
    <row r="73" spans="1:17" s="35" customFormat="1" ht="15">
      <c r="A73" s="502" t="s">
        <v>2344</v>
      </c>
      <c r="B73" s="491"/>
      <c r="C73" s="503" t="s">
        <v>2345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2383</v>
      </c>
      <c r="B75" s="509" t="s">
        <v>2348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2566</v>
      </c>
      <c r="C90" s="562" t="s">
        <v>2392</v>
      </c>
      <c r="D90" s="562" t="s">
        <v>2393</v>
      </c>
      <c r="E90" s="562" t="s">
        <v>2394</v>
      </c>
      <c r="F90" s="562" t="s">
        <v>2395</v>
      </c>
      <c r="G90" s="562" t="s">
        <v>2396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2478</v>
      </c>
      <c r="C92" s="562" t="s">
        <v>2392</v>
      </c>
      <c r="D92" s="562" t="s">
        <v>2393</v>
      </c>
      <c r="E92" s="562" t="s">
        <v>2394</v>
      </c>
      <c r="F92" s="562" t="s">
        <v>2395</v>
      </c>
      <c r="G92" s="562" t="s">
        <v>2396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2567</v>
      </c>
      <c r="C96" s="562" t="s">
        <v>2392</v>
      </c>
      <c r="D96" s="562" t="s">
        <v>2393</v>
      </c>
      <c r="E96" s="562" t="s">
        <v>2394</v>
      </c>
      <c r="F96" s="562" t="s">
        <v>2395</v>
      </c>
      <c r="G96" s="562" t="s">
        <v>2396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2568</v>
      </c>
      <c r="C98" s="557" t="s">
        <v>2392</v>
      </c>
      <c r="D98" s="557" t="s">
        <v>2393</v>
      </c>
      <c r="E98" s="557" t="s">
        <v>2394</v>
      </c>
      <c r="F98" s="557" t="s">
        <v>2395</v>
      </c>
      <c r="G98" s="557" t="s">
        <v>2396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2569</v>
      </c>
      <c r="D104" s="522" t="s">
        <v>2570</v>
      </c>
      <c r="E104" s="522" t="s">
        <v>2571</v>
      </c>
      <c r="F104" s="522" t="s">
        <v>2572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2538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2358</v>
      </c>
      <c r="B116" s="509" t="s">
        <v>2573</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2574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2575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2576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2577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2530</v>
      </c>
      <c r="B1" s="374"/>
      <c r="C1" s="375" t="s">
        <v>2578</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1994</v>
      </c>
      <c r="B2" s="654" t="e">
        <f>F61</f>
        <v>#DIV/0!</v>
      </c>
      <c r="C2" s="732" t="s">
        <v>2532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1995</v>
      </c>
      <c r="B3" s="593" t="e">
        <f>ROUND(B2/'数据-取费表'!B5,0)</f>
        <v>#DIV/0!</v>
      </c>
      <c r="C3" s="732" t="s">
        <v>2533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2329</v>
      </c>
      <c r="B4" s="381"/>
      <c r="C4" s="3108" t="s">
        <v>2330</v>
      </c>
      <c r="D4" s="3109"/>
      <c r="E4" s="3110" t="s">
        <v>2331</v>
      </c>
      <c r="F4" s="3111"/>
      <c r="G4" s="3108" t="s">
        <v>2332</v>
      </c>
      <c r="H4" s="3109"/>
      <c r="I4" s="3108" t="s">
        <v>2333</v>
      </c>
      <c r="J4" s="3109"/>
      <c r="K4" s="594" t="s">
        <v>2334</v>
      </c>
      <c r="L4" s="1243"/>
      <c r="M4" s="1244"/>
      <c r="N4" s="1244"/>
      <c r="O4" s="1244"/>
      <c r="P4" s="3112" t="s">
        <v>2335</v>
      </c>
      <c r="Q4" s="3113"/>
      <c r="R4" s="3097" t="s">
        <v>2331</v>
      </c>
      <c r="S4" s="3098"/>
      <c r="T4" s="3097" t="s">
        <v>2332</v>
      </c>
      <c r="U4" s="3098"/>
      <c r="V4" s="3118" t="s">
        <v>2333</v>
      </c>
      <c r="W4" s="3118"/>
      <c r="X4" s="1890"/>
      <c r="Y4" s="3097" t="s">
        <v>2335</v>
      </c>
      <c r="Z4" s="3098"/>
      <c r="AA4" s="3105" t="s">
        <v>2331</v>
      </c>
      <c r="AB4" s="3106" t="s">
        <v>2332</v>
      </c>
      <c r="AC4" s="3105" t="s">
        <v>2333</v>
      </c>
    </row>
    <row r="5" spans="1:29" ht="15">
      <c r="A5" s="383"/>
      <c r="B5" s="384"/>
      <c r="C5" s="3093" t="s">
        <v>2336</v>
      </c>
      <c r="D5" s="3094"/>
      <c r="E5" s="3119" t="s">
        <v>2337</v>
      </c>
      <c r="F5" s="3120"/>
      <c r="G5" s="3093" t="s">
        <v>2338</v>
      </c>
      <c r="H5" s="3094"/>
      <c r="I5" s="3093" t="s">
        <v>2339</v>
      </c>
      <c r="J5" s="3094"/>
      <c r="K5" s="594"/>
      <c r="L5" s="1243"/>
      <c r="M5" s="1244"/>
      <c r="N5" s="1244"/>
      <c r="O5" s="1244"/>
      <c r="P5" s="3114"/>
      <c r="Q5" s="3115"/>
      <c r="R5" s="3099"/>
      <c r="S5" s="3100"/>
      <c r="T5" s="3099"/>
      <c r="U5" s="3100"/>
      <c r="V5" s="3118"/>
      <c r="W5" s="3118"/>
      <c r="X5" s="1890"/>
      <c r="Y5" s="3099"/>
      <c r="Z5" s="3100"/>
      <c r="AA5" s="3106"/>
      <c r="AB5" s="3106"/>
      <c r="AC5" s="3106"/>
    </row>
    <row r="6" spans="1:29" ht="15.75" thickBot="1">
      <c r="A6" s="385"/>
      <c r="B6" s="386"/>
      <c r="C6" s="3091" t="s">
        <v>2340</v>
      </c>
      <c r="D6" s="3092"/>
      <c r="E6" s="3121" t="s">
        <v>2340</v>
      </c>
      <c r="F6" s="3122"/>
      <c r="G6" s="3091" t="s">
        <v>2340</v>
      </c>
      <c r="H6" s="3092"/>
      <c r="I6" s="3091" t="s">
        <v>2340</v>
      </c>
      <c r="J6" s="3092"/>
      <c r="K6" s="594" t="s">
        <v>2341</v>
      </c>
      <c r="L6" s="1243"/>
      <c r="M6" s="1244"/>
      <c r="N6" s="1244"/>
      <c r="O6" s="1244"/>
      <c r="P6" s="3116"/>
      <c r="Q6" s="3117"/>
      <c r="R6" s="3099"/>
      <c r="S6" s="3100"/>
      <c r="T6" s="3101"/>
      <c r="U6" s="3102"/>
      <c r="V6" s="3118"/>
      <c r="W6" s="3118"/>
      <c r="X6" s="1890"/>
      <c r="Y6" s="3101"/>
      <c r="Z6" s="3102"/>
      <c r="AA6" s="3107"/>
      <c r="AB6" s="3107"/>
      <c r="AC6" s="3107"/>
    </row>
    <row r="7" spans="1:29" s="35" customFormat="1" ht="15.75" thickBot="1">
      <c r="A7" s="387" t="s">
        <v>2342</v>
      </c>
      <c r="B7" s="388"/>
      <c r="C7" s="389">
        <f>'数据-取费表'!B2</f>
        <v>43077</v>
      </c>
      <c r="D7" s="390">
        <v>100</v>
      </c>
      <c r="E7" s="391"/>
      <c r="F7" s="392">
        <f>SUMIF(65:65,YEAR(E7)&amp;"-"&amp;INT((MONTH(E7)+2)/3),66:66)</f>
        <v>0</v>
      </c>
      <c r="G7" s="2456"/>
      <c r="H7" s="390">
        <f>SUMIF(65:65,YEAR(G7)&amp;"-"&amp;INT((MONTH(G7)+2)/3),66:66)</f>
        <v>0</v>
      </c>
      <c r="I7" s="2456"/>
      <c r="J7" s="390">
        <f>SUMIF(65:65,YEAR(I7)&amp;"-"&amp;INT((MONTH(I7)+2)/3),66:66)</f>
        <v>0</v>
      </c>
      <c r="K7" s="595"/>
      <c r="L7" s="1245"/>
      <c r="M7" s="1246"/>
      <c r="N7" s="1246"/>
      <c r="O7" s="1246"/>
      <c r="P7" s="3095" t="s">
        <v>2343</v>
      </c>
      <c r="Q7" s="3103"/>
      <c r="R7" s="749" t="s">
        <v>25</v>
      </c>
      <c r="S7" s="750">
        <f t="shared" ref="S7:S15" si="0">F7</f>
        <v>0</v>
      </c>
      <c r="T7" s="749" t="s">
        <v>25</v>
      </c>
      <c r="U7" s="750">
        <f t="shared" ref="U7:U15" si="1">H7</f>
        <v>0</v>
      </c>
      <c r="V7" s="749" t="s">
        <v>25</v>
      </c>
      <c r="W7" s="750">
        <f t="shared" ref="W7:W15" si="2">J7</f>
        <v>0</v>
      </c>
      <c r="X7" s="751"/>
      <c r="Y7" s="3095" t="s">
        <v>2343</v>
      </c>
      <c r="Z7" s="3096"/>
      <c r="AA7" s="752" t="e">
        <f>D7/F7</f>
        <v>#DIV/0!</v>
      </c>
      <c r="AB7" s="752" t="e">
        <f>D7/H7</f>
        <v>#DIV/0!</v>
      </c>
      <c r="AC7" s="752" t="e">
        <f>D7/J7</f>
        <v>#DIV/0!</v>
      </c>
    </row>
    <row r="8" spans="1:29" s="35" customFormat="1" ht="15.75" thickBot="1">
      <c r="A8" s="387" t="s">
        <v>2344</v>
      </c>
      <c r="B8" s="388"/>
      <c r="C8" s="394" t="s">
        <v>2534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95" t="s">
        <v>2346</v>
      </c>
      <c r="Q8" s="3096"/>
      <c r="R8" s="749" t="s">
        <v>25</v>
      </c>
      <c r="S8" s="750">
        <f t="shared" si="0"/>
        <v>0</v>
      </c>
      <c r="T8" s="749" t="s">
        <v>25</v>
      </c>
      <c r="U8" s="750">
        <f t="shared" si="1"/>
        <v>0</v>
      </c>
      <c r="V8" s="749" t="s">
        <v>25</v>
      </c>
      <c r="W8" s="750">
        <f t="shared" si="2"/>
        <v>0</v>
      </c>
      <c r="X8" s="751"/>
      <c r="Y8" s="3095" t="s">
        <v>2346</v>
      </c>
      <c r="Z8" s="3096"/>
      <c r="AA8" s="752" t="e">
        <f t="shared" ref="AA8:AA40" si="3">D8/F8</f>
        <v>#DIV/0!</v>
      </c>
      <c r="AB8" s="752" t="e">
        <f t="shared" ref="AB8:AB40" si="4">D8/H8</f>
        <v>#DIV/0!</v>
      </c>
      <c r="AC8" s="752" t="e">
        <f t="shared" ref="AC8:AC40" si="5">D8/J8</f>
        <v>#DIV/0!</v>
      </c>
    </row>
    <row r="9" spans="1:29" s="35" customFormat="1">
      <c r="A9" s="395" t="s">
        <v>2347</v>
      </c>
      <c r="B9" s="28" t="s">
        <v>2348</v>
      </c>
      <c r="C9" s="2474" t="s">
        <v>2579</v>
      </c>
      <c r="D9" s="51">
        <v>100</v>
      </c>
      <c r="E9" s="2474"/>
      <c r="F9" s="51">
        <f>SUMIF(70:70,E9,71:71)-SUMIF(70:70,C9,71:71)+100</f>
        <v>100</v>
      </c>
      <c r="G9" s="2474"/>
      <c r="H9" s="51">
        <f>SUMIF(70:70,G9,71:71)-SUMIF(70:70,C9,71:71)+100</f>
        <v>100</v>
      </c>
      <c r="I9" s="2474"/>
      <c r="J9" s="51">
        <f>SUMIF(70:70,I9,71:71)-SUMIF(70:70,C9,71:71)+100</f>
        <v>100</v>
      </c>
      <c r="K9" s="595"/>
      <c r="L9" s="1245"/>
      <c r="M9" s="1246"/>
      <c r="N9" s="1246"/>
      <c r="O9" s="1247"/>
      <c r="P9" s="3081" t="s">
        <v>2349</v>
      </c>
      <c r="Q9" s="1877" t="str">
        <f t="shared" ref="Q9:Q15" si="6">B9</f>
        <v>用途</v>
      </c>
      <c r="R9" s="749" t="s">
        <v>25</v>
      </c>
      <c r="S9" s="750">
        <f t="shared" si="0"/>
        <v>100</v>
      </c>
      <c r="T9" s="749" t="s">
        <v>25</v>
      </c>
      <c r="U9" s="750">
        <f t="shared" si="1"/>
        <v>100</v>
      </c>
      <c r="V9" s="749" t="s">
        <v>25</v>
      </c>
      <c r="W9" s="750">
        <f t="shared" si="2"/>
        <v>100</v>
      </c>
      <c r="X9" s="751"/>
      <c r="Y9" s="2907"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81"/>
      <c r="Q10" s="1877" t="str">
        <f t="shared" si="6"/>
        <v>土地使用年限（年）</v>
      </c>
      <c r="R10" s="749" t="s">
        <v>25</v>
      </c>
      <c r="S10" s="750">
        <f t="shared" si="0"/>
        <v>100</v>
      </c>
      <c r="T10" s="749" t="s">
        <v>25</v>
      </c>
      <c r="U10" s="750">
        <f t="shared" si="1"/>
        <v>100</v>
      </c>
      <c r="V10" s="749" t="s">
        <v>25</v>
      </c>
      <c r="W10" s="750">
        <f t="shared" si="2"/>
        <v>100</v>
      </c>
      <c r="X10" s="751"/>
      <c r="Y10" s="2907"/>
      <c r="Z10" s="23" t="str">
        <f t="shared" si="7"/>
        <v>土地使用年限（年）</v>
      </c>
      <c r="AA10" s="752">
        <f t="shared" si="3"/>
        <v>1</v>
      </c>
      <c r="AB10" s="752">
        <f t="shared" si="4"/>
        <v>1</v>
      </c>
      <c r="AC10" s="752">
        <f t="shared" si="5"/>
        <v>1</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81"/>
      <c r="Q11" s="1877" t="str">
        <f t="shared" si="6"/>
        <v>容积率</v>
      </c>
      <c r="R11" s="749" t="s">
        <v>25</v>
      </c>
      <c r="S11" s="750" t="e">
        <f t="shared" si="0"/>
        <v>#N/A</v>
      </c>
      <c r="T11" s="749" t="s">
        <v>25</v>
      </c>
      <c r="U11" s="750" t="e">
        <f t="shared" si="1"/>
        <v>#N/A</v>
      </c>
      <c r="V11" s="749" t="s">
        <v>25</v>
      </c>
      <c r="W11" s="750" t="e">
        <f t="shared" si="2"/>
        <v>#N/A</v>
      </c>
      <c r="X11" s="751"/>
      <c r="Y11" s="2907"/>
      <c r="Z11" s="23" t="str">
        <f t="shared" si="7"/>
        <v>容积率</v>
      </c>
      <c r="AA11" s="752" t="e">
        <f t="shared" si="3"/>
        <v>#N/A</v>
      </c>
      <c r="AB11" s="752" t="e">
        <f t="shared" si="4"/>
        <v>#N/A</v>
      </c>
      <c r="AC11" s="752"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81"/>
      <c r="Q12" s="1877">
        <f t="shared" si="6"/>
        <v>111</v>
      </c>
      <c r="R12" s="749" t="s">
        <v>25</v>
      </c>
      <c r="S12" s="750">
        <f t="shared" si="0"/>
        <v>100</v>
      </c>
      <c r="T12" s="749" t="s">
        <v>25</v>
      </c>
      <c r="U12" s="750">
        <f t="shared" si="1"/>
        <v>100</v>
      </c>
      <c r="V12" s="749" t="s">
        <v>25</v>
      </c>
      <c r="W12" s="750">
        <f t="shared" si="2"/>
        <v>100</v>
      </c>
      <c r="X12" s="751"/>
      <c r="Y12" s="2907"/>
      <c r="Z12" s="23">
        <f t="shared" si="7"/>
        <v>111</v>
      </c>
      <c r="AA12" s="752">
        <f>D12/F12</f>
        <v>1</v>
      </c>
      <c r="AB12" s="752">
        <f>D12/H12</f>
        <v>1</v>
      </c>
      <c r="AC12" s="752">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81"/>
      <c r="Q13" s="1877">
        <f t="shared" si="6"/>
        <v>111</v>
      </c>
      <c r="R13" s="749" t="s">
        <v>25</v>
      </c>
      <c r="S13" s="750">
        <f t="shared" si="0"/>
        <v>100</v>
      </c>
      <c r="T13" s="749" t="s">
        <v>25</v>
      </c>
      <c r="U13" s="750">
        <f t="shared" si="1"/>
        <v>100</v>
      </c>
      <c r="V13" s="749" t="s">
        <v>25</v>
      </c>
      <c r="W13" s="750">
        <f t="shared" si="2"/>
        <v>100</v>
      </c>
      <c r="X13" s="751"/>
      <c r="Y13" s="2907"/>
      <c r="Z13" s="23">
        <f t="shared" si="7"/>
        <v>111</v>
      </c>
      <c r="AA13" s="752">
        <f t="shared" si="3"/>
        <v>1</v>
      </c>
      <c r="AB13" s="752">
        <f t="shared" si="4"/>
        <v>1</v>
      </c>
      <c r="AC13" s="752">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81"/>
      <c r="Q14" s="1877">
        <f t="shared" si="6"/>
        <v>111</v>
      </c>
      <c r="R14" s="749" t="s">
        <v>25</v>
      </c>
      <c r="S14" s="750">
        <f t="shared" si="0"/>
        <v>100</v>
      </c>
      <c r="T14" s="749" t="s">
        <v>25</v>
      </c>
      <c r="U14" s="750">
        <f t="shared" si="1"/>
        <v>100</v>
      </c>
      <c r="V14" s="749" t="s">
        <v>25</v>
      </c>
      <c r="W14" s="750">
        <f t="shared" si="2"/>
        <v>100</v>
      </c>
      <c r="X14" s="751"/>
      <c r="Y14" s="2907"/>
      <c r="Z14" s="23">
        <f t="shared" si="7"/>
        <v>111</v>
      </c>
      <c r="AA14" s="752">
        <f t="shared" si="3"/>
        <v>1</v>
      </c>
      <c r="AB14" s="752">
        <f t="shared" si="4"/>
        <v>1</v>
      </c>
      <c r="AC14" s="752">
        <f t="shared" si="5"/>
        <v>1</v>
      </c>
    </row>
    <row r="15" spans="1:29" ht="57">
      <c r="A15" s="419" t="s">
        <v>2353</v>
      </c>
      <c r="B15" s="613" t="s">
        <v>2580</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84" t="s">
        <v>2354</v>
      </c>
      <c r="Q15" s="1889" t="str">
        <f t="shared" si="6"/>
        <v>产业集聚程度</v>
      </c>
      <c r="R15" s="753" t="s">
        <v>25</v>
      </c>
      <c r="S15" s="754">
        <f t="shared" si="0"/>
        <v>100</v>
      </c>
      <c r="T15" s="753" t="s">
        <v>25</v>
      </c>
      <c r="U15" s="754">
        <f t="shared" si="1"/>
        <v>100</v>
      </c>
      <c r="V15" s="753" t="s">
        <v>25</v>
      </c>
      <c r="W15" s="754">
        <f t="shared" si="2"/>
        <v>100</v>
      </c>
      <c r="X15" s="1890"/>
      <c r="Y15" s="3084" t="s">
        <v>2354</v>
      </c>
      <c r="Z15" s="1892" t="str">
        <f t="shared" si="7"/>
        <v>产业集聚程度</v>
      </c>
      <c r="AA15" s="1893">
        <f t="shared" si="3"/>
        <v>1</v>
      </c>
      <c r="AB15" s="1893">
        <f t="shared" si="4"/>
        <v>1</v>
      </c>
      <c r="AC15" s="1893">
        <f t="shared" si="5"/>
        <v>1</v>
      </c>
    </row>
    <row r="16" spans="1:29" ht="15">
      <c r="A16" s="408"/>
      <c r="B16" s="614"/>
      <c r="C16" s="426"/>
      <c r="D16" s="427"/>
      <c r="E16" s="1472"/>
      <c r="F16" s="427"/>
      <c r="G16" s="1472"/>
      <c r="H16" s="430"/>
      <c r="I16" s="1472"/>
      <c r="J16" s="427"/>
      <c r="K16" s="655"/>
      <c r="L16" s="1253"/>
      <c r="M16" s="1244"/>
      <c r="N16" s="1244"/>
      <c r="O16" s="1252"/>
      <c r="P16" s="3085"/>
      <c r="Q16" s="1889"/>
      <c r="R16" s="753"/>
      <c r="S16" s="754"/>
      <c r="T16" s="753"/>
      <c r="U16" s="754"/>
      <c r="V16" s="753"/>
      <c r="W16" s="754"/>
      <c r="X16" s="1890"/>
      <c r="Y16" s="3085"/>
      <c r="Z16" s="1892"/>
      <c r="AA16" s="1893">
        <v>1</v>
      </c>
      <c r="AB16" s="1893">
        <v>1</v>
      </c>
      <c r="AC16" s="1893">
        <v>1</v>
      </c>
    </row>
    <row r="17" spans="1:29" ht="85.5">
      <c r="A17" s="408"/>
      <c r="B17" s="615" t="s">
        <v>2496</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85"/>
      <c r="Q17" s="1889" t="str">
        <f>B17</f>
        <v>交通便捷度</v>
      </c>
      <c r="R17" s="753" t="s">
        <v>25</v>
      </c>
      <c r="S17" s="754">
        <f>F17</f>
        <v>100</v>
      </c>
      <c r="T17" s="753" t="s">
        <v>25</v>
      </c>
      <c r="U17" s="754">
        <f>H17</f>
        <v>100</v>
      </c>
      <c r="V17" s="753" t="s">
        <v>25</v>
      </c>
      <c r="W17" s="754">
        <f>J17</f>
        <v>100</v>
      </c>
      <c r="X17" s="1890"/>
      <c r="Y17" s="3085"/>
      <c r="Z17" s="1892" t="str">
        <f>Q17</f>
        <v>交通便捷度</v>
      </c>
      <c r="AA17" s="1893">
        <f t="shared" si="3"/>
        <v>1</v>
      </c>
      <c r="AB17" s="1893">
        <f t="shared" si="4"/>
        <v>1</v>
      </c>
      <c r="AC17" s="1893">
        <f t="shared" si="5"/>
        <v>1</v>
      </c>
    </row>
    <row r="18" spans="1:29" ht="15">
      <c r="A18" s="408"/>
      <c r="B18" s="616"/>
      <c r="C18" s="426"/>
      <c r="D18" s="427"/>
      <c r="E18" s="428"/>
      <c r="F18" s="427"/>
      <c r="G18" s="428"/>
      <c r="H18" s="427"/>
      <c r="I18" s="2394"/>
      <c r="J18" s="427"/>
      <c r="K18" s="655"/>
      <c r="L18" s="1253"/>
      <c r="M18" s="1244"/>
      <c r="N18" s="1244"/>
      <c r="O18" s="1252"/>
      <c r="P18" s="3085"/>
      <c r="Q18" s="1889"/>
      <c r="R18" s="753"/>
      <c r="S18" s="754"/>
      <c r="T18" s="753"/>
      <c r="U18" s="754"/>
      <c r="V18" s="753"/>
      <c r="W18" s="754"/>
      <c r="X18" s="1890"/>
      <c r="Y18" s="3085"/>
      <c r="Z18" s="1892"/>
      <c r="AA18" s="1893">
        <v>1</v>
      </c>
      <c r="AB18" s="1893">
        <v>1</v>
      </c>
      <c r="AC18" s="1893">
        <v>1</v>
      </c>
    </row>
    <row r="19" spans="1:29" ht="15">
      <c r="A19" s="408"/>
      <c r="B19" s="615" t="s">
        <v>2536</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85"/>
      <c r="Q19" s="1889" t="str">
        <f t="shared" ref="Q19:Q33" si="8">B19</f>
        <v>区域土地利用方向</v>
      </c>
      <c r="R19" s="753" t="s">
        <v>25</v>
      </c>
      <c r="S19" s="754">
        <f>F19</f>
        <v>100</v>
      </c>
      <c r="T19" s="753" t="s">
        <v>25</v>
      </c>
      <c r="U19" s="754">
        <f>H19</f>
        <v>100</v>
      </c>
      <c r="V19" s="753" t="s">
        <v>25</v>
      </c>
      <c r="W19" s="754">
        <f>J19</f>
        <v>100</v>
      </c>
      <c r="X19" s="1890"/>
      <c r="Y19" s="3085"/>
      <c r="Z19" s="1892" t="str">
        <f>Q19</f>
        <v>区域土地利用方向</v>
      </c>
      <c r="AA19" s="1893">
        <f t="shared" si="3"/>
        <v>1</v>
      </c>
      <c r="AB19" s="1893">
        <f t="shared" si="4"/>
        <v>1</v>
      </c>
      <c r="AC19" s="1893">
        <f t="shared" si="5"/>
        <v>1</v>
      </c>
    </row>
    <row r="20" spans="1:29" ht="15">
      <c r="A20" s="383"/>
      <c r="B20" s="616"/>
      <c r="C20" s="426"/>
      <c r="D20" s="427"/>
      <c r="E20" s="428"/>
      <c r="F20" s="427"/>
      <c r="G20" s="428"/>
      <c r="H20" s="427"/>
      <c r="I20" s="428"/>
      <c r="J20" s="427"/>
      <c r="K20" s="804"/>
      <c r="L20" s="1253"/>
      <c r="M20" s="1244"/>
      <c r="N20" s="1244"/>
      <c r="O20" s="1252"/>
      <c r="P20" s="3085"/>
      <c r="Q20" s="1889"/>
      <c r="R20" s="753"/>
      <c r="S20" s="754"/>
      <c r="T20" s="753"/>
      <c r="U20" s="754"/>
      <c r="V20" s="753"/>
      <c r="W20" s="754"/>
      <c r="X20" s="1890"/>
      <c r="Y20" s="3085"/>
      <c r="Z20" s="1892"/>
      <c r="AA20" s="1893"/>
      <c r="AB20" s="1893"/>
      <c r="AC20" s="1893"/>
    </row>
    <row r="21" spans="1:29" ht="71.25">
      <c r="A21" s="383"/>
      <c r="B21" s="615" t="s">
        <v>2581</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85"/>
      <c r="Q21" s="1889" t="str">
        <f t="shared" si="8"/>
        <v>环境状况</v>
      </c>
      <c r="R21" s="753" t="s">
        <v>25</v>
      </c>
      <c r="S21" s="754">
        <f>F21</f>
        <v>100</v>
      </c>
      <c r="T21" s="753" t="s">
        <v>25</v>
      </c>
      <c r="U21" s="754">
        <f>H21</f>
        <v>100</v>
      </c>
      <c r="V21" s="753" t="s">
        <v>25</v>
      </c>
      <c r="W21" s="754">
        <f>J21</f>
        <v>100</v>
      </c>
      <c r="X21" s="1890"/>
      <c r="Y21" s="3085"/>
      <c r="Z21" s="1892" t="str">
        <f>Q21</f>
        <v>环境状况</v>
      </c>
      <c r="AA21" s="1893">
        <f t="shared" si="3"/>
        <v>1</v>
      </c>
      <c r="AB21" s="1893">
        <f t="shared" si="4"/>
        <v>1</v>
      </c>
      <c r="AC21" s="1893">
        <f t="shared" si="5"/>
        <v>1</v>
      </c>
    </row>
    <row r="22" spans="1:29" ht="15">
      <c r="A22" s="383"/>
      <c r="B22" s="616"/>
      <c r="C22" s="426"/>
      <c r="D22" s="427"/>
      <c r="E22" s="1472"/>
      <c r="F22" s="427"/>
      <c r="G22" s="1472"/>
      <c r="H22" s="427"/>
      <c r="I22" s="426"/>
      <c r="J22" s="427"/>
      <c r="K22" s="655"/>
      <c r="L22" s="1253"/>
      <c r="M22" s="1244"/>
      <c r="N22" s="1244"/>
      <c r="O22" s="1252"/>
      <c r="P22" s="3085"/>
      <c r="Q22" s="1889"/>
      <c r="R22" s="753"/>
      <c r="S22" s="754"/>
      <c r="T22" s="753"/>
      <c r="U22" s="754"/>
      <c r="V22" s="753"/>
      <c r="W22" s="754"/>
      <c r="X22" s="1890"/>
      <c r="Y22" s="3085"/>
      <c r="Z22" s="1892"/>
      <c r="AA22" s="1893">
        <v>1</v>
      </c>
      <c r="AB22" s="1893">
        <v>1</v>
      </c>
      <c r="AC22" s="1893">
        <v>1</v>
      </c>
    </row>
    <row r="23" spans="1:29" s="35" customFormat="1" ht="42.75">
      <c r="A23" s="633"/>
      <c r="B23" s="615" t="s">
        <v>2440</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85"/>
      <c r="Q23" s="1877" t="str">
        <f t="shared" si="8"/>
        <v>公共配套设施</v>
      </c>
      <c r="R23" s="749" t="s">
        <v>25</v>
      </c>
      <c r="S23" s="750">
        <f>F23</f>
        <v>100</v>
      </c>
      <c r="T23" s="749" t="s">
        <v>25</v>
      </c>
      <c r="U23" s="750">
        <f>H23</f>
        <v>100</v>
      </c>
      <c r="V23" s="749" t="s">
        <v>25</v>
      </c>
      <c r="W23" s="750">
        <f>J23</f>
        <v>100</v>
      </c>
      <c r="X23" s="751"/>
      <c r="Y23" s="3085"/>
      <c r="Z23" s="23" t="str">
        <f>Q23</f>
        <v>公共配套设施</v>
      </c>
      <c r="AA23" s="1893">
        <f>D23/F23</f>
        <v>1</v>
      </c>
      <c r="AB23" s="1893">
        <f>D23/H23</f>
        <v>1</v>
      </c>
      <c r="AC23" s="1893">
        <f>D23/J23</f>
        <v>1</v>
      </c>
    </row>
    <row r="24" spans="1:29" s="35" customFormat="1" ht="15">
      <c r="A24" s="633"/>
      <c r="B24" s="616"/>
      <c r="C24" s="2488"/>
      <c r="D24" s="427"/>
      <c r="E24" s="1472"/>
      <c r="F24" s="427"/>
      <c r="G24" s="1472"/>
      <c r="H24" s="427"/>
      <c r="I24" s="426"/>
      <c r="J24" s="427"/>
      <c r="K24" s="655"/>
      <c r="L24" s="1245"/>
      <c r="M24" s="1246"/>
      <c r="N24" s="1246"/>
      <c r="O24" s="1247"/>
      <c r="P24" s="3085"/>
      <c r="Q24" s="1877"/>
      <c r="R24" s="749"/>
      <c r="S24" s="750"/>
      <c r="T24" s="749"/>
      <c r="U24" s="750"/>
      <c r="V24" s="749"/>
      <c r="W24" s="750"/>
      <c r="X24" s="751"/>
      <c r="Y24" s="3085"/>
      <c r="Z24" s="23"/>
      <c r="AA24" s="752">
        <v>1</v>
      </c>
      <c r="AB24" s="752">
        <v>1</v>
      </c>
      <c r="AC24" s="752">
        <v>1</v>
      </c>
    </row>
    <row r="25" spans="1:29" s="35" customFormat="1" ht="28.5">
      <c r="A25" s="633"/>
      <c r="B25" s="617" t="s">
        <v>2441</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85"/>
      <c r="Q25" s="1877" t="str">
        <f t="shared" ref="Q25" si="9">B25</f>
        <v>基础设施水平</v>
      </c>
      <c r="R25" s="749" t="s">
        <v>25</v>
      </c>
      <c r="S25" s="750">
        <f>F25</f>
        <v>100</v>
      </c>
      <c r="T25" s="749" t="s">
        <v>25</v>
      </c>
      <c r="U25" s="750">
        <f>H25</f>
        <v>100</v>
      </c>
      <c r="V25" s="749" t="s">
        <v>25</v>
      </c>
      <c r="W25" s="750">
        <f>J25</f>
        <v>100</v>
      </c>
      <c r="X25" s="751"/>
      <c r="Y25" s="3085"/>
      <c r="Z25" s="23" t="str">
        <f>Q25</f>
        <v>基础设施水平</v>
      </c>
      <c r="AA25" s="1893">
        <f>D25/F25</f>
        <v>1</v>
      </c>
      <c r="AB25" s="1893">
        <f>D25/H25</f>
        <v>1</v>
      </c>
      <c r="AC25" s="1893">
        <f>D25/J25</f>
        <v>1</v>
      </c>
    </row>
    <row r="26" spans="1:29" s="35" customFormat="1" ht="15">
      <c r="A26" s="633"/>
      <c r="B26" s="616"/>
      <c r="C26" s="2488"/>
      <c r="D26" s="427"/>
      <c r="E26" s="2477"/>
      <c r="F26" s="427"/>
      <c r="G26" s="2477"/>
      <c r="H26" s="427"/>
      <c r="I26" s="2477"/>
      <c r="J26" s="427"/>
      <c r="K26" s="655"/>
      <c r="L26" s="1245"/>
      <c r="M26" s="1246"/>
      <c r="N26" s="1246"/>
      <c r="O26" s="1247"/>
      <c r="P26" s="3085"/>
      <c r="Q26" s="1877"/>
      <c r="R26" s="749"/>
      <c r="S26" s="750"/>
      <c r="T26" s="749"/>
      <c r="U26" s="750"/>
      <c r="V26" s="749"/>
      <c r="W26" s="750"/>
      <c r="X26" s="751"/>
      <c r="Y26" s="3085"/>
      <c r="Z26" s="23"/>
      <c r="AA26" s="752">
        <v>1</v>
      </c>
      <c r="AB26" s="752">
        <v>1</v>
      </c>
      <c r="AC26" s="752">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85"/>
      <c r="Q27" s="1889" t="str">
        <f t="shared" si="8"/>
        <v>临街状况</v>
      </c>
      <c r="R27" s="753" t="s">
        <v>25</v>
      </c>
      <c r="S27" s="754">
        <f t="shared" ref="S27:S40" si="10">F27</f>
        <v>100</v>
      </c>
      <c r="T27" s="753" t="s">
        <v>25</v>
      </c>
      <c r="U27" s="754">
        <f t="shared" ref="U27:U40" si="11">H27</f>
        <v>100</v>
      </c>
      <c r="V27" s="753" t="s">
        <v>25</v>
      </c>
      <c r="W27" s="754">
        <f t="shared" ref="W27:W40" si="12">J27</f>
        <v>100</v>
      </c>
      <c r="X27" s="1890"/>
      <c r="Y27" s="3085"/>
      <c r="Z27" s="1892" t="str">
        <f t="shared" ref="Z27:Z40" si="13">Q27</f>
        <v>临街状况</v>
      </c>
      <c r="AA27" s="1893">
        <f t="shared" si="3"/>
        <v>1</v>
      </c>
      <c r="AB27" s="1893">
        <f t="shared" si="4"/>
        <v>1</v>
      </c>
      <c r="AC27" s="1893">
        <f t="shared" si="5"/>
        <v>1</v>
      </c>
    </row>
    <row r="28" spans="1:29" ht="27">
      <c r="A28" s="408"/>
      <c r="B28" s="617" t="s">
        <v>2471</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85"/>
      <c r="Q28" s="1889" t="str">
        <f t="shared" si="8"/>
        <v>毗邻道路的类型与等级</v>
      </c>
      <c r="R28" s="753" t="s">
        <v>25</v>
      </c>
      <c r="S28" s="754">
        <f t="shared" si="10"/>
        <v>100</v>
      </c>
      <c r="T28" s="753" t="s">
        <v>25</v>
      </c>
      <c r="U28" s="754">
        <f t="shared" si="11"/>
        <v>100</v>
      </c>
      <c r="V28" s="753" t="s">
        <v>25</v>
      </c>
      <c r="W28" s="754">
        <f t="shared" si="12"/>
        <v>100</v>
      </c>
      <c r="X28" s="1890"/>
      <c r="Y28" s="3085"/>
      <c r="Z28" s="1892" t="str">
        <f t="shared" si="13"/>
        <v>毗邻道路的类型与等级</v>
      </c>
      <c r="AA28" s="1893">
        <f t="shared" si="3"/>
        <v>1</v>
      </c>
      <c r="AB28" s="1893">
        <f t="shared" si="4"/>
        <v>1</v>
      </c>
      <c r="AC28" s="1893">
        <f t="shared" si="5"/>
        <v>1</v>
      </c>
    </row>
    <row r="29" spans="1:29" ht="15">
      <c r="A29" s="408"/>
      <c r="B29" s="616"/>
      <c r="C29" s="426"/>
      <c r="D29" s="427"/>
      <c r="E29" s="1472"/>
      <c r="F29" s="427"/>
      <c r="G29" s="1472"/>
      <c r="H29" s="427"/>
      <c r="I29" s="1472"/>
      <c r="J29" s="427"/>
      <c r="K29" s="597"/>
      <c r="L29" s="1253"/>
      <c r="M29" s="1244"/>
      <c r="N29" s="1244"/>
      <c r="O29" s="1252"/>
      <c r="P29" s="3085"/>
      <c r="Q29" s="1889"/>
      <c r="R29" s="753"/>
      <c r="S29" s="754"/>
      <c r="T29" s="753"/>
      <c r="U29" s="754"/>
      <c r="V29" s="753"/>
      <c r="W29" s="754"/>
      <c r="X29" s="1890"/>
      <c r="Y29" s="3085"/>
      <c r="Z29" s="1892"/>
      <c r="AA29" s="1893">
        <v>1</v>
      </c>
      <c r="AB29" s="1893">
        <v>1</v>
      </c>
      <c r="AC29" s="1893">
        <v>1</v>
      </c>
    </row>
    <row r="30" spans="1:29" ht="15">
      <c r="A30" s="408"/>
      <c r="B30" s="637" t="s">
        <v>2538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85"/>
      <c r="Q30" s="1889" t="str">
        <f t="shared" si="8"/>
        <v>土地级别</v>
      </c>
      <c r="R30" s="753" t="s">
        <v>25</v>
      </c>
      <c r="S30" s="754">
        <f t="shared" si="10"/>
        <v>100</v>
      </c>
      <c r="T30" s="753" t="s">
        <v>25</v>
      </c>
      <c r="U30" s="754">
        <f t="shared" si="11"/>
        <v>100</v>
      </c>
      <c r="V30" s="753" t="s">
        <v>25</v>
      </c>
      <c r="W30" s="754">
        <f t="shared" si="12"/>
        <v>100</v>
      </c>
      <c r="X30" s="1890"/>
      <c r="Y30" s="3085"/>
      <c r="Z30" s="1892" t="str">
        <f t="shared" si="13"/>
        <v>土地级别</v>
      </c>
      <c r="AA30" s="1893">
        <f t="shared" si="3"/>
        <v>1</v>
      </c>
      <c r="AB30" s="1893">
        <f t="shared" si="4"/>
        <v>1</v>
      </c>
      <c r="AC30" s="1893">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85"/>
      <c r="Q31" s="1889">
        <f t="shared" si="8"/>
        <v>111</v>
      </c>
      <c r="R31" s="753" t="s">
        <v>25</v>
      </c>
      <c r="S31" s="754">
        <f t="shared" si="10"/>
        <v>100</v>
      </c>
      <c r="T31" s="753" t="s">
        <v>25</v>
      </c>
      <c r="U31" s="754">
        <f t="shared" si="11"/>
        <v>100</v>
      </c>
      <c r="V31" s="753" t="s">
        <v>25</v>
      </c>
      <c r="W31" s="754">
        <f t="shared" si="12"/>
        <v>100</v>
      </c>
      <c r="X31" s="1890"/>
      <c r="Y31" s="3085"/>
      <c r="Z31" s="1892">
        <f t="shared" si="13"/>
        <v>111</v>
      </c>
      <c r="AA31" s="1893">
        <f t="shared" si="3"/>
        <v>1</v>
      </c>
      <c r="AB31" s="1893">
        <f t="shared" si="4"/>
        <v>1</v>
      </c>
      <c r="AC31" s="1893">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33" t="s">
        <v>2360</v>
      </c>
      <c r="Q32" s="1889">
        <f t="shared" si="8"/>
        <v>111</v>
      </c>
      <c r="R32" s="753" t="s">
        <v>25</v>
      </c>
      <c r="S32" s="754">
        <f t="shared" si="10"/>
        <v>100</v>
      </c>
      <c r="T32" s="753" t="s">
        <v>25</v>
      </c>
      <c r="U32" s="754">
        <f t="shared" si="11"/>
        <v>100</v>
      </c>
      <c r="V32" s="753" t="s">
        <v>25</v>
      </c>
      <c r="W32" s="754">
        <f t="shared" si="12"/>
        <v>100</v>
      </c>
      <c r="X32" s="1890"/>
      <c r="Y32" s="3089" t="s">
        <v>2360</v>
      </c>
      <c r="Z32" s="1892">
        <f t="shared" si="13"/>
        <v>111</v>
      </c>
      <c r="AA32" s="1893">
        <f t="shared" si="3"/>
        <v>1</v>
      </c>
      <c r="AB32" s="1893">
        <f t="shared" si="4"/>
        <v>1</v>
      </c>
      <c r="AC32" s="1893">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89"/>
      <c r="Q33" s="1889">
        <f t="shared" si="8"/>
        <v>111</v>
      </c>
      <c r="R33" s="756" t="s">
        <v>25</v>
      </c>
      <c r="S33" s="757">
        <f t="shared" si="10"/>
        <v>100</v>
      </c>
      <c r="T33" s="756" t="s">
        <v>25</v>
      </c>
      <c r="U33" s="757">
        <f t="shared" si="11"/>
        <v>100</v>
      </c>
      <c r="V33" s="756" t="s">
        <v>25</v>
      </c>
      <c r="W33" s="757">
        <f t="shared" si="12"/>
        <v>100</v>
      </c>
      <c r="X33" s="758"/>
      <c r="Y33" s="3089"/>
      <c r="Z33" s="759">
        <f t="shared" si="13"/>
        <v>111</v>
      </c>
      <c r="AA33" s="1893">
        <f t="shared" si="3"/>
        <v>1</v>
      </c>
      <c r="AB33" s="1893">
        <f t="shared" si="4"/>
        <v>1</v>
      </c>
      <c r="AC33" s="1893">
        <f t="shared" si="5"/>
        <v>1</v>
      </c>
    </row>
    <row r="34" spans="1:29" ht="15">
      <c r="A34" s="453" t="s">
        <v>2358</v>
      </c>
      <c r="B34" s="436" t="s">
        <v>2539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89"/>
      <c r="Q34" s="1889" t="str">
        <f>B34</f>
        <v>宗地面积</v>
      </c>
      <c r="R34" s="753" t="s">
        <v>25</v>
      </c>
      <c r="S34" s="754" t="e">
        <f t="shared" si="10"/>
        <v>#N/A</v>
      </c>
      <c r="T34" s="753" t="s">
        <v>25</v>
      </c>
      <c r="U34" s="754" t="e">
        <f t="shared" si="11"/>
        <v>#N/A</v>
      </c>
      <c r="V34" s="753" t="s">
        <v>25</v>
      </c>
      <c r="W34" s="754" t="e">
        <f t="shared" si="12"/>
        <v>#N/A</v>
      </c>
      <c r="X34" s="1890"/>
      <c r="Y34" s="3089"/>
      <c r="Z34" s="1892" t="str">
        <f t="shared" si="13"/>
        <v>宗地面积</v>
      </c>
      <c r="AA34" s="1893" t="e">
        <f t="shared" si="3"/>
        <v>#N/A</v>
      </c>
      <c r="AB34" s="1893" t="e">
        <f t="shared" si="4"/>
        <v>#N/A</v>
      </c>
      <c r="AC34" s="1893" t="e">
        <f t="shared" si="5"/>
        <v>#N/A</v>
      </c>
    </row>
    <row r="35" spans="1:29" ht="15">
      <c r="A35" s="453"/>
      <c r="B35" s="402" t="s">
        <v>2540</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53"/>
      <c r="M35" s="1244"/>
      <c r="N35" s="1244"/>
      <c r="O35" s="1252"/>
      <c r="P35" s="3089"/>
      <c r="Q35" s="1889" t="str">
        <f t="shared" ref="Q35:Q40" si="14">B35</f>
        <v>宗地形状</v>
      </c>
      <c r="R35" s="753" t="s">
        <v>25</v>
      </c>
      <c r="S35" s="754">
        <f t="shared" si="10"/>
        <v>100</v>
      </c>
      <c r="T35" s="753" t="s">
        <v>25</v>
      </c>
      <c r="U35" s="754">
        <f t="shared" si="11"/>
        <v>100</v>
      </c>
      <c r="V35" s="753" t="s">
        <v>25</v>
      </c>
      <c r="W35" s="754">
        <f t="shared" si="12"/>
        <v>100</v>
      </c>
      <c r="X35" s="1890"/>
      <c r="Y35" s="3089"/>
      <c r="Z35" s="1892" t="str">
        <f t="shared" si="13"/>
        <v>宗地形状</v>
      </c>
      <c r="AA35" s="1893">
        <f t="shared" si="3"/>
        <v>1</v>
      </c>
      <c r="AB35" s="1893">
        <f t="shared" si="4"/>
        <v>1</v>
      </c>
      <c r="AC35" s="1893">
        <f t="shared" si="5"/>
        <v>1</v>
      </c>
    </row>
    <row r="36" spans="1:29" s="35" customFormat="1" ht="15">
      <c r="A36" s="454"/>
      <c r="B36" s="402" t="s">
        <v>2542</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45"/>
      <c r="M36" s="1246"/>
      <c r="N36" s="1246"/>
      <c r="O36" s="1247"/>
      <c r="P36" s="3089"/>
      <c r="Q36" s="1889" t="str">
        <f t="shared" si="14"/>
        <v>宗地开发程度</v>
      </c>
      <c r="R36" s="749" t="s">
        <v>25</v>
      </c>
      <c r="S36" s="750">
        <f t="shared" si="10"/>
        <v>100</v>
      </c>
      <c r="T36" s="749" t="s">
        <v>25</v>
      </c>
      <c r="U36" s="750">
        <f t="shared" si="11"/>
        <v>100</v>
      </c>
      <c r="V36" s="749" t="s">
        <v>25</v>
      </c>
      <c r="W36" s="750">
        <f t="shared" si="12"/>
        <v>100</v>
      </c>
      <c r="X36" s="751"/>
      <c r="Y36" s="3089"/>
      <c r="Z36" s="23" t="str">
        <f t="shared" si="13"/>
        <v>宗地开发程度</v>
      </c>
      <c r="AA36" s="752">
        <f t="shared" si="3"/>
        <v>1</v>
      </c>
      <c r="AB36" s="752">
        <f t="shared" si="4"/>
        <v>1</v>
      </c>
      <c r="AC36" s="752">
        <f t="shared" si="5"/>
        <v>1</v>
      </c>
    </row>
    <row r="37" spans="1:29" ht="15">
      <c r="A37" s="453"/>
      <c r="B37" s="402" t="s">
        <v>2543</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53"/>
      <c r="M37" s="1244"/>
      <c r="N37" s="1244"/>
      <c r="O37" s="1252"/>
      <c r="P37" s="3089" t="s">
        <v>2360</v>
      </c>
      <c r="Q37" s="1889" t="str">
        <f t="shared" si="14"/>
        <v>工程地质条件</v>
      </c>
      <c r="R37" s="753" t="s">
        <v>25</v>
      </c>
      <c r="S37" s="754">
        <f t="shared" si="10"/>
        <v>100</v>
      </c>
      <c r="T37" s="753" t="s">
        <v>25</v>
      </c>
      <c r="U37" s="754">
        <f t="shared" si="11"/>
        <v>100</v>
      </c>
      <c r="V37" s="753" t="s">
        <v>25</v>
      </c>
      <c r="W37" s="754">
        <f t="shared" si="12"/>
        <v>100</v>
      </c>
      <c r="X37" s="1890"/>
      <c r="Y37" s="3089" t="s">
        <v>2360</v>
      </c>
      <c r="Z37" s="1892" t="str">
        <f t="shared" si="13"/>
        <v>工程地质条件</v>
      </c>
      <c r="AA37" s="1893">
        <f t="shared" si="3"/>
        <v>1</v>
      </c>
      <c r="AB37" s="1893">
        <f t="shared" si="4"/>
        <v>1</v>
      </c>
      <c r="AC37" s="1893">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89"/>
      <c r="Q38" s="1889">
        <f t="shared" si="14"/>
        <v>111</v>
      </c>
      <c r="R38" s="753" t="s">
        <v>25</v>
      </c>
      <c r="S38" s="754">
        <f t="shared" si="10"/>
        <v>100</v>
      </c>
      <c r="T38" s="753" t="s">
        <v>25</v>
      </c>
      <c r="U38" s="754">
        <f t="shared" si="11"/>
        <v>100</v>
      </c>
      <c r="V38" s="753" t="s">
        <v>25</v>
      </c>
      <c r="W38" s="754">
        <f t="shared" si="12"/>
        <v>100</v>
      </c>
      <c r="X38" s="1890"/>
      <c r="Y38" s="3089"/>
      <c r="Z38" s="1892">
        <f t="shared" si="13"/>
        <v>111</v>
      </c>
      <c r="AA38" s="1893">
        <f t="shared" si="3"/>
        <v>1</v>
      </c>
      <c r="AB38" s="1893">
        <f t="shared" si="4"/>
        <v>1</v>
      </c>
      <c r="AC38" s="1893">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89"/>
      <c r="Q39" s="1889">
        <f t="shared" si="14"/>
        <v>111</v>
      </c>
      <c r="R39" s="753" t="s">
        <v>25</v>
      </c>
      <c r="S39" s="754">
        <f t="shared" si="10"/>
        <v>100</v>
      </c>
      <c r="T39" s="753" t="s">
        <v>25</v>
      </c>
      <c r="U39" s="754">
        <f t="shared" si="11"/>
        <v>100</v>
      </c>
      <c r="V39" s="753" t="s">
        <v>25</v>
      </c>
      <c r="W39" s="754">
        <f t="shared" si="12"/>
        <v>100</v>
      </c>
      <c r="X39" s="1890"/>
      <c r="Y39" s="3089"/>
      <c r="Z39" s="1892">
        <f t="shared" si="13"/>
        <v>111</v>
      </c>
      <c r="AA39" s="1893">
        <f t="shared" si="3"/>
        <v>1</v>
      </c>
      <c r="AB39" s="1893">
        <f t="shared" si="4"/>
        <v>1</v>
      </c>
      <c r="AC39" s="1893">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89"/>
      <c r="Q40" s="1889">
        <f t="shared" si="14"/>
        <v>111</v>
      </c>
      <c r="R40" s="756" t="s">
        <v>25</v>
      </c>
      <c r="S40" s="757">
        <f t="shared" si="10"/>
        <v>100</v>
      </c>
      <c r="T40" s="756" t="s">
        <v>25</v>
      </c>
      <c r="U40" s="757">
        <f t="shared" si="11"/>
        <v>100</v>
      </c>
      <c r="V40" s="756" t="s">
        <v>25</v>
      </c>
      <c r="W40" s="757">
        <f t="shared" si="12"/>
        <v>100</v>
      </c>
      <c r="X40" s="758"/>
      <c r="Y40" s="3089"/>
      <c r="Z40" s="759">
        <f t="shared" si="13"/>
        <v>111</v>
      </c>
      <c r="AA40" s="1893">
        <f t="shared" si="3"/>
        <v>1</v>
      </c>
      <c r="AB40" s="1893">
        <f t="shared" si="4"/>
        <v>1</v>
      </c>
      <c r="AC40" s="1893">
        <f t="shared" si="5"/>
        <v>1</v>
      </c>
    </row>
    <row r="41" spans="1:29" ht="15">
      <c r="A41" s="460" t="s">
        <v>2507</v>
      </c>
      <c r="B41" s="2482" t="s">
        <v>2582</v>
      </c>
      <c r="C41" s="665" t="s">
        <v>1</v>
      </c>
      <c r="D41" s="462"/>
      <c r="E41" s="463"/>
      <c r="F41" s="464"/>
      <c r="G41" s="465"/>
      <c r="H41" s="466"/>
      <c r="I41" s="463"/>
      <c r="J41" s="466"/>
      <c r="K41" s="762"/>
      <c r="L41" s="1256"/>
      <c r="M41" s="1244"/>
      <c r="N41" s="1244"/>
      <c r="O41" s="1257"/>
      <c r="P41" s="3081" t="str">
        <f>A41</f>
        <v>成交单价</v>
      </c>
      <c r="Q41" s="3081"/>
      <c r="R41" s="3118">
        <f>E41</f>
        <v>0</v>
      </c>
      <c r="S41" s="3118"/>
      <c r="T41" s="3118">
        <f>G41</f>
        <v>0</v>
      </c>
      <c r="U41" s="3118"/>
      <c r="V41" s="3118">
        <f>I41</f>
        <v>0</v>
      </c>
      <c r="W41" s="3118"/>
      <c r="X41" s="738"/>
      <c r="Y41" s="760"/>
      <c r="Z41" s="738"/>
      <c r="AA41" s="738"/>
      <c r="AB41" s="738"/>
      <c r="AC41" s="738"/>
    </row>
    <row r="42" spans="1:29" ht="15.75" thickBot="1">
      <c r="A42" s="467" t="s">
        <v>2455</v>
      </c>
      <c r="B42" s="666"/>
      <c r="C42" s="471" t="e">
        <f>R43</f>
        <v>#DIV/0!</v>
      </c>
      <c r="D42" s="470"/>
      <c r="E42" s="471" t="e">
        <f>R42</f>
        <v>#DIV/0!</v>
      </c>
      <c r="F42" s="472"/>
      <c r="G42" s="469" t="e">
        <f>T42</f>
        <v>#DIV/0!</v>
      </c>
      <c r="H42" s="470"/>
      <c r="I42" s="471" t="e">
        <f>V42</f>
        <v>#DIV/0!</v>
      </c>
      <c r="J42" s="470"/>
      <c r="K42" s="763"/>
      <c r="L42" s="1256"/>
      <c r="M42" s="1244"/>
      <c r="N42" s="1244"/>
      <c r="O42" s="1257"/>
      <c r="P42" s="3081" t="str">
        <f>A42</f>
        <v>比较价值（元/平方米）</v>
      </c>
      <c r="Q42" s="3081"/>
      <c r="R42" s="3134" t="e">
        <f>ROUND(PRODUCT(R41,AA7:AA40),0)</f>
        <v>#DIV/0!</v>
      </c>
      <c r="S42" s="3134"/>
      <c r="T42" s="3134" t="e">
        <f>ROUND(PRODUCT(T41,AB7:AB40),0)</f>
        <v>#DIV/0!</v>
      </c>
      <c r="U42" s="3134"/>
      <c r="V42" s="3134" t="e">
        <f>ROUND(PRODUCT(V41,AC7:AC40),0)</f>
        <v>#DIV/0!</v>
      </c>
      <c r="W42" s="3134"/>
      <c r="X42" s="738"/>
      <c r="Y42" s="738"/>
      <c r="Z42" s="738"/>
      <c r="AA42" s="738"/>
      <c r="AB42" s="738"/>
      <c r="AC42" s="738"/>
    </row>
    <row r="43" spans="1:29" ht="15.75" thickBot="1">
      <c r="A43" s="473" t="s">
        <v>2477</v>
      </c>
      <c r="B43" s="474"/>
      <c r="C43" s="475" t="e">
        <f>R43</f>
        <v>#DIV/0!</v>
      </c>
      <c r="D43" s="475"/>
      <c r="E43" s="475"/>
      <c r="F43" s="475"/>
      <c r="G43" s="475"/>
      <c r="H43" s="475"/>
      <c r="I43" s="475"/>
      <c r="J43" s="475"/>
      <c r="K43" s="764"/>
      <c r="L43" s="1256"/>
      <c r="M43" s="1244"/>
      <c r="N43" s="1244"/>
      <c r="O43" s="1257"/>
      <c r="P43" s="3078" t="str">
        <f>A43</f>
        <v>估价对象XX用房的比较价值（楼面单价，元/平方米）</v>
      </c>
      <c r="Q43" s="3079"/>
      <c r="R43" s="3135" t="e">
        <f>ROUND(AVERAGE(R42:V42),0)</f>
        <v>#DIV/0!</v>
      </c>
      <c r="S43" s="3135"/>
      <c r="T43" s="3135"/>
      <c r="U43" s="3135"/>
      <c r="V43" s="3135"/>
      <c r="W43" s="313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2456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2457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2545</v>
      </c>
      <c r="B50" s="668" t="s">
        <v>2546</v>
      </c>
      <c r="C50" s="2483" t="s">
        <v>2547</v>
      </c>
      <c r="D50" s="2484" t="s">
        <v>2548</v>
      </c>
      <c r="E50" s="669" t="s">
        <v>2549</v>
      </c>
      <c r="F50" s="670" t="s">
        <v>2550</v>
      </c>
      <c r="G50" s="1892" t="s">
        <v>2583</v>
      </c>
      <c r="H50" s="1892">
        <f>项目基本情况!G8</f>
        <v>0</v>
      </c>
      <c r="I50" s="1839" t="s">
        <v>2552</v>
      </c>
      <c r="J50" s="1262"/>
      <c r="K50" s="1258"/>
      <c r="L50" s="1258"/>
      <c r="M50" s="1257"/>
      <c r="N50" s="1257"/>
      <c r="O50" s="1257"/>
    </row>
    <row r="51" spans="1:17" s="675" customFormat="1">
      <c r="A51" s="671" t="s">
        <v>2553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2554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2555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2556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2557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2558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2559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2562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2563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2459</v>
      </c>
      <c r="B64" s="738"/>
      <c r="C64" s="743"/>
      <c r="D64" s="743"/>
      <c r="E64" s="743"/>
      <c r="F64" s="744"/>
      <c r="G64" s="744"/>
      <c r="H64" s="743"/>
      <c r="I64" s="1273"/>
      <c r="J64" s="1273"/>
      <c r="K64" s="1271"/>
      <c r="L64" s="1272"/>
      <c r="M64" s="1273"/>
      <c r="N64" s="1273"/>
      <c r="O64" s="1273"/>
      <c r="P64" s="484"/>
      <c r="Q64" s="485"/>
    </row>
    <row r="65" spans="1:17" s="489" customFormat="1" ht="15">
      <c r="A65" s="2486" t="s">
        <v>2564</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492" t="s">
        <v>2584</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2380</v>
      </c>
      <c r="B67" s="497"/>
      <c r="C67" s="498"/>
      <c r="D67" s="499"/>
      <c r="E67" s="499"/>
      <c r="F67" s="499"/>
      <c r="G67" s="499"/>
      <c r="H67" s="499"/>
      <c r="I67" s="499"/>
      <c r="J67" s="499"/>
      <c r="K67" s="499"/>
      <c r="L67" s="499"/>
      <c r="M67" s="500"/>
      <c r="N67" s="499"/>
      <c r="O67" s="1677"/>
      <c r="P67" s="485"/>
      <c r="Q67" s="485"/>
    </row>
    <row r="68" spans="1:17" s="35" customFormat="1" ht="15">
      <c r="A68" s="502" t="s">
        <v>2344</v>
      </c>
      <c r="B68" s="491"/>
      <c r="C68" s="503" t="s">
        <v>2345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2383</v>
      </c>
      <c r="B70" s="509" t="s">
        <v>2348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2353</v>
      </c>
      <c r="B83" s="509" t="s">
        <v>2492</v>
      </c>
      <c r="C83" s="557" t="s">
        <v>2392</v>
      </c>
      <c r="D83" s="557" t="s">
        <v>2393</v>
      </c>
      <c r="E83" s="557" t="s">
        <v>2394</v>
      </c>
      <c r="F83" s="557" t="s">
        <v>2395</v>
      </c>
      <c r="G83" s="557" t="s">
        <v>2396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2567</v>
      </c>
      <c r="C87" s="557" t="s">
        <v>2392</v>
      </c>
      <c r="D87" s="557" t="s">
        <v>2393</v>
      </c>
      <c r="E87" s="557" t="s">
        <v>2394</v>
      </c>
      <c r="F87" s="557" t="s">
        <v>2395</v>
      </c>
      <c r="G87" s="557" t="s">
        <v>2396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2568</v>
      </c>
      <c r="C89" s="557" t="s">
        <v>2392</v>
      </c>
      <c r="D89" s="557" t="s">
        <v>2393</v>
      </c>
      <c r="E89" s="557" t="s">
        <v>2394</v>
      </c>
      <c r="F89" s="557" t="s">
        <v>2395</v>
      </c>
      <c r="G89" s="557" t="s">
        <v>2396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2569</v>
      </c>
      <c r="D95" s="522" t="s">
        <v>2570</v>
      </c>
      <c r="E95" s="522" t="s">
        <v>2571</v>
      </c>
      <c r="F95" s="522" t="s">
        <v>2572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2538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2358</v>
      </c>
      <c r="B107" s="509" t="s">
        <v>2573</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2574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2576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2577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1255</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1256</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估价对象为北京市房地产，为所有。根据《不动产权证书》[]，估价对象建筑面积为110平方米，（分摊）出让国有建设用地使用权面积为平方米。估价对象用途为商业。</v>
      </c>
      <c r="B6" s="1907"/>
      <c r="C6" s="1907"/>
      <c r="D6" s="1907"/>
      <c r="E6" s="1907"/>
      <c r="F6" s="1907"/>
      <c r="G6" s="1907"/>
    </row>
    <row r="7" spans="1:7" ht="18.75">
      <c r="A7" s="1908" t="s">
        <v>1257</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1258</v>
      </c>
      <c r="B9" s="1912"/>
    </row>
    <row r="10" spans="1:7" ht="18">
      <c r="A10" s="1913" t="str">
        <f>TEXT(项目基本情况!D2,"yyyy年m月d日;;")&amp;IF(项目基本情况!B2=项目基本情况!D2,"（评估专业人员实地查勘之日）","")</f>
        <v>2017年12月8日（评估专业人员实地查勘之日）</v>
      </c>
      <c r="B10" s="1914"/>
      <c r="C10" s="1914"/>
      <c r="D10" s="1914"/>
      <c r="E10" s="1914"/>
      <c r="F10" s="1914"/>
      <c r="G10" s="1914"/>
    </row>
    <row r="11" spans="1:7" ht="18.75">
      <c r="A11" s="1905" t="s">
        <v>1259</v>
      </c>
    </row>
    <row r="12" spans="1:7" ht="75">
      <c r="A12" s="1907" t="s">
        <v>1260</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本次估价的“房地产价值”是指在正常市场情况下，在价值时点2017年12月8日，估价对象规划用途为商业，假定未设立法定优先受偿款下的房地产市场价值。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1254</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1253</v>
      </c>
    </row>
    <row r="18" spans="1:1" ht="18">
      <c r="A18" s="191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90" zoomScaleSheetLayoutView="90" workbookViewId="0">
      <selection activeCell="D31" sqref="D31"/>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62"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2585</v>
      </c>
      <c r="B1" s="2494"/>
      <c r="C1" s="162" t="s">
        <v>2586</v>
      </c>
      <c r="D1" s="2495">
        <f>SUM(D29:D30,D33:D39)</f>
        <v>220</v>
      </c>
      <c r="E1" s="2495"/>
      <c r="F1" s="2495"/>
      <c r="G1" s="2495"/>
      <c r="H1" s="2495"/>
      <c r="I1" s="2495"/>
      <c r="J1" s="2495"/>
      <c r="L1" s="2496" t="s">
        <v>2587</v>
      </c>
      <c r="M1" s="1119">
        <f>SUMPRODUCT((区片价!B5:B9=I2)*(区片价!C3:F3=E2)*(区片价!C5:F9))</f>
        <v>0</v>
      </c>
      <c r="N1" s="1122">
        <f>SUMPRODUCT((因素修正幅度!B5:B9=I2)*(因素修正幅度!C3:F3=E2)*(因素修正幅度!C5:F9))</f>
        <v>0</v>
      </c>
      <c r="O1" s="1462"/>
      <c r="P1" s="1462"/>
      <c r="Q1" s="1462"/>
      <c r="R1" s="1710" t="s">
        <v>2588</v>
      </c>
      <c r="S1" s="1710" t="s">
        <v>2589</v>
      </c>
      <c r="T1" s="1710" t="s">
        <v>2590</v>
      </c>
      <c r="U1" s="1710" t="s">
        <v>2591</v>
      </c>
      <c r="V1" s="1710" t="s">
        <v>2592</v>
      </c>
      <c r="W1" s="1714"/>
      <c r="X1" s="1714"/>
      <c r="Y1" s="1714"/>
      <c r="Z1" s="1714"/>
      <c r="AA1" s="1714"/>
      <c r="AB1" s="1714"/>
      <c r="AC1" s="1715"/>
      <c r="AD1" s="1716"/>
      <c r="AE1" s="1716"/>
      <c r="AF1" s="1716"/>
      <c r="AG1" s="1716"/>
      <c r="AH1" s="1716"/>
      <c r="AI1" s="1716"/>
      <c r="AJ1" s="1717"/>
    </row>
    <row r="2" spans="1:36" ht="24.75">
      <c r="A2" s="165" t="s">
        <v>2593</v>
      </c>
      <c r="B2" s="168">
        <f ca="1">C26</f>
        <v>5017760</v>
      </c>
      <c r="C2" s="2498" t="s">
        <v>2594</v>
      </c>
      <c r="D2" s="2499" t="s">
        <v>2595</v>
      </c>
      <c r="E2" s="2500" t="s">
        <v>2949</v>
      </c>
      <c r="F2" s="2499" t="s">
        <v>2596</v>
      </c>
      <c r="G2" s="2501" t="str">
        <f>项目基本情况!F9</f>
        <v>四级</v>
      </c>
      <c r="H2" s="2502" t="s">
        <v>2597</v>
      </c>
      <c r="I2" s="2501" t="str">
        <f>项目基本情况!F10</f>
        <v>Ⅳ-02</v>
      </c>
      <c r="J2" s="2503"/>
      <c r="L2" s="2504" t="s">
        <v>2598</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1.8629</v>
      </c>
      <c r="T2" s="1710">
        <f ca="1">ROUND($C$5*$C$18*$C$19*$C$20*S2*$C$24,0)</f>
        <v>45616</v>
      </c>
      <c r="U2" s="1711"/>
      <c r="V2" s="1710">
        <f ca="1">ROUND(T2*U2/10000,0)</f>
        <v>0</v>
      </c>
      <c r="W2" s="1714"/>
      <c r="X2" s="1714"/>
      <c r="Y2" s="1714"/>
      <c r="Z2" s="1714"/>
      <c r="AA2" s="1714"/>
      <c r="AB2" s="1714"/>
      <c r="AC2" s="1715"/>
      <c r="AD2" s="1716"/>
      <c r="AE2" s="1716"/>
      <c r="AF2" s="1716"/>
      <c r="AG2" s="1716"/>
      <c r="AH2" s="1716"/>
      <c r="AI2" s="1716"/>
      <c r="AJ2" s="1717"/>
    </row>
    <row r="3" spans="1:36" ht="15.75">
      <c r="A3" s="167" t="s">
        <v>2599</v>
      </c>
      <c r="B3" s="168">
        <f ca="1">ROUND(B2/D1,0)</f>
        <v>22808</v>
      </c>
      <c r="C3" s="2498" t="s">
        <v>2600</v>
      </c>
      <c r="D3" s="2499" t="s">
        <v>2601</v>
      </c>
      <c r="E3" s="2505" t="s">
        <v>3024</v>
      </c>
      <c r="F3" s="2506" t="s">
        <v>2602</v>
      </c>
      <c r="G3" s="941">
        <f>项目基本情况!C15</f>
        <v>2.5</v>
      </c>
      <c r="H3" s="115" t="s">
        <v>2603</v>
      </c>
      <c r="I3" s="974">
        <v>1</v>
      </c>
      <c r="J3" s="2503" t="s">
        <v>2604</v>
      </c>
      <c r="L3" s="2504" t="s">
        <v>2605</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1.3371999999999999</v>
      </c>
      <c r="T3" s="1710">
        <f t="shared" ref="T3:T16" ca="1" si="0">ROUND($C$5*$C$18*$C$19*$C$20*S3*$C$24,0)</f>
        <v>32743</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139"/>
      <c r="B4" s="3140"/>
      <c r="C4" s="3140"/>
      <c r="D4" s="3141"/>
      <c r="E4" s="3141"/>
      <c r="F4" s="3141"/>
      <c r="G4" s="3141"/>
      <c r="H4" s="3141"/>
      <c r="I4" s="3141"/>
      <c r="J4" s="3142"/>
      <c r="L4" s="2504" t="s">
        <v>2606</v>
      </c>
      <c r="M4" s="1120">
        <f>SUMPRODUCT((区片价!B49:B75=I2)*(区片价!C3:F3=E2)*(区片价!C49:F75))</f>
        <v>19040</v>
      </c>
      <c r="N4" s="1123">
        <f>SUMPRODUCT((因素修正幅度!B49:B75=I2)*(因素修正幅度!C3:F3=E2)*(因素修正幅度!C49:F75))</f>
        <v>7.4999999999999997E-2</v>
      </c>
      <c r="O4" s="1462"/>
      <c r="P4" s="1462"/>
      <c r="Q4" s="1462"/>
      <c r="R4" s="1710">
        <v>3</v>
      </c>
      <c r="S4" s="1710">
        <f>ROUND(IF(G3&gt;1,IF(R4&lt;7,SUMPRODUCT((B93:B98=R4)*(C92:N92=G2)*(C93:N98)),SUMIF(C92:N92,G2,C100:N100)),IF(R4&lt;7,SUMPRODUCT((B102:B107=R4)*(C92:N92=G2)*(C102:N107)),SUMIF(C92:N92,G2,C109:N109))),4)</f>
        <v>1.0788</v>
      </c>
      <c r="T4" s="1710">
        <f t="shared" ca="1" si="0"/>
        <v>26416</v>
      </c>
      <c r="U4" s="1711"/>
      <c r="V4" s="1710">
        <f t="shared" ca="1" si="1"/>
        <v>0</v>
      </c>
      <c r="W4" s="1714"/>
      <c r="X4" s="1714"/>
      <c r="Y4" s="1714"/>
      <c r="Z4" s="1714"/>
      <c r="AA4" s="1714"/>
      <c r="AB4" s="1714"/>
      <c r="AC4" s="1715"/>
      <c r="AD4" s="1716"/>
      <c r="AE4" s="1716"/>
      <c r="AF4" s="1716"/>
      <c r="AG4" s="1716"/>
      <c r="AH4" s="1716"/>
      <c r="AI4" s="1716"/>
      <c r="AJ4" s="1717"/>
    </row>
    <row r="5" spans="1:36" s="2516" customFormat="1" ht="15.75" thickBot="1">
      <c r="A5" s="2507" t="s">
        <v>2607</v>
      </c>
      <c r="B5" s="2508" t="s">
        <v>2608</v>
      </c>
      <c r="C5" s="942">
        <f>ROUND(IF(E2="商业",IF(F16="增加",C6*C7+C16,C6*C7-C16),IF(E2="住宅",IF(F16="增加",C6*C12+C16,C6*C12-C16),IF(F16="增加",C6+C16,C6-C16))),0)</f>
        <v>19004</v>
      </c>
      <c r="D5" s="1867">
        <f>ROUND(IF(E2="商业",IF(F16="增加",C6+C16,C6-C16)),0)</f>
        <v>19004</v>
      </c>
      <c r="E5" s="2509"/>
      <c r="F5" s="2509"/>
      <c r="G5" s="2510"/>
      <c r="H5" s="2510"/>
      <c r="I5" s="2510"/>
      <c r="J5" s="2511"/>
      <c r="K5" s="2512"/>
      <c r="L5" s="2504" t="s">
        <v>2609</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0.86560000000000004</v>
      </c>
      <c r="T5" s="1710">
        <f t="shared" ca="1" si="0"/>
        <v>21196</v>
      </c>
      <c r="U5" s="1711"/>
      <c r="V5" s="1710">
        <f t="shared" ca="1" si="1"/>
        <v>0</v>
      </c>
      <c r="W5" s="1714"/>
      <c r="X5" s="1714"/>
      <c r="Y5" s="1714"/>
      <c r="Z5" s="1714"/>
      <c r="AA5" s="1714"/>
      <c r="AB5" s="1714"/>
      <c r="AC5" s="2513"/>
      <c r="AD5" s="2514"/>
      <c r="AE5" s="2514"/>
      <c r="AF5" s="2514"/>
      <c r="AG5" s="2514"/>
      <c r="AH5" s="2514"/>
      <c r="AI5" s="2514"/>
      <c r="AJ5" s="2515"/>
    </row>
    <row r="6" spans="1:36" ht="15.75" thickBot="1">
      <c r="A6" s="2517">
        <v>1</v>
      </c>
      <c r="B6" s="2518" t="s">
        <v>2610</v>
      </c>
      <c r="C6" s="943">
        <f>SUMIF(L1:L12,G2,M1:M12)</f>
        <v>19040</v>
      </c>
      <c r="D6" s="2519" t="s">
        <v>2611</v>
      </c>
      <c r="E6" s="2520"/>
      <c r="F6" s="2520"/>
      <c r="G6" s="2521"/>
      <c r="H6" s="2521"/>
      <c r="I6" s="2521"/>
      <c r="J6" s="2522"/>
      <c r="K6" s="2523"/>
      <c r="L6" s="2504" t="s">
        <v>2612</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0.73709999999999998</v>
      </c>
      <c r="T6" s="1710">
        <f t="shared" ca="1" si="0"/>
        <v>18049</v>
      </c>
      <c r="U6" s="1711"/>
      <c r="V6" s="1710">
        <f t="shared" ca="1" si="1"/>
        <v>0</v>
      </c>
      <c r="W6" s="1714"/>
      <c r="X6" s="1714"/>
      <c r="Y6" s="1714"/>
      <c r="Z6" s="1714"/>
      <c r="AA6" s="1714"/>
      <c r="AB6" s="1714"/>
      <c r="AC6" s="2513"/>
      <c r="AD6" s="2514"/>
      <c r="AE6" s="2514"/>
      <c r="AF6" s="2514"/>
      <c r="AG6" s="2514"/>
      <c r="AH6" s="2514"/>
      <c r="AI6" s="2514"/>
      <c r="AJ6" s="2515"/>
    </row>
    <row r="7" spans="1:36" ht="24">
      <c r="A7" s="3143" t="str">
        <f>IF(E2="商业",IF(C8="不临58条商业街","",2),"")</f>
        <v/>
      </c>
      <c r="B7" s="2524" t="s">
        <v>2613</v>
      </c>
      <c r="C7" s="944">
        <f>IF(C8="不临58条商业街",1,ROUND(1+(1.6*E8+1.2*E9+0.8*E10+0.4*E11)*C9,4))</f>
        <v>1</v>
      </c>
      <c r="D7" s="2525" t="s">
        <v>2614</v>
      </c>
      <c r="E7" s="975"/>
      <c r="F7" s="2526"/>
      <c r="G7" s="2527"/>
      <c r="H7" s="2527"/>
      <c r="I7" s="2527"/>
      <c r="J7" s="2528"/>
      <c r="K7" s="2523"/>
      <c r="L7" s="2504" t="s">
        <v>2615</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0.6482</v>
      </c>
      <c r="T7" s="1710">
        <f t="shared" ca="1" si="0"/>
        <v>15872</v>
      </c>
      <c r="U7" s="1711"/>
      <c r="V7" s="1710">
        <f t="shared" ca="1" si="1"/>
        <v>0</v>
      </c>
      <c r="W7" s="1895" t="s">
        <v>2616</v>
      </c>
      <c r="X7" s="1712" t="str">
        <f>G2</f>
        <v>四级</v>
      </c>
      <c r="Y7" s="1712" t="s">
        <v>2617</v>
      </c>
      <c r="Z7" s="1713">
        <f>G3</f>
        <v>2.5</v>
      </c>
      <c r="AA7" s="1714"/>
      <c r="AB7" s="1714"/>
      <c r="AC7" s="1715"/>
      <c r="AD7" s="1716"/>
      <c r="AE7" s="1716"/>
      <c r="AF7" s="1716"/>
      <c r="AG7" s="1716"/>
      <c r="AH7" s="1716"/>
      <c r="AI7" s="1716"/>
      <c r="AJ7" s="1717"/>
    </row>
    <row r="8" spans="1:36" ht="15">
      <c r="A8" s="3144"/>
      <c r="B8" s="115" t="s">
        <v>2618</v>
      </c>
      <c r="C8" s="2529" t="s">
        <v>3033</v>
      </c>
      <c r="D8" s="945" t="s">
        <v>89</v>
      </c>
      <c r="E8" s="946" t="e">
        <f>ROUND(C11/E7,4)</f>
        <v>#DIV/0!</v>
      </c>
      <c r="F8" s="2530" t="s">
        <v>2619</v>
      </c>
      <c r="G8" s="2531"/>
      <c r="H8" s="2531"/>
      <c r="I8" s="2531"/>
      <c r="J8" s="2532"/>
      <c r="L8" s="2504" t="s">
        <v>2620</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136" t="s">
        <v>2621</v>
      </c>
      <c r="X8" s="3137"/>
      <c r="Y8" s="1718" t="s">
        <v>2622</v>
      </c>
      <c r="Z8" s="1718" t="s">
        <v>2623</v>
      </c>
      <c r="AA8" s="1718" t="s">
        <v>2624</v>
      </c>
      <c r="AB8" s="1718" t="s">
        <v>2625</v>
      </c>
      <c r="AC8" s="1718" t="s">
        <v>2626</v>
      </c>
      <c r="AD8" s="1718" t="s">
        <v>2627</v>
      </c>
      <c r="AE8" s="1718" t="s">
        <v>2628</v>
      </c>
      <c r="AF8" s="1718" t="s">
        <v>2629</v>
      </c>
      <c r="AG8" s="1718" t="s">
        <v>2630</v>
      </c>
      <c r="AH8" s="1718" t="s">
        <v>2631</v>
      </c>
      <c r="AI8" s="1718" t="s">
        <v>2632</v>
      </c>
      <c r="AJ8" s="1718" t="s">
        <v>2633</v>
      </c>
    </row>
    <row r="9" spans="1:36" ht="15">
      <c r="A9" s="3144"/>
      <c r="B9" s="115" t="s">
        <v>2634</v>
      </c>
      <c r="C9" s="947">
        <f>SUMIF(修正!C59:C119,C8,修正!E59:E119)</f>
        <v>0</v>
      </c>
      <c r="D9" s="117" t="s">
        <v>90</v>
      </c>
      <c r="E9" s="117" t="e">
        <f>ROUND(C11/E7,4)</f>
        <v>#DIV/0!</v>
      </c>
      <c r="F9" s="2530" t="s">
        <v>2635</v>
      </c>
      <c r="G9" s="2531"/>
      <c r="H9" s="2531"/>
      <c r="I9" s="2531"/>
      <c r="J9" s="2532"/>
      <c r="L9" s="2504" t="s">
        <v>2636</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138" t="s">
        <v>2637</v>
      </c>
      <c r="X9" s="1719" t="s">
        <v>2638</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144"/>
      <c r="B10" s="115" t="s">
        <v>2639</v>
      </c>
      <c r="C10" s="117">
        <f>SUMIF(修正!C59:C119,C8,修正!F59:F119)</f>
        <v>0</v>
      </c>
      <c r="D10" s="117" t="s">
        <v>91</v>
      </c>
      <c r="E10" s="117" t="e">
        <f>ROUND(C11/E7,4)</f>
        <v>#DIV/0!</v>
      </c>
      <c r="F10" s="2530" t="s">
        <v>2640</v>
      </c>
      <c r="G10" s="2531"/>
      <c r="H10" s="2531"/>
      <c r="I10" s="2531"/>
      <c r="J10" s="2532"/>
      <c r="L10" s="2504" t="s">
        <v>2641</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138"/>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144"/>
      <c r="B11" s="2533" t="s">
        <v>2642</v>
      </c>
      <c r="C11" s="948">
        <f>C10/4</f>
        <v>0</v>
      </c>
      <c r="D11" s="948" t="s">
        <v>92</v>
      </c>
      <c r="E11" s="948" t="e">
        <f>ROUND(C11/E7,4)</f>
        <v>#DIV/0!</v>
      </c>
      <c r="F11" s="2534" t="s">
        <v>2643</v>
      </c>
      <c r="G11" s="2535"/>
      <c r="H11" s="2535"/>
      <c r="I11" s="2535"/>
      <c r="J11" s="2536"/>
      <c r="L11" s="2504" t="s">
        <v>2644</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138" t="s">
        <v>2645</v>
      </c>
      <c r="X11" s="1723" t="s">
        <v>2646</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143" t="str">
        <f>IF(E2="住宅",2,"")</f>
        <v/>
      </c>
      <c r="B12" s="2537" t="s">
        <v>2647</v>
      </c>
      <c r="C12" s="944">
        <f>ROUND(C15*D15*E15*F15*G15*H15*I15*J15,4)</f>
        <v>1.32</v>
      </c>
      <c r="D12" s="2538" t="s">
        <v>2648</v>
      </c>
      <c r="E12" s="2539"/>
      <c r="F12" s="2539"/>
      <c r="G12" s="2540"/>
      <c r="H12" s="2540"/>
      <c r="I12" s="2540"/>
      <c r="J12" s="2541"/>
      <c r="L12" s="2542" t="s">
        <v>2649</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138"/>
      <c r="X12" s="1725" t="s">
        <v>2650</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45"/>
      <c r="B13" s="2543" t="s">
        <v>2651</v>
      </c>
      <c r="C13" s="2544" t="s">
        <v>2652</v>
      </c>
      <c r="D13" s="2545" t="s">
        <v>2653</v>
      </c>
      <c r="E13" s="2545" t="s">
        <v>2654</v>
      </c>
      <c r="F13" s="20" t="s">
        <v>2655</v>
      </c>
      <c r="G13" s="2546" t="s">
        <v>2656</v>
      </c>
      <c r="H13" s="2546" t="s">
        <v>2656</v>
      </c>
      <c r="I13" s="2546" t="s">
        <v>2656</v>
      </c>
      <c r="J13" s="2547" t="s">
        <v>2656</v>
      </c>
      <c r="L13" s="1462"/>
      <c r="M13" s="1462"/>
      <c r="N13" s="1462"/>
      <c r="O13" s="1462"/>
      <c r="P13" s="1462"/>
      <c r="Q13" s="1462"/>
      <c r="R13" s="1710">
        <v>12</v>
      </c>
      <c r="S13" s="1711"/>
      <c r="T13" s="1710">
        <f t="shared" ca="1" si="0"/>
        <v>0</v>
      </c>
      <c r="U13" s="1711"/>
      <c r="V13" s="1710">
        <f t="shared" ca="1" si="1"/>
        <v>0</v>
      </c>
      <c r="W13" s="3138"/>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145"/>
      <c r="B14" s="2548"/>
      <c r="C14" s="2549" t="s">
        <v>2657</v>
      </c>
      <c r="D14" s="2550" t="s">
        <v>2658</v>
      </c>
      <c r="E14" s="2550" t="s">
        <v>2658</v>
      </c>
      <c r="F14" s="2551" t="s">
        <v>2659</v>
      </c>
      <c r="G14" s="2552" t="s">
        <v>2660</v>
      </c>
      <c r="H14" s="2553"/>
      <c r="I14" s="2554"/>
      <c r="J14" s="2555"/>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46"/>
      <c r="B15" s="2556" t="s">
        <v>2661</v>
      </c>
      <c r="C15" s="150">
        <f>IF(C14="有",1.1,1)</f>
        <v>1.1000000000000001</v>
      </c>
      <c r="D15" s="150">
        <f>IF(D14="有",1.1,1)</f>
        <v>1</v>
      </c>
      <c r="E15" s="150">
        <f>IF(E14="有",1.1,1)</f>
        <v>1</v>
      </c>
      <c r="F15" s="150">
        <f>IF(F14="500米范围内",1.2,IF(F14="500-1000米",1.1,1))</f>
        <v>1.2</v>
      </c>
      <c r="G15" s="976">
        <v>1</v>
      </c>
      <c r="H15" s="976">
        <v>1</v>
      </c>
      <c r="I15" s="976">
        <v>1</v>
      </c>
      <c r="J15" s="977">
        <v>1</v>
      </c>
      <c r="L15" s="2557" t="s">
        <v>2662</v>
      </c>
      <c r="M15" s="945" t="s">
        <v>2663</v>
      </c>
      <c r="N15" s="945" t="s">
        <v>2664</v>
      </c>
      <c r="O15" s="945" t="s">
        <v>2665</v>
      </c>
      <c r="P15" s="2558" t="s">
        <v>2666</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143">
        <f>IF(E2="办公",2,IF(E2="工业",2,IF(E2="住宅",3,IF(E2="商业",IF(C8="不临58条商业街",2,3)))))</f>
        <v>2</v>
      </c>
      <c r="B16" s="2524" t="s">
        <v>2667</v>
      </c>
      <c r="C16" s="1875">
        <f>ROUND(SUM(G17:J17)/C17,0)</f>
        <v>36</v>
      </c>
      <c r="D16" s="2559" t="s">
        <v>2668</v>
      </c>
      <c r="E16" s="2560" t="s">
        <v>3029</v>
      </c>
      <c r="F16" s="2561" t="s">
        <v>3030</v>
      </c>
      <c r="G16" s="2562" t="s">
        <v>3031</v>
      </c>
      <c r="H16" s="2562" t="s">
        <v>3032</v>
      </c>
      <c r="I16" s="2562"/>
      <c r="J16" s="2563"/>
      <c r="L16" s="1460" t="s">
        <v>2669</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144"/>
      <c r="B17" s="2564" t="s">
        <v>2670</v>
      </c>
      <c r="C17" s="949">
        <f>SUMPRODUCT((修正!A2:A5=E2)*(修正!B1:M1=G2)*(修正!B2:M5))</f>
        <v>2.5</v>
      </c>
      <c r="D17" s="2565" t="s">
        <v>2671</v>
      </c>
      <c r="E17" s="948" t="str">
        <f>IF(OR(G2="八级",G2="九级",G2="十级",G2="十一级",G2="十二级"),"五通一平","七通一平")</f>
        <v>七通一平</v>
      </c>
      <c r="F17" s="949" t="s">
        <v>2672</v>
      </c>
      <c r="G17" s="949">
        <f>SUMPRODUCT((七通一平=G16)*(修正!B1:M1=G2)*(修正!B6:M14))</f>
        <v>50</v>
      </c>
      <c r="H17" s="949">
        <f>SUMPRODUCT((七通一平=H16)*(修正!B1:M1=G2)*(修正!B6:M14))</f>
        <v>40</v>
      </c>
      <c r="I17" s="949">
        <f>SUMPRODUCT((七通一平=I16)*(修正!B1:M1=G2)*(修正!B6:M14))</f>
        <v>0</v>
      </c>
      <c r="J17" s="950">
        <f>SUMPRODUCT((七通一平=J16)*(修正!B1:M1=G2)*(修正!B6:M14))</f>
        <v>0</v>
      </c>
      <c r="L17" s="1464" t="s">
        <v>2673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497"/>
      <c r="AH17" s="2497"/>
      <c r="AI17" s="2497"/>
      <c r="AJ17" s="2497"/>
    </row>
    <row r="18" spans="1:37" s="2516" customFormat="1" ht="15.75" thickBot="1">
      <c r="A18" s="2566" t="s">
        <v>2674</v>
      </c>
      <c r="B18" s="2567" t="s">
        <v>2675</v>
      </c>
      <c r="C18" s="951">
        <f>SUMIF(修正!C18:C39,E3,修正!E18:E39)</f>
        <v>1</v>
      </c>
      <c r="D18" s="2568"/>
      <c r="E18" s="2569"/>
      <c r="F18" s="2570"/>
      <c r="G18" s="2571"/>
      <c r="H18" s="2571"/>
      <c r="I18" s="2571"/>
      <c r="J18" s="2572"/>
      <c r="K18" s="2573"/>
      <c r="O18" s="1462"/>
      <c r="P18" s="1462"/>
      <c r="Q18" s="1462"/>
      <c r="R18" s="1462"/>
      <c r="S18" s="1462"/>
      <c r="T18" s="1462"/>
      <c r="U18" s="1462"/>
      <c r="V18" s="1462"/>
      <c r="W18" s="1462"/>
      <c r="X18" s="1462"/>
      <c r="Y18" s="1462"/>
      <c r="Z18" s="1462"/>
      <c r="AA18" s="1462"/>
      <c r="AB18" s="1462"/>
      <c r="AC18" s="1462"/>
      <c r="AD18" s="1462"/>
      <c r="AE18" s="1463"/>
      <c r="AF18" s="1463"/>
      <c r="AG18" s="2574"/>
      <c r="AH18" s="2574"/>
      <c r="AI18" s="2574"/>
    </row>
    <row r="19" spans="1:37" s="2516" customFormat="1" ht="27.75" thickBot="1">
      <c r="A19" s="2566" t="s">
        <v>2676</v>
      </c>
      <c r="B19" s="2567" t="s">
        <v>2677</v>
      </c>
      <c r="C19" s="952">
        <f>ROUND(IF(H19="按公示增长率计算",SUMPRODUCT((地价!A3:A20=YEAR(G19)&amp;"-"&amp;ROUNDUP(MONTH(G19)/3,0))*(地价!X2:AB2=E2)*(地价!X3:AB20)),IF(H19="地价指数",M20/M19,(1+I19)^O19)),4)</f>
        <v>1.2636000000000001</v>
      </c>
      <c r="D19" s="2575" t="s">
        <v>2678</v>
      </c>
      <c r="E19" s="953">
        <v>41640</v>
      </c>
      <c r="F19" s="2575" t="s">
        <v>2679</v>
      </c>
      <c r="G19" s="954">
        <f>'数据-取费表'!B2</f>
        <v>43077</v>
      </c>
      <c r="H19" s="2576" t="s">
        <v>2680</v>
      </c>
      <c r="I19" s="955" t="str">
        <f>IF(H19="季度增幅（自定义）",SUMIF(N21:N24,E2,O21:O24),"")</f>
        <v/>
      </c>
      <c r="J19" s="2572"/>
      <c r="K19" s="2573"/>
      <c r="L19" s="2577" t="s">
        <v>2681</v>
      </c>
      <c r="M19" s="1827">
        <f>ROUND(SUMIF(地价!B2:F2,E2,地价!B20:F20),0)</f>
        <v>258</v>
      </c>
      <c r="N19" s="1466" t="s">
        <v>2682</v>
      </c>
      <c r="O19" s="956">
        <f>ROUNDDOWN(DATEDIF(E19,G19,"M")/3,0)</f>
        <v>15</v>
      </c>
      <c r="P19" s="1463"/>
      <c r="R19" s="1462"/>
      <c r="S19" s="1462"/>
      <c r="T19" s="1462"/>
      <c r="U19" s="1462"/>
      <c r="V19" s="1462"/>
      <c r="W19" s="1462"/>
      <c r="X19" s="1462"/>
      <c r="Y19" s="1462"/>
      <c r="Z19" s="1462"/>
      <c r="AA19" s="1462"/>
      <c r="AB19" s="1462"/>
      <c r="AC19" s="1462"/>
      <c r="AD19" s="1462"/>
      <c r="AE19" s="2573"/>
      <c r="AF19" s="2578"/>
      <c r="AG19" s="2579"/>
      <c r="AH19" s="2574"/>
      <c r="AI19" s="2580"/>
      <c r="AJ19" s="2580"/>
      <c r="AK19" s="2580"/>
    </row>
    <row r="20" spans="1:37" s="2516" customFormat="1" ht="27.75" thickBot="1">
      <c r="A20" s="2581" t="s">
        <v>2683</v>
      </c>
      <c r="B20" s="2582" t="s">
        <v>2684</v>
      </c>
      <c r="C20" s="957">
        <f ca="1">ROUND(POWER(1+G20,J20-I20)*(POWER(1+G20,I20)-1)/(POWER(1+G20,J20)-1),4)</f>
        <v>1</v>
      </c>
      <c r="D20" s="2583" t="s">
        <v>2685</v>
      </c>
      <c r="E20" s="1846">
        <f ca="1">存贷款利率!D4/100</f>
        <v>4.3499999999999997E-2</v>
      </c>
      <c r="F20" s="2583" t="s">
        <v>2673</v>
      </c>
      <c r="G20" s="963">
        <f ca="1">SUMIF(M15:P15,E2,M17:P17)</f>
        <v>5.3999999999999999E-2</v>
      </c>
      <c r="H20" s="2583" t="s">
        <v>2686</v>
      </c>
      <c r="I20" s="964">
        <f>'数据-取费表'!B13</f>
        <v>40</v>
      </c>
      <c r="J20" s="965">
        <f>IF(E2="住宅",70,IF(E2="商业",40,50))</f>
        <v>40</v>
      </c>
      <c r="K20" s="2573"/>
      <c r="L20" s="2584" t="s">
        <v>2687</v>
      </c>
      <c r="M20" s="1828">
        <f>ROUND(SUMPRODUCT((地价!A5:A20=YEAR(G19)&amp;"-"&amp;ROUNDUP(MONTH(G19)/3,0))*(地价!B2:F2=E2)*(地价!B5:F20)),0)</f>
        <v>326</v>
      </c>
      <c r="N20" s="2585" t="s">
        <v>2688</v>
      </c>
      <c r="O20" s="2586" t="s">
        <v>2689</v>
      </c>
      <c r="P20" s="2587" t="s">
        <v>2690</v>
      </c>
      <c r="R20" s="1462"/>
      <c r="S20" s="1462"/>
      <c r="T20" s="1462"/>
      <c r="U20" s="1462"/>
      <c r="V20" s="1462"/>
      <c r="W20" s="1462"/>
      <c r="X20" s="1462"/>
      <c r="Y20" s="1462"/>
      <c r="Z20" s="1462"/>
      <c r="AA20" s="1462"/>
      <c r="AB20" s="1462"/>
      <c r="AC20" s="1462"/>
      <c r="AD20" s="1462"/>
      <c r="AE20" s="2573"/>
      <c r="AF20" s="2573"/>
    </row>
    <row r="21" spans="1:37" s="2516" customFormat="1" ht="15">
      <c r="A21" s="2588" t="s">
        <v>2691</v>
      </c>
      <c r="B21" s="2589" t="s">
        <v>3025</v>
      </c>
      <c r="C21" s="966">
        <f>IF(B21="容积率修正",IF(G3&lt;=10,D22,J22),C23)</f>
        <v>1.8629</v>
      </c>
      <c r="D21" s="2590"/>
      <c r="E21" s="2590"/>
      <c r="F21" s="2590"/>
      <c r="G21" s="2590"/>
      <c r="H21" s="2590"/>
      <c r="I21" s="2590"/>
      <c r="J21" s="2591"/>
      <c r="K21" s="2573"/>
      <c r="N21" s="2592" t="s">
        <v>2692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73"/>
      <c r="AF21" s="2573"/>
    </row>
    <row r="22" spans="1:37" s="2516" customFormat="1" ht="14.25">
      <c r="A22" s="2593">
        <v>1</v>
      </c>
      <c r="B22" s="2594" t="s">
        <v>2693</v>
      </c>
      <c r="C22" s="1889" t="s">
        <v>2694</v>
      </c>
      <c r="D22" s="1889">
        <f>IF(E22=G22,F22,IF(G3&lt;=10,ROUND(F22+(H22-F22)*(G3-E22)/(G22-E22),4),"——"))</f>
        <v>1</v>
      </c>
      <c r="E22" s="941">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7" t="str">
        <f>IF(G3&gt;10,D113,"——")</f>
        <v>——</v>
      </c>
      <c r="K22" s="2573"/>
      <c r="N22" s="2592" t="s">
        <v>2695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73"/>
      <c r="AF22" s="2573"/>
    </row>
    <row r="23" spans="1:37" ht="27">
      <c r="A23" s="2593">
        <v>2</v>
      </c>
      <c r="B23" s="2594" t="s">
        <v>2696</v>
      </c>
      <c r="C23" s="958">
        <f>ROUND(IF(G3&gt;1,IF(I3&lt;7,SUMPRODUCT((B93:B98=I3)*(C92:N92=G2)*(C93:N98)),SUMIF(C92:N92,G2,C100:N100)),IF(I3&lt;7,SUMPRODUCT((B102:B107=I3)*(C92:N92=G2)*(C102:N107)),SUMIF(C92:N92,G2,C109:N109))),4)</f>
        <v>1.8629</v>
      </c>
      <c r="D23" s="2553"/>
      <c r="E23" s="2553"/>
      <c r="F23" s="2595"/>
      <c r="G23" s="2596"/>
      <c r="H23" s="2597"/>
      <c r="I23" s="2598"/>
      <c r="J23" s="2599"/>
      <c r="N23" s="2592" t="s">
        <v>2697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74"/>
    </row>
    <row r="24" spans="1:37" s="2516" customFormat="1" ht="15.75" thickBot="1">
      <c r="A24" s="2600" t="s">
        <v>2698</v>
      </c>
      <c r="B24" s="2601" t="s">
        <v>2699</v>
      </c>
      <c r="C24" s="968">
        <f>SUMIF(A46:A88,E2,B46:B88)</f>
        <v>1.0197000000000001</v>
      </c>
      <c r="D24" s="2602"/>
      <c r="E24" s="2603"/>
      <c r="F24" s="2603"/>
      <c r="G24" s="2603"/>
      <c r="H24" s="2603"/>
      <c r="I24" s="2603"/>
      <c r="J24" s="2604"/>
      <c r="K24" s="2573"/>
      <c r="N24" s="2605" t="s">
        <v>2700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73"/>
      <c r="AF24" s="2573"/>
    </row>
    <row r="25" spans="1:37" ht="15" thickBot="1">
      <c r="A25" s="2581" t="s">
        <v>2701</v>
      </c>
      <c r="B25" s="2606" t="s">
        <v>2702</v>
      </c>
      <c r="C25" s="959"/>
      <c r="D25" s="2527"/>
      <c r="E25" s="2527"/>
      <c r="F25" s="2607"/>
      <c r="G25" s="2527"/>
      <c r="H25" s="2527"/>
      <c r="I25" s="2527"/>
      <c r="J25" s="2528"/>
      <c r="L25" s="1462"/>
      <c r="M25" s="1462"/>
      <c r="N25" s="2608" t="s">
        <v>2703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09"/>
      <c r="B26" s="2594" t="s">
        <v>2704</v>
      </c>
      <c r="C26" s="123">
        <f ca="1">E29+SUM(E33:E39)</f>
        <v>5017760</v>
      </c>
      <c r="D26" s="2610"/>
      <c r="E26" s="2553"/>
      <c r="F26" s="2611"/>
      <c r="G26" s="2553"/>
      <c r="H26" s="2553"/>
      <c r="I26" s="2553"/>
      <c r="J26" s="261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09"/>
      <c r="B27" s="2613" t="s">
        <v>2705</v>
      </c>
      <c r="C27" s="960" t="e">
        <f ca="1">E30+SUM(I33:I39)</f>
        <v>#DIV/0!</v>
      </c>
      <c r="D27" s="2614"/>
      <c r="E27" s="2615"/>
      <c r="F27" s="2616"/>
      <c r="G27" s="2615"/>
      <c r="H27" s="2615"/>
      <c r="I27" s="2615"/>
      <c r="J27" s="261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1"/>
      <c r="B28" s="2618" t="s">
        <v>2706</v>
      </c>
      <c r="C28" s="2619" t="s">
        <v>2707</v>
      </c>
      <c r="D28" s="2619" t="s">
        <v>2708</v>
      </c>
      <c r="E28" s="2620" t="s">
        <v>2709</v>
      </c>
      <c r="F28" s="2621"/>
      <c r="G28" s="2540"/>
      <c r="H28" s="2540"/>
      <c r="I28" s="2540"/>
      <c r="J28" s="254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2"/>
      <c r="B29" s="2623" t="s">
        <v>2710</v>
      </c>
      <c r="C29" s="123">
        <f ca="1">ROUND(C5*C18*C19*C20*C21*C24,0)</f>
        <v>45616</v>
      </c>
      <c r="D29" s="2624">
        <f>项目基本情况!C12</f>
        <v>110</v>
      </c>
      <c r="E29" s="972">
        <f ca="1">ROUND(C29*D29,0)</f>
        <v>5017760</v>
      </c>
      <c r="F29" s="2625" t="s">
        <v>2711</v>
      </c>
      <c r="G29" s="2626"/>
      <c r="H29" s="2626"/>
      <c r="I29" s="2626"/>
      <c r="J29" s="262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497"/>
      <c r="AH29" s="2497"/>
      <c r="AI29" s="2497"/>
      <c r="AJ29" s="2497"/>
    </row>
    <row r="30" spans="1:37" ht="25.5" thickBot="1">
      <c r="A30" s="2628"/>
      <c r="B30" s="2629" t="s">
        <v>2712</v>
      </c>
      <c r="C30" s="150">
        <f ca="1">ROUND(IF(E2="工业",C29*M39,C29*M38),0)</f>
        <v>11404</v>
      </c>
      <c r="D30" s="2630">
        <f>D29</f>
        <v>110</v>
      </c>
      <c r="E30" s="972">
        <f ca="1">ROUND(C30*D30,0)</f>
        <v>1254440</v>
      </c>
      <c r="F30" s="2631" t="s">
        <v>2713</v>
      </c>
      <c r="G30" s="2632"/>
      <c r="H30" s="2632"/>
      <c r="I30" s="2632"/>
      <c r="J30" s="263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497"/>
      <c r="AH30" s="2497"/>
      <c r="AI30" s="2497"/>
      <c r="AJ30" s="2497"/>
    </row>
    <row r="31" spans="1:37">
      <c r="A31" s="2634"/>
      <c r="B31" s="2635" t="s">
        <v>2714</v>
      </c>
      <c r="C31" s="2636" t="s">
        <v>2715</v>
      </c>
      <c r="D31" s="2540"/>
      <c r="E31" s="2636"/>
      <c r="F31" s="2636"/>
      <c r="G31" s="2538" t="s">
        <v>2716</v>
      </c>
      <c r="H31" s="2540"/>
      <c r="I31" s="2637"/>
      <c r="J31" s="254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497"/>
      <c r="AH31" s="2497"/>
      <c r="AI31" s="2497"/>
      <c r="AJ31" s="2497"/>
    </row>
    <row r="32" spans="1:37" ht="24">
      <c r="A32" s="2622"/>
      <c r="B32" s="2638"/>
      <c r="C32" s="482" t="s">
        <v>2707</v>
      </c>
      <c r="D32" s="479" t="s">
        <v>2708</v>
      </c>
      <c r="E32" s="479" t="s">
        <v>2709</v>
      </c>
      <c r="F32" s="367" t="s">
        <v>2717</v>
      </c>
      <c r="G32" s="958" t="s">
        <v>2707</v>
      </c>
      <c r="H32" s="958" t="s">
        <v>2708</v>
      </c>
      <c r="I32" s="958" t="s">
        <v>2709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497"/>
      <c r="AH32" s="2497"/>
      <c r="AI32" s="2497"/>
      <c r="AJ32" s="2497"/>
    </row>
    <row r="33" spans="1:37">
      <c r="A33" s="3155" t="s">
        <v>2718</v>
      </c>
      <c r="B33" s="2639" t="s">
        <v>2719</v>
      </c>
      <c r="C33" s="123">
        <f ca="1">ROUND(D5*C19*C20*C24*F33,0)</f>
        <v>17141</v>
      </c>
      <c r="D33" s="2624"/>
      <c r="E33" s="117">
        <f t="shared" ref="E33:E39" ca="1" si="6">ROUND(C33*D33,0)</f>
        <v>0</v>
      </c>
      <c r="F33" s="117">
        <f>SUMIF(修正!A45:A56,G2,修正!B45:B56)</f>
        <v>0.7</v>
      </c>
      <c r="G33" s="117">
        <f t="shared" ref="G33:G39" ca="1" si="7">ROUND(IF(E2="工业",C33*$M$39,C33*$M$38),0)</f>
        <v>4285</v>
      </c>
      <c r="H33" s="117">
        <f>D33</f>
        <v>0</v>
      </c>
      <c r="I33" s="117">
        <f t="shared" ref="I33:I39" ca="1" si="8">ROUND(G33*H33,0)</f>
        <v>0</v>
      </c>
      <c r="J33" s="264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56"/>
      <c r="B34" s="2544" t="s">
        <v>2720</v>
      </c>
      <c r="C34" s="123">
        <f ca="1">ROUND(D5*C19*C20*C24*F34,0)</f>
        <v>9795</v>
      </c>
      <c r="D34" s="2624"/>
      <c r="E34" s="117">
        <f t="shared" ca="1" si="6"/>
        <v>0</v>
      </c>
      <c r="F34" s="117">
        <f>SUMIF(修正!A45:A56,G2,修正!C45:C56)</f>
        <v>0.4</v>
      </c>
      <c r="G34" s="117">
        <f t="shared" ca="1" si="7"/>
        <v>2449</v>
      </c>
      <c r="H34" s="117">
        <f t="shared" ref="H34:H39" si="9">D34</f>
        <v>0</v>
      </c>
      <c r="I34" s="117">
        <f t="shared" ca="1" si="8"/>
        <v>0</v>
      </c>
      <c r="J34" s="264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56"/>
      <c r="B35" s="2544" t="s">
        <v>2721</v>
      </c>
      <c r="C35" s="123">
        <f ca="1">ROUND(D5*C19*C20*C24*F35,0)</f>
        <v>6856</v>
      </c>
      <c r="D35" s="2624"/>
      <c r="E35" s="117">
        <f t="shared" ca="1" si="6"/>
        <v>0</v>
      </c>
      <c r="F35" s="117">
        <f>SUMIF(修正!A45:A56,G2,修正!D45:D56)</f>
        <v>0.28000000000000003</v>
      </c>
      <c r="G35" s="117">
        <f t="shared" ca="1" si="7"/>
        <v>1714</v>
      </c>
      <c r="H35" s="117">
        <f t="shared" si="9"/>
        <v>0</v>
      </c>
      <c r="I35" s="117">
        <f t="shared" ca="1" si="8"/>
        <v>0</v>
      </c>
      <c r="J35" s="264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57"/>
      <c r="B36" s="2544" t="s">
        <v>2722</v>
      </c>
      <c r="C36" s="123">
        <f ca="1">ROUND(D5*C19*C20*C24*F36,0)</f>
        <v>6122</v>
      </c>
      <c r="D36" s="2624"/>
      <c r="E36" s="117">
        <f t="shared" ca="1" si="6"/>
        <v>0</v>
      </c>
      <c r="F36" s="117">
        <f>SUMIF(修正!A45:A56,G2,修正!E45:E56)</f>
        <v>0.25</v>
      </c>
      <c r="G36" s="117">
        <f t="shared" ca="1" si="7"/>
        <v>1531</v>
      </c>
      <c r="H36" s="117">
        <f t="shared" si="9"/>
        <v>0</v>
      </c>
      <c r="I36" s="117">
        <f t="shared" ca="1" si="8"/>
        <v>0</v>
      </c>
      <c r="J36" s="2640"/>
      <c r="L36" s="2641"/>
      <c r="M36" s="264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2"/>
      <c r="B37" s="2544" t="s">
        <v>2723</v>
      </c>
      <c r="C37" s="117">
        <f ca="1">ROUND(C5*C19*C20*C24*F37,0)</f>
        <v>6122</v>
      </c>
      <c r="D37" s="2624"/>
      <c r="E37" s="117">
        <f t="shared" ca="1" si="6"/>
        <v>0</v>
      </c>
      <c r="F37" s="123">
        <f>SUMIF(修正!A45:A56,G2,修正!F45:F56)</f>
        <v>0.25</v>
      </c>
      <c r="G37" s="117">
        <f t="shared" ca="1" si="7"/>
        <v>1531</v>
      </c>
      <c r="H37" s="117">
        <f t="shared" si="9"/>
        <v>0</v>
      </c>
      <c r="I37" s="117">
        <f t="shared" ca="1" si="8"/>
        <v>0</v>
      </c>
      <c r="J37" s="2640"/>
      <c r="L37" s="2643" t="s">
        <v>2724</v>
      </c>
      <c r="M37" s="252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2"/>
      <c r="B38" s="2544" t="s">
        <v>2725</v>
      </c>
      <c r="C38" s="117">
        <f ca="1">ROUND(C5*C19*C20*C24*F38,0)</f>
        <v>6122</v>
      </c>
      <c r="D38" s="2624"/>
      <c r="E38" s="117">
        <f t="shared" ca="1" si="6"/>
        <v>0</v>
      </c>
      <c r="F38" s="123">
        <f>SUMIF(修正!A45:A56,G2,修正!G45:G56)</f>
        <v>0.25</v>
      </c>
      <c r="G38" s="117">
        <f t="shared" ca="1" si="7"/>
        <v>1531</v>
      </c>
      <c r="H38" s="117">
        <f t="shared" si="9"/>
        <v>0</v>
      </c>
      <c r="I38" s="117">
        <f t="shared" ca="1" si="8"/>
        <v>0</v>
      </c>
      <c r="J38" s="2640"/>
      <c r="L38" s="2644" t="s">
        <v>2726</v>
      </c>
      <c r="M38" s="264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28"/>
      <c r="B39" s="2646" t="s">
        <v>2727</v>
      </c>
      <c r="C39" s="150">
        <f ca="1">ROUND(C5*C19*C20*C24*F39,0)</f>
        <v>4897</v>
      </c>
      <c r="D39" s="2630"/>
      <c r="E39" s="150">
        <f t="shared" ca="1" si="6"/>
        <v>0</v>
      </c>
      <c r="F39" s="961">
        <f>SUMIF(修正!A45:A56,G2,修正!H45:H56)</f>
        <v>0.2</v>
      </c>
      <c r="G39" s="150" t="e">
        <f t="shared" si="7"/>
        <v>#DIV/0!</v>
      </c>
      <c r="H39" s="150">
        <f t="shared" si="9"/>
        <v>0</v>
      </c>
      <c r="I39" s="150" t="e">
        <f t="shared" si="8"/>
        <v>#DIV/0!</v>
      </c>
      <c r="J39" s="2647"/>
      <c r="L39" s="2648" t="s">
        <v>2666</v>
      </c>
      <c r="M39" s="264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0"/>
      <c r="AH40" s="2650"/>
      <c r="AI40" s="2650"/>
      <c r="AJ40" s="2650"/>
    </row>
    <row r="41" spans="1:37" s="2651" customFormat="1">
      <c r="A41" s="1463"/>
      <c r="B41" s="265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0"/>
      <c r="AH41" s="2650"/>
      <c r="AI41" s="2650"/>
      <c r="AJ41" s="2650"/>
    </row>
    <row r="42" spans="1:37" s="2651" customFormat="1">
      <c r="A42" s="1463"/>
      <c r="B42" s="265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0"/>
      <c r="AH42" s="2650"/>
      <c r="AI42" s="2650"/>
      <c r="AJ42" s="2650"/>
    </row>
    <row r="43" spans="1:37" s="2651" customFormat="1">
      <c r="A43" s="1463"/>
      <c r="B43" s="265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0"/>
      <c r="AH43" s="2650"/>
      <c r="AI43" s="2650"/>
      <c r="AJ43" s="2650"/>
    </row>
    <row r="44" spans="1:37" s="2651" customFormat="1">
      <c r="A44" s="1463"/>
      <c r="B44" s="265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0"/>
      <c r="AH44" s="2650"/>
      <c r="AI44" s="2650"/>
      <c r="AJ44" s="2650"/>
    </row>
    <row r="45" spans="1:37" s="2651" customFormat="1" ht="15.75" thickBot="1">
      <c r="A45" s="2653" t="s">
        <v>2728</v>
      </c>
      <c r="B45" s="2654"/>
      <c r="C45" s="9"/>
      <c r="D45" s="9"/>
      <c r="E45" s="9"/>
      <c r="F45" s="7"/>
      <c r="G45" s="9"/>
      <c r="H45" s="7"/>
      <c r="I45" s="9"/>
      <c r="J45" s="9"/>
      <c r="K45" s="9"/>
      <c r="L45" s="9"/>
      <c r="M45" s="9"/>
      <c r="N45" s="2495"/>
      <c r="O45" s="1462"/>
      <c r="P45" s="1462"/>
      <c r="Q45" s="1462"/>
      <c r="R45" s="1462"/>
      <c r="S45" s="1462"/>
      <c r="T45" s="1462"/>
      <c r="U45" s="1462"/>
      <c r="V45" s="1462"/>
      <c r="W45" s="1462"/>
      <c r="X45" s="1462"/>
      <c r="Y45" s="1462"/>
      <c r="Z45" s="1463"/>
      <c r="AA45" s="1463"/>
      <c r="AB45" s="1463"/>
      <c r="AC45" s="1463"/>
      <c r="AD45" s="1463"/>
      <c r="AE45" s="1463"/>
      <c r="AF45" s="1463"/>
      <c r="AG45" s="2650"/>
      <c r="AH45" s="2650"/>
      <c r="AI45" s="2650"/>
      <c r="AJ45" s="2650"/>
    </row>
    <row r="46" spans="1:37" s="2651" customFormat="1" ht="15">
      <c r="A46" s="2655" t="s">
        <v>2729</v>
      </c>
      <c r="B46" s="2656">
        <f>1+E48</f>
        <v>1.0197000000000001</v>
      </c>
      <c r="C46" s="2657"/>
      <c r="D46" s="817"/>
      <c r="E46" s="818"/>
      <c r="F46" s="2658"/>
      <c r="G46" s="7"/>
      <c r="H46" s="9"/>
      <c r="I46" s="9"/>
      <c r="J46" s="9"/>
      <c r="K46" s="9"/>
      <c r="L46" s="9"/>
      <c r="M46" s="2495"/>
      <c r="N46" s="2659"/>
      <c r="O46" s="1462"/>
      <c r="P46" s="1462"/>
      <c r="Q46" s="1462"/>
      <c r="R46" s="1462"/>
      <c r="S46" s="1462"/>
      <c r="T46" s="1462"/>
      <c r="U46" s="1462"/>
      <c r="V46" s="1462"/>
      <c r="W46" s="1462"/>
      <c r="X46" s="1462"/>
      <c r="Y46" s="1463"/>
      <c r="Z46" s="1463"/>
      <c r="AA46" s="1463"/>
      <c r="AB46" s="1463"/>
      <c r="AC46" s="1463"/>
      <c r="AD46" s="1463"/>
      <c r="AE46" s="1463"/>
      <c r="AF46" s="2650"/>
      <c r="AG46" s="2650"/>
      <c r="AH46" s="2650"/>
      <c r="AI46" s="2650"/>
    </row>
    <row r="47" spans="1:37" s="2651" customFormat="1" ht="24.75">
      <c r="A47" s="2660" t="s">
        <v>2730</v>
      </c>
      <c r="B47" s="823" t="s">
        <v>2731</v>
      </c>
      <c r="C47" s="823" t="s">
        <v>2732</v>
      </c>
      <c r="D47" s="823" t="s">
        <v>2733</v>
      </c>
      <c r="E47" s="824" t="s">
        <v>2734</v>
      </c>
      <c r="F47" s="2661" t="s">
        <v>2735</v>
      </c>
      <c r="G47" s="823" t="s">
        <v>2736</v>
      </c>
      <c r="H47" s="2662" t="s">
        <v>2737</v>
      </c>
      <c r="I47" s="823" t="s">
        <v>2738</v>
      </c>
      <c r="J47" s="587" t="s">
        <v>2739</v>
      </c>
      <c r="K47" s="587" t="s">
        <v>2740</v>
      </c>
      <c r="L47" s="587" t="s">
        <v>2741</v>
      </c>
      <c r="M47" s="587" t="s">
        <v>2742</v>
      </c>
      <c r="N47" s="587" t="s">
        <v>2743</v>
      </c>
      <c r="O47" s="1462"/>
      <c r="P47" s="1462"/>
      <c r="Q47" s="1462"/>
      <c r="R47" s="1462"/>
      <c r="S47" s="1462"/>
      <c r="T47" s="1462"/>
      <c r="U47" s="1462"/>
      <c r="V47" s="1462"/>
      <c r="W47" s="1462"/>
      <c r="X47" s="1462"/>
      <c r="Y47" s="1462"/>
      <c r="Z47" s="1462"/>
      <c r="AA47" s="1463"/>
      <c r="AB47" s="1463"/>
      <c r="AC47" s="1463"/>
      <c r="AD47" s="1463"/>
      <c r="AE47" s="1463"/>
      <c r="AF47" s="1463"/>
      <c r="AG47" s="1463"/>
      <c r="AH47" s="2650"/>
      <c r="AI47" s="2650"/>
      <c r="AJ47" s="2650"/>
      <c r="AK47" s="2650"/>
    </row>
    <row r="48" spans="1:37" s="2651" customFormat="1" ht="63.75">
      <c r="A48" s="2660" t="s">
        <v>2744</v>
      </c>
      <c r="B48" s="2663" t="str">
        <f>估价对象房地状况!C16</f>
        <v>隶属于蓟门桥商圈，周边2公里内有翠微百货（牡丹园店）、花园路百货商场、物美超市等，商业繁华度较好</v>
      </c>
      <c r="C48" s="2550" t="s">
        <v>30</v>
      </c>
      <c r="D48" s="1376">
        <f t="shared" ref="D48:D56" si="10">SUMIF($J$47:$N$47,C48,J48:N48)</f>
        <v>1.23E-2</v>
      </c>
      <c r="E48" s="829">
        <f>ROUND(SUM(D48:D56),4)</f>
        <v>1.9699999999999999E-2</v>
      </c>
      <c r="F48" s="2266">
        <f>IF(E2="商业",SUMIF(L1:L12,G2,N1:N12),"——")</f>
        <v>7.4999999999999997E-2</v>
      </c>
      <c r="G48" s="1377">
        <v>1.23E-2</v>
      </c>
      <c r="H48" s="1381">
        <f t="shared" ref="H48:H56" si="11">IFERROR(ROUNDDOWN($F$48*I48/2,4),"——")</f>
        <v>1.23E-2</v>
      </c>
      <c r="I48" s="828">
        <v>0.33</v>
      </c>
      <c r="J48" s="1378">
        <f t="shared" ref="J48:J56" si="12">K48+$G48</f>
        <v>2.46E-2</v>
      </c>
      <c r="K48" s="1378">
        <f t="shared" ref="K48:K56" si="13">$L48+$G48</f>
        <v>1.23E-2</v>
      </c>
      <c r="L48" s="1378">
        <v>0</v>
      </c>
      <c r="M48" s="1378">
        <f t="shared" ref="M48:N56" si="14">L48-$G48</f>
        <v>-1.23E-2</v>
      </c>
      <c r="N48" s="1378">
        <f t="shared" si="14"/>
        <v>-2.46E-2</v>
      </c>
      <c r="O48" s="1462"/>
      <c r="P48" s="1462"/>
      <c r="Q48" s="1462"/>
      <c r="R48" s="1462"/>
      <c r="S48" s="1462"/>
      <c r="T48" s="1462"/>
      <c r="U48" s="1462"/>
      <c r="V48" s="1462"/>
      <c r="W48" s="1462"/>
      <c r="X48" s="1462"/>
      <c r="Y48" s="1462"/>
      <c r="Z48" s="1462"/>
      <c r="AA48" s="1463"/>
      <c r="AB48" s="1463"/>
      <c r="AC48" s="1463"/>
      <c r="AD48" s="1463"/>
      <c r="AE48" s="1463"/>
      <c r="AF48" s="1463"/>
      <c r="AG48" s="1463"/>
      <c r="AH48" s="2650"/>
      <c r="AI48" s="2650"/>
      <c r="AJ48" s="2650"/>
      <c r="AK48" s="2650"/>
    </row>
    <row r="49" spans="1:37" s="2651" customFormat="1" ht="63.75">
      <c r="A49" s="2660" t="s">
        <v>2745</v>
      </c>
      <c r="B49" s="2664" t="str">
        <f>估价对象房地状况!C18</f>
        <v>周边2公里内最高级别道路高速公路—G6，周边遍布十余条公交站点及地铁10号线（牡丹园站）等，综合评价交通便捷度较好</v>
      </c>
      <c r="C49" s="2550" t="s">
        <v>30</v>
      </c>
      <c r="D49" s="1376">
        <f t="shared" si="10"/>
        <v>9.2999999999999992E-3</v>
      </c>
      <c r="E49" s="832"/>
      <c r="F49" s="2266"/>
      <c r="G49" s="1377">
        <v>9.2999999999999992E-3</v>
      </c>
      <c r="H49" s="1381">
        <f t="shared" si="11"/>
        <v>9.2999999999999992E-3</v>
      </c>
      <c r="I49" s="828">
        <v>0.25</v>
      </c>
      <c r="J49" s="1378">
        <f t="shared" si="12"/>
        <v>1.8599999999999998E-2</v>
      </c>
      <c r="K49" s="1378">
        <f t="shared" si="13"/>
        <v>9.2999999999999992E-3</v>
      </c>
      <c r="L49" s="1378">
        <v>0</v>
      </c>
      <c r="M49" s="1378">
        <f t="shared" si="14"/>
        <v>-9.2999999999999992E-3</v>
      </c>
      <c r="N49" s="1378">
        <f t="shared" si="14"/>
        <v>-1.8599999999999998E-2</v>
      </c>
      <c r="O49" s="1462"/>
      <c r="P49" s="1462"/>
      <c r="Q49" s="1462"/>
      <c r="R49" s="1462"/>
      <c r="S49" s="1462"/>
      <c r="T49" s="1462"/>
      <c r="U49" s="1462"/>
      <c r="V49" s="1462"/>
      <c r="W49" s="1462"/>
      <c r="X49" s="1462"/>
      <c r="Y49" s="1462"/>
      <c r="Z49" s="1462"/>
      <c r="AA49" s="1463"/>
      <c r="AB49" s="1463"/>
      <c r="AC49" s="1463"/>
      <c r="AD49" s="1463"/>
      <c r="AE49" s="1463"/>
      <c r="AF49" s="1463"/>
      <c r="AG49" s="1463"/>
      <c r="AH49" s="2650"/>
      <c r="AI49" s="2650"/>
      <c r="AJ49" s="2650"/>
      <c r="AK49" s="2650"/>
    </row>
    <row r="50" spans="1:37" s="2651" customFormat="1" ht="24">
      <c r="A50" s="2660" t="s">
        <v>2746</v>
      </c>
      <c r="B50" s="2664">
        <f>估价对象房地状况!C19</f>
        <v>0</v>
      </c>
      <c r="C50" s="2550" t="s">
        <v>31</v>
      </c>
      <c r="D50" s="1376">
        <f t="shared" si="10"/>
        <v>0</v>
      </c>
      <c r="E50" s="832"/>
      <c r="F50" s="2266"/>
      <c r="G50" s="1377">
        <v>1.8E-3</v>
      </c>
      <c r="H50" s="1381">
        <f t="shared" si="11"/>
        <v>1.8E-3</v>
      </c>
      <c r="I50" s="828">
        <v>0.05</v>
      </c>
      <c r="J50" s="1378">
        <f t="shared" si="12"/>
        <v>3.5999999999999999E-3</v>
      </c>
      <c r="K50" s="1378">
        <f t="shared" si="13"/>
        <v>1.8E-3</v>
      </c>
      <c r="L50" s="1378">
        <v>0</v>
      </c>
      <c r="M50" s="1378">
        <f t="shared" si="14"/>
        <v>-1.8E-3</v>
      </c>
      <c r="N50" s="1378">
        <f t="shared" si="14"/>
        <v>-3.5999999999999999E-3</v>
      </c>
      <c r="O50" s="1462"/>
      <c r="P50" s="1462"/>
      <c r="Q50" s="1462"/>
      <c r="R50" s="1462"/>
      <c r="S50" s="1462"/>
      <c r="T50" s="1462"/>
      <c r="U50" s="1462"/>
      <c r="V50" s="1462"/>
      <c r="W50" s="1462"/>
      <c r="X50" s="1462"/>
      <c r="Y50" s="1462"/>
      <c r="Z50" s="1462"/>
      <c r="AA50" s="1463"/>
      <c r="AB50" s="1463"/>
      <c r="AC50" s="1463"/>
      <c r="AD50" s="1463"/>
      <c r="AE50" s="1463"/>
      <c r="AF50" s="1463"/>
      <c r="AG50" s="1463"/>
      <c r="AH50" s="2650"/>
      <c r="AI50" s="2650"/>
      <c r="AJ50" s="2650"/>
      <c r="AK50" s="2650"/>
    </row>
    <row r="51" spans="1:37" s="2651" customFormat="1" ht="36.75">
      <c r="A51" s="2660" t="s">
        <v>2747</v>
      </c>
      <c r="B51" s="2665" t="s">
        <v>2748</v>
      </c>
      <c r="C51" s="2550" t="s">
        <v>32</v>
      </c>
      <c r="D51" s="1376">
        <f t="shared" si="10"/>
        <v>-1.8E-3</v>
      </c>
      <c r="E51" s="832"/>
      <c r="F51" s="2266"/>
      <c r="G51" s="1377">
        <v>1.8E-3</v>
      </c>
      <c r="H51" s="1381">
        <f t="shared" si="11"/>
        <v>1.8E-3</v>
      </c>
      <c r="I51" s="828">
        <v>0.05</v>
      </c>
      <c r="J51" s="1378">
        <f t="shared" si="12"/>
        <v>3.5999999999999999E-3</v>
      </c>
      <c r="K51" s="1378">
        <f t="shared" si="13"/>
        <v>1.8E-3</v>
      </c>
      <c r="L51" s="1378">
        <v>0</v>
      </c>
      <c r="M51" s="1378">
        <f t="shared" si="14"/>
        <v>-1.8E-3</v>
      </c>
      <c r="N51" s="1378">
        <f t="shared" si="14"/>
        <v>-3.5999999999999999E-3</v>
      </c>
      <c r="O51" s="1462"/>
      <c r="P51" s="1462"/>
      <c r="Q51" s="1462"/>
      <c r="R51" s="1462"/>
      <c r="S51" s="1462"/>
      <c r="T51" s="1462"/>
      <c r="U51" s="1462"/>
      <c r="V51" s="1462"/>
      <c r="W51" s="1462"/>
      <c r="X51" s="1462"/>
      <c r="Y51" s="1462"/>
      <c r="Z51" s="1462"/>
      <c r="AA51" s="1463"/>
      <c r="AB51" s="1463"/>
      <c r="AC51" s="1463"/>
      <c r="AD51" s="1463"/>
      <c r="AE51" s="1463"/>
      <c r="AF51" s="1463"/>
      <c r="AG51" s="1463"/>
      <c r="AH51" s="2650"/>
      <c r="AI51" s="2650"/>
      <c r="AJ51" s="2650"/>
      <c r="AK51" s="2650"/>
    </row>
    <row r="52" spans="1:37" s="2651" customFormat="1" ht="25.5">
      <c r="A52" s="2660" t="s">
        <v>2749</v>
      </c>
      <c r="B52" s="2664" t="str">
        <f>估价对象房地状况!C24</f>
        <v>城市次干道——花园东路、项目内道路</v>
      </c>
      <c r="C52" s="2550" t="s">
        <v>32</v>
      </c>
      <c r="D52" s="1376">
        <f t="shared" si="10"/>
        <v>-3.0000000000000001E-3</v>
      </c>
      <c r="E52" s="832"/>
      <c r="F52" s="2266"/>
      <c r="G52" s="1377">
        <v>3.0000000000000001E-3</v>
      </c>
      <c r="H52" s="1381">
        <f t="shared" si="11"/>
        <v>3.0000000000000001E-3</v>
      </c>
      <c r="I52" s="828">
        <v>0.08</v>
      </c>
      <c r="J52" s="1378">
        <f t="shared" si="12"/>
        <v>6.0000000000000001E-3</v>
      </c>
      <c r="K52" s="1378">
        <f t="shared" si="13"/>
        <v>3.0000000000000001E-3</v>
      </c>
      <c r="L52" s="1378">
        <v>0</v>
      </c>
      <c r="M52" s="1378">
        <f t="shared" si="14"/>
        <v>-3.0000000000000001E-3</v>
      </c>
      <c r="N52" s="1378">
        <f t="shared" si="14"/>
        <v>-6.0000000000000001E-3</v>
      </c>
      <c r="O52" s="1462"/>
      <c r="P52" s="1462"/>
      <c r="Q52" s="1462"/>
      <c r="R52" s="1462"/>
      <c r="S52" s="1462"/>
      <c r="T52" s="1462"/>
      <c r="U52" s="1462"/>
      <c r="V52" s="1462"/>
      <c r="W52" s="1462"/>
      <c r="X52" s="1462"/>
      <c r="Y52" s="1462"/>
      <c r="Z52" s="1462"/>
      <c r="AA52" s="1463"/>
      <c r="AB52" s="1463"/>
      <c r="AC52" s="1463"/>
      <c r="AD52" s="1463"/>
      <c r="AE52" s="1463"/>
      <c r="AF52" s="1463"/>
      <c r="AG52" s="1463"/>
      <c r="AH52" s="2650"/>
      <c r="AI52" s="2650"/>
      <c r="AJ52" s="2650"/>
      <c r="AK52" s="2650"/>
    </row>
    <row r="53" spans="1:37" s="2651" customFormat="1" ht="24">
      <c r="A53" s="2660" t="s">
        <v>2750</v>
      </c>
      <c r="B53" s="2666" t="s">
        <v>2751</v>
      </c>
      <c r="C53" s="2550" t="s">
        <v>30</v>
      </c>
      <c r="D53" s="1376">
        <f t="shared" si="10"/>
        <v>1.1000000000000001E-3</v>
      </c>
      <c r="E53" s="832"/>
      <c r="F53" s="2266"/>
      <c r="G53" s="1377">
        <v>1.1000000000000001E-3</v>
      </c>
      <c r="H53" s="1381">
        <f t="shared" si="11"/>
        <v>1.1000000000000001E-3</v>
      </c>
      <c r="I53" s="828">
        <v>0.03</v>
      </c>
      <c r="J53" s="1378">
        <f t="shared" si="12"/>
        <v>2.2000000000000001E-3</v>
      </c>
      <c r="K53" s="1378">
        <f t="shared" si="13"/>
        <v>1.1000000000000001E-3</v>
      </c>
      <c r="L53" s="1378">
        <v>0</v>
      </c>
      <c r="M53" s="1378">
        <f t="shared" si="14"/>
        <v>-1.1000000000000001E-3</v>
      </c>
      <c r="N53" s="1378">
        <f t="shared" si="14"/>
        <v>-2.2000000000000001E-3</v>
      </c>
      <c r="O53" s="1462"/>
      <c r="P53" s="1462"/>
      <c r="Q53" s="1462"/>
      <c r="R53" s="1462"/>
      <c r="S53" s="1462"/>
      <c r="T53" s="1462"/>
      <c r="U53" s="1462"/>
      <c r="V53" s="1462"/>
      <c r="W53" s="1462"/>
      <c r="X53" s="1462"/>
      <c r="Y53" s="1462"/>
      <c r="Z53" s="1462"/>
      <c r="AA53" s="1463"/>
      <c r="AB53" s="1463"/>
      <c r="AC53" s="1463"/>
      <c r="AD53" s="1463"/>
      <c r="AE53" s="1463"/>
      <c r="AF53" s="1463"/>
      <c r="AG53" s="1463"/>
      <c r="AH53" s="2650"/>
      <c r="AI53" s="2650"/>
      <c r="AJ53" s="2650"/>
      <c r="AK53" s="2650"/>
    </row>
    <row r="54" spans="1:37" s="2651" customFormat="1" ht="51">
      <c r="A54" s="2667" t="s">
        <v>2752</v>
      </c>
      <c r="B54" s="2668" t="str">
        <f>估价对象房地状况!C21</f>
        <v>2公里内有餐饮、医院、超市、购物中心、学校等，估价对象所在区域公共配套设施较齐备</v>
      </c>
      <c r="C54" s="2550" t="s">
        <v>30</v>
      </c>
      <c r="D54" s="1376">
        <f t="shared" si="10"/>
        <v>1.8E-3</v>
      </c>
      <c r="E54" s="832"/>
      <c r="F54" s="2266"/>
      <c r="G54" s="1377">
        <v>1.8E-3</v>
      </c>
      <c r="H54" s="1381">
        <f t="shared" si="11"/>
        <v>1.8E-3</v>
      </c>
      <c r="I54" s="828">
        <v>0.05</v>
      </c>
      <c r="J54" s="1378">
        <f t="shared" si="12"/>
        <v>3.5999999999999999E-3</v>
      </c>
      <c r="K54" s="1378">
        <f t="shared" si="13"/>
        <v>1.8E-3</v>
      </c>
      <c r="L54" s="1378">
        <v>0</v>
      </c>
      <c r="M54" s="1378">
        <f t="shared" si="14"/>
        <v>-1.8E-3</v>
      </c>
      <c r="N54" s="1378">
        <f t="shared" si="14"/>
        <v>-3.5999999999999999E-3</v>
      </c>
      <c r="O54" s="1462"/>
      <c r="P54" s="1462"/>
      <c r="Q54" s="1462"/>
      <c r="R54" s="1462"/>
      <c r="S54" s="1462"/>
      <c r="T54" s="1462"/>
      <c r="U54" s="1462"/>
      <c r="V54" s="1462"/>
      <c r="W54" s="1462"/>
      <c r="X54" s="1462"/>
      <c r="Y54" s="1462"/>
      <c r="Z54" s="1462"/>
      <c r="AA54" s="1463"/>
      <c r="AB54" s="1463"/>
      <c r="AC54" s="1463"/>
      <c r="AD54" s="1463"/>
      <c r="AE54" s="1463"/>
      <c r="AF54" s="1463"/>
      <c r="AG54" s="1463"/>
      <c r="AH54" s="2650"/>
      <c r="AI54" s="2650"/>
      <c r="AJ54" s="2650"/>
      <c r="AK54" s="2650"/>
    </row>
    <row r="55" spans="1:37" s="2651" customFormat="1" ht="24">
      <c r="A55" s="2667" t="s">
        <v>2753</v>
      </c>
      <c r="B55" s="2664" t="str">
        <f>估价对象房地状况!C22</f>
        <v>五通</v>
      </c>
      <c r="C55" s="2550" t="s">
        <v>31</v>
      </c>
      <c r="D55" s="1376">
        <f t="shared" si="10"/>
        <v>0</v>
      </c>
      <c r="E55" s="832"/>
      <c r="F55" s="2266"/>
      <c r="G55" s="1377">
        <v>3.7000000000000002E-3</v>
      </c>
      <c r="H55" s="1381">
        <f t="shared" si="11"/>
        <v>3.7000000000000002E-3</v>
      </c>
      <c r="I55" s="828">
        <v>0.1</v>
      </c>
      <c r="J55" s="1378">
        <f t="shared" si="12"/>
        <v>7.4000000000000003E-3</v>
      </c>
      <c r="K55" s="1378">
        <f t="shared" si="13"/>
        <v>3.7000000000000002E-3</v>
      </c>
      <c r="L55" s="1378">
        <v>0</v>
      </c>
      <c r="M55" s="1378">
        <f t="shared" si="14"/>
        <v>-3.7000000000000002E-3</v>
      </c>
      <c r="N55" s="1378">
        <f t="shared" si="14"/>
        <v>-7.4000000000000003E-3</v>
      </c>
      <c r="O55" s="1462"/>
      <c r="P55" s="1462"/>
      <c r="Q55" s="1462"/>
      <c r="R55" s="1462"/>
      <c r="S55" s="1462"/>
      <c r="T55" s="1462"/>
      <c r="U55" s="1462"/>
      <c r="V55" s="1462"/>
      <c r="W55" s="1462"/>
      <c r="X55" s="1462"/>
      <c r="Y55" s="1462"/>
      <c r="Z55" s="1462"/>
      <c r="AA55" s="1463"/>
      <c r="AB55" s="1463"/>
      <c r="AC55" s="1463"/>
      <c r="AD55" s="1463"/>
      <c r="AE55" s="1463"/>
      <c r="AF55" s="1463"/>
      <c r="AG55" s="1463"/>
      <c r="AH55" s="2650"/>
      <c r="AI55" s="2650"/>
      <c r="AJ55" s="2650"/>
      <c r="AK55" s="2650"/>
    </row>
    <row r="56" spans="1:37" s="2651" customFormat="1" ht="39" thickBot="1">
      <c r="A56" s="2669" t="s">
        <v>2754</v>
      </c>
      <c r="B56" s="2670" t="str">
        <f>估价对象房地状况!C20</f>
        <v>区域自然环境：元大都遗址公园；人文环境；综合评价环境状况一般</v>
      </c>
      <c r="C56" s="2550" t="s">
        <v>31</v>
      </c>
      <c r="D56" s="1376">
        <f t="shared" si="10"/>
        <v>0</v>
      </c>
      <c r="E56" s="838"/>
      <c r="F56" s="2266"/>
      <c r="G56" s="1377">
        <v>2.2000000000000001E-3</v>
      </c>
      <c r="H56" s="1381">
        <f t="shared" si="11"/>
        <v>2.2000000000000001E-3</v>
      </c>
      <c r="I56" s="837">
        <v>0.06</v>
      </c>
      <c r="J56" s="1378">
        <f t="shared" si="12"/>
        <v>4.4000000000000003E-3</v>
      </c>
      <c r="K56" s="1378">
        <f t="shared" si="13"/>
        <v>2.2000000000000001E-3</v>
      </c>
      <c r="L56" s="1378">
        <v>0</v>
      </c>
      <c r="M56" s="1378">
        <f t="shared" si="14"/>
        <v>-2.2000000000000001E-3</v>
      </c>
      <c r="N56" s="1378">
        <f t="shared" si="14"/>
        <v>-4.4000000000000003E-3</v>
      </c>
      <c r="O56" s="1462"/>
      <c r="P56" s="1462"/>
      <c r="Q56" s="1462"/>
      <c r="R56" s="1462"/>
      <c r="S56" s="1462"/>
      <c r="T56" s="1462"/>
      <c r="U56" s="1462"/>
      <c r="V56" s="1462"/>
      <c r="W56" s="1462"/>
      <c r="X56" s="1462"/>
      <c r="Y56" s="1462"/>
      <c r="Z56" s="1462"/>
      <c r="AA56" s="1463"/>
      <c r="AB56" s="1463"/>
      <c r="AC56" s="1463"/>
      <c r="AD56" s="1463"/>
      <c r="AE56" s="1463"/>
      <c r="AF56" s="1463"/>
      <c r="AG56" s="1463"/>
      <c r="AH56" s="2650"/>
      <c r="AI56" s="2650"/>
      <c r="AJ56" s="2650"/>
      <c r="AK56" s="2650"/>
    </row>
    <row r="57" spans="1:37" s="2651" customFormat="1" ht="15">
      <c r="A57" s="2655" t="s">
        <v>2755</v>
      </c>
      <c r="B57" s="2671">
        <f>1+E59</f>
        <v>1</v>
      </c>
      <c r="C57" s="817"/>
      <c r="D57" s="817"/>
      <c r="E57" s="818"/>
      <c r="F57" s="265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0"/>
      <c r="AI57" s="2650"/>
      <c r="AJ57" s="2650"/>
      <c r="AK57" s="2650"/>
    </row>
    <row r="58" spans="1:37" s="2651" customFormat="1" ht="24.75">
      <c r="A58" s="2660" t="s">
        <v>2730</v>
      </c>
      <c r="B58" s="2664"/>
      <c r="C58" s="823" t="s">
        <v>2732</v>
      </c>
      <c r="D58" s="823" t="s">
        <v>2733</v>
      </c>
      <c r="E58" s="824" t="s">
        <v>2734</v>
      </c>
      <c r="F58" s="2661" t="s">
        <v>2735</v>
      </c>
      <c r="G58" s="823" t="s">
        <v>2756</v>
      </c>
      <c r="H58" s="2662" t="s">
        <v>2757</v>
      </c>
      <c r="I58" s="823" t="s">
        <v>2758</v>
      </c>
      <c r="J58" s="587" t="s">
        <v>2392</v>
      </c>
      <c r="K58" s="587" t="s">
        <v>2393</v>
      </c>
      <c r="L58" s="587" t="s">
        <v>2394</v>
      </c>
      <c r="M58" s="587" t="s">
        <v>2395</v>
      </c>
      <c r="N58" s="587" t="s">
        <v>2396</v>
      </c>
      <c r="O58" s="1462"/>
      <c r="P58" s="1462"/>
      <c r="Q58" s="1462"/>
      <c r="R58" s="1462"/>
      <c r="S58" s="1462"/>
      <c r="T58" s="1462"/>
      <c r="U58" s="1462"/>
      <c r="V58" s="1462"/>
      <c r="W58" s="1462"/>
      <c r="X58" s="1462"/>
      <c r="Y58" s="1462"/>
      <c r="Z58" s="1462"/>
      <c r="AA58" s="1463"/>
      <c r="AB58" s="1463"/>
      <c r="AC58" s="1463"/>
      <c r="AD58" s="1463"/>
      <c r="AE58" s="1463"/>
      <c r="AF58" s="1463"/>
      <c r="AG58" s="1463"/>
      <c r="AH58" s="2650"/>
      <c r="AI58" s="2650"/>
      <c r="AJ58" s="2650"/>
      <c r="AK58" s="2650"/>
    </row>
    <row r="59" spans="1:37" s="2651" customFormat="1" ht="38.25">
      <c r="A59" s="2660" t="s">
        <v>2759</v>
      </c>
      <c r="B59" s="2663" t="str">
        <f>估价对象房地状况!C17</f>
        <v>隶属于蓟门桥商圈，周边2公里内写字楼大于10座，办公集聚程度较好</v>
      </c>
      <c r="C59" s="2550"/>
      <c r="D59" s="1376">
        <f t="shared" ref="D59:D67" si="15">SUMIF($J$58:$N$58,C59,J59:N59)</f>
        <v>0</v>
      </c>
      <c r="E59" s="829">
        <f>ROUND(SUM(D59:D67),4)</f>
        <v>0</v>
      </c>
      <c r="F59" s="226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0"/>
      <c r="AI59" s="2650"/>
      <c r="AJ59" s="2650"/>
      <c r="AK59" s="2650"/>
    </row>
    <row r="60" spans="1:37" s="2651" customFormat="1" ht="63.75">
      <c r="A60" s="2660" t="s">
        <v>2745</v>
      </c>
      <c r="B60" s="2664" t="str">
        <f>估价对象房地状况!C18</f>
        <v>周边2公里内最高级别道路高速公路—G6，周边遍布十余条公交站点及地铁10号线（牡丹园站）等，综合评价交通便捷度较好</v>
      </c>
      <c r="C60" s="2550"/>
      <c r="D60" s="1376">
        <f t="shared" si="15"/>
        <v>0</v>
      </c>
      <c r="E60" s="832"/>
      <c r="F60" s="226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0"/>
      <c r="AI60" s="2650"/>
      <c r="AJ60" s="2650"/>
      <c r="AK60" s="2650"/>
    </row>
    <row r="61" spans="1:37" s="2651" customFormat="1" ht="24">
      <c r="A61" s="2660" t="s">
        <v>2746</v>
      </c>
      <c r="B61" s="2664">
        <f>估价对象房地状况!C19</f>
        <v>0</v>
      </c>
      <c r="C61" s="2550"/>
      <c r="D61" s="1376">
        <f t="shared" si="15"/>
        <v>0</v>
      </c>
      <c r="E61" s="832"/>
      <c r="F61" s="226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0"/>
      <c r="AI61" s="2650"/>
      <c r="AJ61" s="2650"/>
      <c r="AK61" s="2650"/>
    </row>
    <row r="62" spans="1:37" s="2651" customFormat="1" ht="36.75">
      <c r="A62" s="2660" t="s">
        <v>2747</v>
      </c>
      <c r="B62" s="2665" t="s">
        <v>2748</v>
      </c>
      <c r="C62" s="2550"/>
      <c r="D62" s="1376">
        <f t="shared" si="15"/>
        <v>0</v>
      </c>
      <c r="E62" s="832"/>
      <c r="F62" s="226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0"/>
      <c r="AI62" s="2650"/>
      <c r="AJ62" s="2650"/>
      <c r="AK62" s="2650"/>
    </row>
    <row r="63" spans="1:37" s="2651" customFormat="1" ht="25.5">
      <c r="A63" s="2660" t="s">
        <v>2749</v>
      </c>
      <c r="B63" s="2664" t="str">
        <f>估价对象房地状况!C24</f>
        <v>城市次干道——花园东路、项目内道路</v>
      </c>
      <c r="C63" s="2550"/>
      <c r="D63" s="1376">
        <f t="shared" si="15"/>
        <v>0</v>
      </c>
      <c r="E63" s="832"/>
      <c r="F63" s="226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0"/>
      <c r="AI63" s="2650"/>
      <c r="AJ63" s="2650"/>
      <c r="AK63" s="2650"/>
    </row>
    <row r="64" spans="1:37" s="2651" customFormat="1" ht="24">
      <c r="A64" s="2660" t="s">
        <v>2750</v>
      </c>
      <c r="B64" s="2666" t="s">
        <v>2751</v>
      </c>
      <c r="C64" s="2550"/>
      <c r="D64" s="1376">
        <f t="shared" si="15"/>
        <v>0</v>
      </c>
      <c r="E64" s="832"/>
      <c r="F64" s="226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0"/>
      <c r="AI64" s="2650"/>
      <c r="AJ64" s="2650"/>
      <c r="AK64" s="2650"/>
    </row>
    <row r="65" spans="1:37" s="2651" customFormat="1" ht="51">
      <c r="A65" s="2660" t="s">
        <v>2752</v>
      </c>
      <c r="B65" s="2668" t="str">
        <f>估价对象房地状况!C21</f>
        <v>2公里内有餐饮、医院、超市、购物中心、学校等，估价对象所在区域公共配套设施较齐备</v>
      </c>
      <c r="C65" s="2550"/>
      <c r="D65" s="1376">
        <f t="shared" si="15"/>
        <v>0</v>
      </c>
      <c r="E65" s="832"/>
      <c r="F65" s="226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0"/>
      <c r="AI65" s="2650"/>
      <c r="AJ65" s="2650"/>
      <c r="AK65" s="2650"/>
    </row>
    <row r="66" spans="1:37" s="2651" customFormat="1" ht="24">
      <c r="A66" s="2660" t="s">
        <v>2753</v>
      </c>
      <c r="B66" s="2668" t="str">
        <f>估价对象房地状况!C22</f>
        <v>五通</v>
      </c>
      <c r="C66" s="2550"/>
      <c r="D66" s="1376">
        <f t="shared" si="15"/>
        <v>0</v>
      </c>
      <c r="E66" s="832"/>
      <c r="F66" s="226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0"/>
      <c r="AI66" s="2650"/>
      <c r="AJ66" s="2650"/>
      <c r="AK66" s="2650"/>
    </row>
    <row r="67" spans="1:37" s="2651" customFormat="1" ht="39" thickBot="1">
      <c r="A67" s="2669" t="s">
        <v>2754</v>
      </c>
      <c r="B67" s="2672" t="str">
        <f>估价对象房地状况!C20</f>
        <v>区域自然环境：元大都遗址公园；人文环境；综合评价环境状况一般</v>
      </c>
      <c r="C67" s="2550"/>
      <c r="D67" s="1376">
        <f t="shared" si="15"/>
        <v>0</v>
      </c>
      <c r="E67" s="838"/>
      <c r="F67" s="226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0"/>
      <c r="AI67" s="2650"/>
      <c r="AJ67" s="2650"/>
      <c r="AK67" s="2650"/>
    </row>
    <row r="68" spans="1:37" s="2651" customFormat="1" ht="15">
      <c r="A68" s="2655" t="s">
        <v>2760</v>
      </c>
      <c r="B68" s="2671">
        <f>1+E70</f>
        <v>1</v>
      </c>
      <c r="C68" s="817"/>
      <c r="D68" s="817"/>
      <c r="E68" s="818"/>
      <c r="F68" s="265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0"/>
      <c r="AI68" s="2650"/>
      <c r="AJ68" s="2650"/>
      <c r="AK68" s="2650"/>
    </row>
    <row r="69" spans="1:37" s="2651" customFormat="1" ht="24.75">
      <c r="A69" s="2660" t="s">
        <v>2730</v>
      </c>
      <c r="B69" s="2664"/>
      <c r="C69" s="823" t="s">
        <v>2732</v>
      </c>
      <c r="D69" s="823" t="s">
        <v>2733</v>
      </c>
      <c r="E69" s="824" t="s">
        <v>2734</v>
      </c>
      <c r="F69" s="2661" t="s">
        <v>2735</v>
      </c>
      <c r="G69" s="823" t="s">
        <v>2756</v>
      </c>
      <c r="H69" s="2662" t="s">
        <v>2757</v>
      </c>
      <c r="I69" s="823" t="s">
        <v>2758</v>
      </c>
      <c r="J69" s="587" t="s">
        <v>2392</v>
      </c>
      <c r="K69" s="587" t="s">
        <v>2393</v>
      </c>
      <c r="L69" s="587" t="s">
        <v>2394</v>
      </c>
      <c r="M69" s="587" t="s">
        <v>2395</v>
      </c>
      <c r="N69" s="587" t="s">
        <v>2396</v>
      </c>
      <c r="O69" s="1462"/>
      <c r="P69" s="1462"/>
      <c r="Q69" s="1462"/>
      <c r="R69" s="1462"/>
      <c r="S69" s="1462"/>
      <c r="T69" s="1462"/>
      <c r="U69" s="1462"/>
      <c r="V69" s="1462"/>
      <c r="W69" s="1462"/>
      <c r="X69" s="1462"/>
      <c r="Y69" s="1462"/>
      <c r="Z69" s="1462"/>
      <c r="AA69" s="1463"/>
      <c r="AB69" s="1463"/>
      <c r="AC69" s="1463"/>
      <c r="AD69" s="1463"/>
      <c r="AE69" s="1463"/>
      <c r="AF69" s="1463"/>
      <c r="AG69" s="1463"/>
      <c r="AH69" s="2650"/>
      <c r="AI69" s="2650"/>
      <c r="AJ69" s="2650"/>
      <c r="AK69" s="2650"/>
    </row>
    <row r="70" spans="1:37" s="2651" customFormat="1" ht="51">
      <c r="A70" s="2660" t="s">
        <v>2761</v>
      </c>
      <c r="B70" s="2663" t="str">
        <f>估价对象房地状况!C15</f>
        <v>估价对象周边居住用地比例、居住小区规模和社区发展完善程度，综合评价居住社区成熟度一般</v>
      </c>
      <c r="C70" s="2550"/>
      <c r="D70" s="1376">
        <f t="shared" ref="D70:D78" si="20">SUMIF($J$69:$N$69,C70,J70:N70)</f>
        <v>0</v>
      </c>
      <c r="E70" s="829">
        <f>ROUND(SUM(D70:D78),4)</f>
        <v>0</v>
      </c>
      <c r="F70" s="226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0"/>
      <c r="AI70" s="2650"/>
      <c r="AJ70" s="2650"/>
      <c r="AK70" s="2650"/>
    </row>
    <row r="71" spans="1:37" s="2651" customFormat="1" ht="63.75">
      <c r="A71" s="2660" t="s">
        <v>2745</v>
      </c>
      <c r="B71" s="2664" t="str">
        <f>估价对象房地状况!C18</f>
        <v>周边2公里内最高级别道路高速公路—G6，周边遍布十余条公交站点及地铁10号线（牡丹园站）等，综合评价交通便捷度较好</v>
      </c>
      <c r="C71" s="2550"/>
      <c r="D71" s="1376">
        <f t="shared" si="20"/>
        <v>0</v>
      </c>
      <c r="E71" s="840"/>
      <c r="F71" s="267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0"/>
      <c r="AI71" s="2650"/>
      <c r="AJ71" s="2650"/>
      <c r="AK71" s="2650"/>
    </row>
    <row r="72" spans="1:37" s="2651" customFormat="1" ht="24">
      <c r="A72" s="2660" t="s">
        <v>2746</v>
      </c>
      <c r="B72" s="2664">
        <f>估价对象房地状况!C19</f>
        <v>0</v>
      </c>
      <c r="C72" s="2550"/>
      <c r="D72" s="1376">
        <f t="shared" si="20"/>
        <v>0</v>
      </c>
      <c r="E72" s="840"/>
      <c r="F72" s="267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0"/>
      <c r="AI72" s="2650"/>
      <c r="AJ72" s="2650"/>
      <c r="AK72" s="2650"/>
    </row>
    <row r="73" spans="1:37" s="2651" customFormat="1" ht="25.5">
      <c r="A73" s="2660" t="s">
        <v>2762</v>
      </c>
      <c r="B73" s="2664" t="str">
        <f>估价对象房地状况!C24</f>
        <v>城市次干道——花园东路、项目内道路</v>
      </c>
      <c r="C73" s="2550"/>
      <c r="D73" s="1376">
        <f t="shared" si="20"/>
        <v>0</v>
      </c>
      <c r="E73" s="840"/>
      <c r="F73" s="267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0"/>
      <c r="AI73" s="2650"/>
      <c r="AJ73" s="2650"/>
      <c r="AK73" s="2650"/>
    </row>
    <row r="74" spans="1:37" s="2651" customFormat="1" ht="51">
      <c r="A74" s="2660" t="s">
        <v>2752</v>
      </c>
      <c r="B74" s="2668" t="str">
        <f>估价对象房地状况!C21</f>
        <v>2公里内有餐饮、医院、超市、购物中心、学校等，估价对象所在区域公共配套设施较齐备</v>
      </c>
      <c r="C74" s="2550"/>
      <c r="D74" s="1376">
        <f t="shared" si="20"/>
        <v>0</v>
      </c>
      <c r="E74" s="840"/>
      <c r="F74" s="267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0"/>
      <c r="AI74" s="2650"/>
      <c r="AJ74" s="2650"/>
      <c r="AK74" s="2650"/>
    </row>
    <row r="75" spans="1:37" s="2651" customFormat="1" ht="24">
      <c r="A75" s="2660" t="s">
        <v>2753</v>
      </c>
      <c r="B75" s="2668" t="str">
        <f>估价对象房地状况!C22</f>
        <v>五通</v>
      </c>
      <c r="C75" s="2550"/>
      <c r="D75" s="1376">
        <f t="shared" si="20"/>
        <v>0</v>
      </c>
      <c r="E75" s="840"/>
      <c r="F75" s="267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0"/>
      <c r="AI75" s="2650"/>
      <c r="AJ75" s="2650"/>
      <c r="AK75" s="2650"/>
    </row>
    <row r="76" spans="1:37" ht="24">
      <c r="A76" s="2660" t="s">
        <v>2750</v>
      </c>
      <c r="B76" s="2666" t="s">
        <v>2751</v>
      </c>
      <c r="C76" s="2550"/>
      <c r="D76" s="1376">
        <f t="shared" si="20"/>
        <v>0</v>
      </c>
      <c r="E76" s="840"/>
      <c r="F76" s="2673"/>
      <c r="G76" s="1377"/>
      <c r="H76" s="1381" t="str">
        <f t="shared" si="21"/>
        <v>——</v>
      </c>
      <c r="I76" s="828">
        <v>0.05</v>
      </c>
      <c r="J76" s="1378">
        <f t="shared" si="22"/>
        <v>0</v>
      </c>
      <c r="K76" s="1378">
        <f t="shared" si="23"/>
        <v>0</v>
      </c>
      <c r="L76" s="1378">
        <v>0</v>
      </c>
      <c r="M76" s="1378">
        <f t="shared" si="24"/>
        <v>0</v>
      </c>
      <c r="N76" s="1378">
        <f t="shared" si="24"/>
        <v>0</v>
      </c>
      <c r="Z76" s="2497"/>
      <c r="AA76" s="2574"/>
      <c r="AG76" s="2650"/>
      <c r="AK76" s="2574"/>
    </row>
    <row r="77" spans="1:37" ht="38.25">
      <c r="A77" s="2660" t="s">
        <v>2754</v>
      </c>
      <c r="B77" s="2663" t="str">
        <f>估价对象房地状况!C20</f>
        <v>区域自然环境：元大都遗址公园；人文环境；综合评价环境状况一般</v>
      </c>
      <c r="C77" s="2550"/>
      <c r="D77" s="1376">
        <f t="shared" si="20"/>
        <v>0</v>
      </c>
      <c r="E77" s="840"/>
      <c r="F77" s="2673"/>
      <c r="G77" s="1377"/>
      <c r="H77" s="1381" t="str">
        <f t="shared" si="21"/>
        <v>——</v>
      </c>
      <c r="I77" s="828">
        <v>0.15</v>
      </c>
      <c r="J77" s="1378">
        <f t="shared" si="22"/>
        <v>0</v>
      </c>
      <c r="K77" s="1378">
        <f t="shared" si="23"/>
        <v>0</v>
      </c>
      <c r="L77" s="1378">
        <v>0</v>
      </c>
      <c r="M77" s="1378">
        <f t="shared" si="24"/>
        <v>0</v>
      </c>
      <c r="N77" s="1378">
        <f t="shared" si="24"/>
        <v>0</v>
      </c>
      <c r="Z77" s="2497"/>
      <c r="AA77" s="2574"/>
      <c r="AG77" s="2650"/>
      <c r="AK77" s="2574"/>
    </row>
    <row r="78" spans="1:37" ht="24.75" thickBot="1">
      <c r="A78" s="2669" t="s">
        <v>2763</v>
      </c>
      <c r="B78" s="2674"/>
      <c r="C78" s="2550"/>
      <c r="D78" s="1376">
        <f t="shared" si="20"/>
        <v>0</v>
      </c>
      <c r="E78" s="841"/>
      <c r="F78" s="2673"/>
      <c r="G78" s="1377"/>
      <c r="H78" s="1381" t="str">
        <f t="shared" si="21"/>
        <v>——</v>
      </c>
      <c r="I78" s="837">
        <v>0.04</v>
      </c>
      <c r="J78" s="1378">
        <f t="shared" si="22"/>
        <v>0</v>
      </c>
      <c r="K78" s="1378">
        <f t="shared" si="23"/>
        <v>0</v>
      </c>
      <c r="L78" s="1378">
        <v>0</v>
      </c>
      <c r="M78" s="1378">
        <f t="shared" si="24"/>
        <v>0</v>
      </c>
      <c r="N78" s="1378">
        <f t="shared" si="24"/>
        <v>0</v>
      </c>
      <c r="Z78" s="2497"/>
      <c r="AA78" s="2574"/>
      <c r="AG78" s="2650"/>
      <c r="AK78" s="2574"/>
    </row>
    <row r="79" spans="1:37" ht="15">
      <c r="A79" s="2655" t="s">
        <v>2764</v>
      </c>
      <c r="B79" s="2671">
        <f>1+E81</f>
        <v>1</v>
      </c>
      <c r="C79" s="817"/>
      <c r="D79" s="817"/>
      <c r="E79" s="818"/>
      <c r="F79" s="2658"/>
      <c r="G79" s="7"/>
      <c r="H79" s="7"/>
      <c r="I79" s="7"/>
      <c r="J79" s="9"/>
      <c r="K79" s="9"/>
      <c r="L79" s="9"/>
      <c r="M79" s="9"/>
      <c r="N79" s="9"/>
      <c r="Z79" s="2497"/>
      <c r="AA79" s="2574"/>
      <c r="AG79" s="2650"/>
      <c r="AK79" s="2574"/>
    </row>
    <row r="80" spans="1:37" ht="24.75">
      <c r="A80" s="2660" t="s">
        <v>2730</v>
      </c>
      <c r="B80" s="2664"/>
      <c r="C80" s="823" t="s">
        <v>2732</v>
      </c>
      <c r="D80" s="823" t="s">
        <v>2733</v>
      </c>
      <c r="E80" s="824" t="s">
        <v>2734</v>
      </c>
      <c r="F80" s="2661" t="s">
        <v>2735</v>
      </c>
      <c r="G80" s="823" t="s">
        <v>2756</v>
      </c>
      <c r="H80" s="2662" t="s">
        <v>2757</v>
      </c>
      <c r="I80" s="823" t="s">
        <v>2758</v>
      </c>
      <c r="J80" s="587" t="s">
        <v>2392</v>
      </c>
      <c r="K80" s="587" t="s">
        <v>2393</v>
      </c>
      <c r="L80" s="587" t="s">
        <v>2394</v>
      </c>
      <c r="M80" s="587" t="s">
        <v>2395</v>
      </c>
      <c r="N80" s="587" t="s">
        <v>2396</v>
      </c>
      <c r="Z80" s="2497"/>
      <c r="AA80" s="2574"/>
      <c r="AG80" s="2650"/>
      <c r="AK80" s="2574"/>
    </row>
    <row r="81" spans="1:37" ht="38.25">
      <c r="A81" s="2660" t="s">
        <v>2765</v>
      </c>
      <c r="B81" s="2664" t="str">
        <f>估价对象房地状况!G15</f>
        <v>估价对象位于XX开发区，园区建设成熟度XX，产业集聚程度XX</v>
      </c>
      <c r="C81" s="2550"/>
      <c r="D81" s="1376">
        <f t="shared" ref="D81:D88" si="25">SUMIF($J$80:$N$80,C81,J81:N81)</f>
        <v>0</v>
      </c>
      <c r="E81" s="829">
        <f>ROUND(SUM(D81:D88),4)</f>
        <v>0</v>
      </c>
      <c r="F81" s="226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497"/>
      <c r="AA81" s="2574"/>
      <c r="AG81" s="2650"/>
      <c r="AK81" s="2574"/>
    </row>
    <row r="82" spans="1:37" ht="51">
      <c r="A82" s="2660" t="s">
        <v>2745</v>
      </c>
      <c r="B82" s="2664" t="str">
        <f>估价对象房地状况!G16</f>
        <v>估价对象周边道路状况、公共交通通达情况、停车便捷程度，综合评价交通便捷度较好</v>
      </c>
      <c r="C82" s="2550"/>
      <c r="D82" s="1376">
        <f t="shared" si="25"/>
        <v>0</v>
      </c>
      <c r="E82" s="840"/>
      <c r="F82" s="2673"/>
      <c r="G82" s="1377"/>
      <c r="H82" s="1381" t="str">
        <f t="shared" si="26"/>
        <v>——</v>
      </c>
      <c r="I82" s="828">
        <v>0.33</v>
      </c>
      <c r="J82" s="1378">
        <f t="shared" si="27"/>
        <v>0</v>
      </c>
      <c r="K82" s="1378">
        <f t="shared" si="28"/>
        <v>0</v>
      </c>
      <c r="L82" s="1378">
        <v>0</v>
      </c>
      <c r="M82" s="1378">
        <f t="shared" si="29"/>
        <v>0</v>
      </c>
      <c r="N82" s="1378">
        <f t="shared" si="29"/>
        <v>0</v>
      </c>
      <c r="Z82" s="2497"/>
      <c r="AA82" s="2574"/>
      <c r="AG82" s="2650"/>
      <c r="AK82" s="2574"/>
    </row>
    <row r="83" spans="1:37" ht="24">
      <c r="A83" s="2660" t="s">
        <v>2746</v>
      </c>
      <c r="B83" s="2664">
        <f>估价对象房地状况!G17</f>
        <v>0</v>
      </c>
      <c r="C83" s="2550"/>
      <c r="D83" s="1376">
        <f t="shared" si="25"/>
        <v>0</v>
      </c>
      <c r="E83" s="840"/>
      <c r="F83" s="2673"/>
      <c r="G83" s="1377"/>
      <c r="H83" s="1381" t="str">
        <f t="shared" si="26"/>
        <v>——</v>
      </c>
      <c r="I83" s="828">
        <v>0.05</v>
      </c>
      <c r="J83" s="1378">
        <f t="shared" si="27"/>
        <v>0</v>
      </c>
      <c r="K83" s="1378">
        <f t="shared" si="28"/>
        <v>0</v>
      </c>
      <c r="L83" s="1378">
        <v>0</v>
      </c>
      <c r="M83" s="1378">
        <f t="shared" si="29"/>
        <v>0</v>
      </c>
      <c r="N83" s="1378">
        <f t="shared" si="29"/>
        <v>0</v>
      </c>
      <c r="Z83" s="2497"/>
      <c r="AA83" s="2574"/>
      <c r="AG83" s="2650"/>
      <c r="AK83" s="2574"/>
    </row>
    <row r="84" spans="1:37" ht="14.25">
      <c r="A84" s="2660" t="s">
        <v>2762</v>
      </c>
      <c r="B84" s="2664">
        <f>估价对象房地状况!G22</f>
        <v>0</v>
      </c>
      <c r="C84" s="2550"/>
      <c r="D84" s="1376">
        <f t="shared" si="25"/>
        <v>0</v>
      </c>
      <c r="E84" s="840"/>
      <c r="F84" s="2673"/>
      <c r="G84" s="1377"/>
      <c r="H84" s="1381" t="str">
        <f t="shared" si="26"/>
        <v>——</v>
      </c>
      <c r="I84" s="828">
        <v>0.04</v>
      </c>
      <c r="J84" s="1378">
        <f t="shared" si="27"/>
        <v>0</v>
      </c>
      <c r="K84" s="1378">
        <f t="shared" si="28"/>
        <v>0</v>
      </c>
      <c r="L84" s="1378">
        <v>0</v>
      </c>
      <c r="M84" s="1378">
        <f t="shared" si="29"/>
        <v>0</v>
      </c>
      <c r="N84" s="1378">
        <f t="shared" si="29"/>
        <v>0</v>
      </c>
      <c r="Z84" s="2497"/>
      <c r="AA84" s="2574"/>
      <c r="AG84" s="2650"/>
      <c r="AK84" s="2574"/>
    </row>
    <row r="85" spans="1:37" ht="25.5">
      <c r="A85" s="2660" t="s">
        <v>2752</v>
      </c>
      <c r="B85" s="2668" t="str">
        <f>估价对象房地状况!G19</f>
        <v>估价对象所在区域公共配套设施齐备情况</v>
      </c>
      <c r="C85" s="2550"/>
      <c r="D85" s="1376">
        <f t="shared" si="25"/>
        <v>0</v>
      </c>
      <c r="E85" s="840"/>
      <c r="F85" s="2673"/>
      <c r="G85" s="1377"/>
      <c r="H85" s="1381" t="str">
        <f t="shared" si="26"/>
        <v>——</v>
      </c>
      <c r="I85" s="828">
        <v>0.06</v>
      </c>
      <c r="J85" s="1378">
        <f t="shared" si="27"/>
        <v>0</v>
      </c>
      <c r="K85" s="1378">
        <f t="shared" si="28"/>
        <v>0</v>
      </c>
      <c r="L85" s="1378">
        <v>0</v>
      </c>
      <c r="M85" s="1378">
        <f t="shared" si="29"/>
        <v>0</v>
      </c>
      <c r="N85" s="1378">
        <f t="shared" si="29"/>
        <v>0</v>
      </c>
      <c r="Z85" s="2497"/>
      <c r="AA85" s="2574"/>
      <c r="AG85" s="2650"/>
      <c r="AK85" s="2574"/>
    </row>
    <row r="86" spans="1:37" ht="25.5">
      <c r="A86" s="2660" t="s">
        <v>2753</v>
      </c>
      <c r="B86" s="2668" t="str">
        <f>估价对象房地状况!G20</f>
        <v>估价对象所在区域基础设施水平</v>
      </c>
      <c r="C86" s="2550"/>
      <c r="D86" s="1376">
        <f t="shared" si="25"/>
        <v>0</v>
      </c>
      <c r="E86" s="840"/>
      <c r="F86" s="2673"/>
      <c r="G86" s="1377"/>
      <c r="H86" s="1381" t="str">
        <f t="shared" si="26"/>
        <v>——</v>
      </c>
      <c r="I86" s="828">
        <v>0.15</v>
      </c>
      <c r="J86" s="1378">
        <f t="shared" si="27"/>
        <v>0</v>
      </c>
      <c r="K86" s="1378">
        <f t="shared" si="28"/>
        <v>0</v>
      </c>
      <c r="L86" s="1378">
        <v>0</v>
      </c>
      <c r="M86" s="1378">
        <f t="shared" si="29"/>
        <v>0</v>
      </c>
      <c r="N86" s="1378">
        <f t="shared" si="29"/>
        <v>0</v>
      </c>
      <c r="Z86" s="2497"/>
      <c r="AA86" s="2574"/>
      <c r="AG86" s="2650"/>
      <c r="AK86" s="2574"/>
    </row>
    <row r="87" spans="1:37" ht="24">
      <c r="A87" s="2660" t="s">
        <v>2750</v>
      </c>
      <c r="B87" s="2666" t="s">
        <v>2751</v>
      </c>
      <c r="C87" s="2550"/>
      <c r="D87" s="1376">
        <f t="shared" si="25"/>
        <v>0</v>
      </c>
      <c r="E87" s="840"/>
      <c r="F87" s="2673"/>
      <c r="G87" s="1377"/>
      <c r="H87" s="1381" t="str">
        <f t="shared" si="26"/>
        <v>——</v>
      </c>
      <c r="I87" s="828">
        <v>0.05</v>
      </c>
      <c r="J87" s="1378">
        <f t="shared" si="27"/>
        <v>0</v>
      </c>
      <c r="K87" s="1378">
        <f t="shared" si="28"/>
        <v>0</v>
      </c>
      <c r="L87" s="1378">
        <v>0</v>
      </c>
      <c r="M87" s="1378">
        <f t="shared" si="29"/>
        <v>0</v>
      </c>
      <c r="N87" s="1378">
        <f t="shared" si="29"/>
        <v>0</v>
      </c>
      <c r="Z87" s="2497"/>
      <c r="AA87" s="2574"/>
      <c r="AG87" s="2650"/>
      <c r="AK87" s="2574"/>
    </row>
    <row r="88" spans="1:37" ht="39" thickBot="1">
      <c r="A88" s="2669" t="s">
        <v>2766</v>
      </c>
      <c r="B88" s="2675" t="str">
        <f>估价对象房地状况!G18</f>
        <v>该园区内是否有污染型企业，绿化情况，卫生条件，整体环境状况判断</v>
      </c>
      <c r="C88" s="2676"/>
      <c r="D88" s="1382">
        <f t="shared" si="25"/>
        <v>0</v>
      </c>
      <c r="E88" s="841"/>
      <c r="F88" s="2673"/>
      <c r="G88" s="1377"/>
      <c r="H88" s="1381" t="str">
        <f t="shared" si="26"/>
        <v>——</v>
      </c>
      <c r="I88" s="837">
        <v>0.06</v>
      </c>
      <c r="J88" s="1378">
        <f t="shared" si="27"/>
        <v>0</v>
      </c>
      <c r="K88" s="1378">
        <f t="shared" si="28"/>
        <v>0</v>
      </c>
      <c r="L88" s="1378">
        <v>0</v>
      </c>
      <c r="M88" s="1378">
        <f t="shared" si="29"/>
        <v>0</v>
      </c>
      <c r="N88" s="1378">
        <f t="shared" si="29"/>
        <v>0</v>
      </c>
      <c r="Z88" s="2497"/>
      <c r="AA88" s="2574"/>
      <c r="AG88" s="2650"/>
      <c r="AK88" s="2574"/>
    </row>
    <row r="90" spans="1:37">
      <c r="A90" s="3147" t="s">
        <v>2767</v>
      </c>
      <c r="B90" s="3147"/>
      <c r="C90" s="3147"/>
      <c r="D90" s="3147"/>
      <c r="E90" s="3147"/>
      <c r="F90" s="3147"/>
      <c r="G90" s="3147"/>
      <c r="H90" s="3147"/>
      <c r="I90" s="3147"/>
      <c r="J90" s="3147"/>
      <c r="K90" s="2677"/>
      <c r="L90" s="2677"/>
      <c r="M90" s="2677"/>
      <c r="N90" s="2677"/>
    </row>
    <row r="91" spans="1:37">
      <c r="A91" s="3149" t="s">
        <v>2768</v>
      </c>
      <c r="B91" s="3149" t="s">
        <v>2769</v>
      </c>
      <c r="C91" s="2625" t="s">
        <v>2770</v>
      </c>
      <c r="D91" s="2626"/>
      <c r="E91" s="2626"/>
      <c r="F91" s="2626"/>
      <c r="G91" s="2626"/>
      <c r="H91" s="2626"/>
      <c r="I91" s="2626"/>
      <c r="J91" s="2678"/>
      <c r="K91" s="2679"/>
      <c r="L91" s="2679"/>
      <c r="M91" s="2679"/>
      <c r="N91" s="2679"/>
    </row>
    <row r="92" spans="1:37">
      <c r="A92" s="3149"/>
      <c r="B92" s="3149"/>
      <c r="C92" s="972" t="s">
        <v>2622</v>
      </c>
      <c r="D92" s="972" t="s">
        <v>2623</v>
      </c>
      <c r="E92" s="972" t="s">
        <v>2624</v>
      </c>
      <c r="F92" s="972" t="s">
        <v>2625</v>
      </c>
      <c r="G92" s="972" t="s">
        <v>2626</v>
      </c>
      <c r="H92" s="972" t="s">
        <v>2627</v>
      </c>
      <c r="I92" s="972" t="s">
        <v>2628</v>
      </c>
      <c r="J92" s="972" t="s">
        <v>2629</v>
      </c>
      <c r="K92" s="972" t="s">
        <v>2630</v>
      </c>
      <c r="L92" s="972" t="s">
        <v>2631</v>
      </c>
      <c r="M92" s="972" t="s">
        <v>2632</v>
      </c>
      <c r="N92" s="972" t="s">
        <v>2633</v>
      </c>
    </row>
    <row r="93" spans="1:37">
      <c r="A93" s="3150" t="s">
        <v>2771</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51"/>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51"/>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51"/>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51"/>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51"/>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51"/>
      <c r="B99" s="2680" t="s">
        <v>2638</v>
      </c>
      <c r="C99" s="2682">
        <f>$I$3</f>
        <v>1</v>
      </c>
      <c r="D99" s="2682">
        <f t="shared" ref="D99:M99" si="30">$I$3</f>
        <v>1</v>
      </c>
      <c r="E99" s="2682">
        <f t="shared" si="30"/>
        <v>1</v>
      </c>
      <c r="F99" s="2682">
        <f t="shared" si="30"/>
        <v>1</v>
      </c>
      <c r="G99" s="2682">
        <f t="shared" si="30"/>
        <v>1</v>
      </c>
      <c r="H99" s="2682">
        <f t="shared" si="30"/>
        <v>1</v>
      </c>
      <c r="I99" s="2682">
        <f t="shared" si="30"/>
        <v>1</v>
      </c>
      <c r="J99" s="2682">
        <f t="shared" si="30"/>
        <v>1</v>
      </c>
      <c r="K99" s="2682">
        <f t="shared" si="30"/>
        <v>1</v>
      </c>
      <c r="L99" s="2682">
        <f t="shared" si="30"/>
        <v>1</v>
      </c>
      <c r="M99" s="2682">
        <f t="shared" si="30"/>
        <v>1</v>
      </c>
      <c r="N99" s="2682">
        <f>$I$3</f>
        <v>1</v>
      </c>
    </row>
    <row r="100" spans="1:14">
      <c r="A100" s="3152"/>
      <c r="B100" s="2680">
        <v>7</v>
      </c>
      <c r="C100" s="2683">
        <f>(-0.163*(C99^2)-0.59*C99+7617)*(10^(-4))</f>
        <v>0.76162470000000004</v>
      </c>
      <c r="D100" s="2683">
        <f>(-0.163*(D99^2)-0.59*D99+7617)*(10^(-4))</f>
        <v>0.76162470000000004</v>
      </c>
      <c r="E100" s="2683">
        <f>(-0.161*(E99^2)-7.509*E99+6533)*(10^(-4))</f>
        <v>0.65253300000000003</v>
      </c>
      <c r="F100" s="2683">
        <f>(-0.161*(F99^2)-7.509*F99+6533)*(10^(-4))</f>
        <v>0.65253300000000003</v>
      </c>
      <c r="G100" s="2683">
        <f>(-0.161*(G99^2)-7.509*G99+6533)*(10^(-4))</f>
        <v>0.65253300000000003</v>
      </c>
      <c r="H100" s="2683">
        <f>(-0.161*(H99^2)-7.509*H99+6533)*(10^(-4))</f>
        <v>0.65253300000000003</v>
      </c>
      <c r="I100" s="2683">
        <f>(-0.161*(I99^2)-7.509*I99+6533)*(10^(-4))</f>
        <v>0.65253300000000003</v>
      </c>
      <c r="J100" s="2683">
        <f>(-0.214*(J99^2)-21.991*J99+4665)*(10^(-4))</f>
        <v>0.46427950000000001</v>
      </c>
      <c r="K100" s="2683">
        <f>(-0.214*(K99^2)-21.991*K99+4665)*(10^(-4))</f>
        <v>0.46427950000000001</v>
      </c>
      <c r="L100" s="2683">
        <f>(-0.214*(L99^2)-21.991*L99+4665)*(10^(-4))</f>
        <v>0.46427950000000001</v>
      </c>
      <c r="M100" s="2683">
        <f>(-0.214*(M99^2)-21.991*M99+4665)*(10^(-4))</f>
        <v>0.46427950000000001</v>
      </c>
      <c r="N100" s="2683">
        <f>(-0.214*(N99^2)-21.991*N99+4665)*(10^(-4))</f>
        <v>0.46427950000000001</v>
      </c>
    </row>
    <row r="101" spans="1:14">
      <c r="A101" s="3150" t="s">
        <v>2772</v>
      </c>
      <c r="B101" s="2684" t="s">
        <v>2773</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51"/>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51"/>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51"/>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51"/>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51"/>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51"/>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51"/>
      <c r="B108" s="3153" t="s">
        <v>2774</v>
      </c>
      <c r="C108" s="2682">
        <f>C99</f>
        <v>1</v>
      </c>
      <c r="D108" s="2682">
        <f t="shared" ref="D108:N108" si="32">D99</f>
        <v>1</v>
      </c>
      <c r="E108" s="2682">
        <f t="shared" si="32"/>
        <v>1</v>
      </c>
      <c r="F108" s="2682">
        <f t="shared" si="32"/>
        <v>1</v>
      </c>
      <c r="G108" s="2682">
        <f t="shared" si="32"/>
        <v>1</v>
      </c>
      <c r="H108" s="2682">
        <f t="shared" si="32"/>
        <v>1</v>
      </c>
      <c r="I108" s="2682">
        <f t="shared" si="32"/>
        <v>1</v>
      </c>
      <c r="J108" s="2682">
        <f t="shared" si="32"/>
        <v>1</v>
      </c>
      <c r="K108" s="2682">
        <f t="shared" si="32"/>
        <v>1</v>
      </c>
      <c r="L108" s="2682">
        <f t="shared" si="32"/>
        <v>1</v>
      </c>
      <c r="M108" s="2682">
        <f t="shared" si="32"/>
        <v>1</v>
      </c>
      <c r="N108" s="2682">
        <f t="shared" si="32"/>
        <v>1</v>
      </c>
    </row>
    <row r="109" spans="1:14">
      <c r="A109" s="3152"/>
      <c r="B109" s="3154"/>
      <c r="C109" s="2683">
        <f>(-0.163*(C108^2)-0.59*C108+7617)*(10^(-4))/C101</f>
        <v>0.30464988000000004</v>
      </c>
      <c r="D109" s="2683">
        <f>(-0.163*(D108^2)-0.59*D108+7617)*(10^(-4))/D101</f>
        <v>0.30464988000000004</v>
      </c>
      <c r="E109" s="2683">
        <f>(-0.161*(E108^2)-7.509*E108+6533)*(10^(-4))/E101</f>
        <v>0.2610132</v>
      </c>
      <c r="F109" s="2683">
        <f>(-0.161*(F108^2)-7.509*F108+6533)*(10^(-4))/F101</f>
        <v>0.2610132</v>
      </c>
      <c r="G109" s="2683">
        <f>(-0.161*(G108^2)-7.509*G108+6533)*(10^(-4))/G101</f>
        <v>0.2610132</v>
      </c>
      <c r="H109" s="2683">
        <f>(-0.161*(H108^2)-7.509*H108+6533)*(10^(-4))/H101</f>
        <v>0.2610132</v>
      </c>
      <c r="I109" s="2683">
        <f>(-0.161*(I108^2)-7.509*I108+6533)*(10^(-4))/I101</f>
        <v>0.2610132</v>
      </c>
      <c r="J109" s="2683">
        <f>(-0.214*(J108^2)-21.991*J108+4665)*(10^(-4))/J101</f>
        <v>0.18571180000000001</v>
      </c>
      <c r="K109" s="2683">
        <f>(-0.214*(K108^2)-21.991*K108+4665)*(10^(-4))/K101</f>
        <v>0.18571180000000001</v>
      </c>
      <c r="L109" s="2683">
        <f>(-0.214*(L108^2)-21.991*L108+4665)*(10^(-4))/L101</f>
        <v>0.18571180000000001</v>
      </c>
      <c r="M109" s="2683">
        <f>(-0.214*(M108^2)-21.991*M108+4665)*(10^(-4))/M101</f>
        <v>0.18571180000000001</v>
      </c>
      <c r="N109" s="2683">
        <f>(-0.214*(N108^2)-21.991*N108+4665)*(10^(-4))/N101</f>
        <v>0.18571180000000001</v>
      </c>
    </row>
    <row r="110" spans="1:14">
      <c r="A110" s="3148" t="s">
        <v>2775</v>
      </c>
      <c r="B110" s="3148"/>
      <c r="C110" s="3148"/>
      <c r="D110" s="3148"/>
      <c r="E110" s="3148"/>
      <c r="F110" s="3148"/>
      <c r="G110" s="3148"/>
      <c r="H110" s="3148"/>
      <c r="I110" s="3148"/>
      <c r="J110" s="3148"/>
      <c r="K110" s="2686"/>
      <c r="L110" s="2686"/>
      <c r="M110" s="2686"/>
      <c r="N110" s="2686"/>
    </row>
    <row r="112" spans="1:14" ht="13.5" thickBot="1"/>
    <row r="113" spans="1:13" ht="25.5" thickBot="1">
      <c r="A113" s="928" t="s">
        <v>2776</v>
      </c>
      <c r="B113" s="1379">
        <f>G3</f>
        <v>2.5</v>
      </c>
      <c r="C113" s="929" t="s">
        <v>2777</v>
      </c>
      <c r="D113" s="930">
        <f>SUMPRODUCT((A115:A118=F113)*(B114:M114=H113)*B115:M118)</f>
        <v>0.80589999999999995</v>
      </c>
      <c r="E113" s="2688" t="s">
        <v>2662</v>
      </c>
      <c r="F113" s="2689" t="str">
        <f>E2</f>
        <v>商业</v>
      </c>
      <c r="G113" s="2688" t="s">
        <v>2596</v>
      </c>
      <c r="H113" s="2689" t="str">
        <f>G2</f>
        <v>四级</v>
      </c>
      <c r="I113" s="2688"/>
      <c r="J113" s="2690"/>
      <c r="K113" s="2690"/>
      <c r="L113" s="2690"/>
      <c r="M113" s="2690"/>
    </row>
    <row r="114" spans="1:13">
      <c r="A114" s="933"/>
      <c r="B114" s="2691" t="s">
        <v>2778</v>
      </c>
      <c r="C114" s="2691" t="s">
        <v>2779</v>
      </c>
      <c r="D114" s="2691" t="s">
        <v>2780</v>
      </c>
      <c r="E114" s="2692" t="s">
        <v>2781</v>
      </c>
      <c r="F114" s="2692" t="s">
        <v>2782</v>
      </c>
      <c r="G114" s="2692" t="s">
        <v>2783</v>
      </c>
      <c r="H114" s="2693" t="s">
        <v>2784</v>
      </c>
      <c r="I114" s="2693" t="s">
        <v>2785</v>
      </c>
      <c r="J114" s="2694" t="s">
        <v>2786</v>
      </c>
      <c r="K114" s="2694" t="s">
        <v>2787</v>
      </c>
      <c r="L114" s="2694" t="s">
        <v>2788</v>
      </c>
      <c r="M114" s="2695" t="s">
        <v>2789</v>
      </c>
    </row>
    <row r="115" spans="1:13">
      <c r="A115" s="934" t="s">
        <v>2663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2664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2665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2666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58" t="s">
        <v>788</v>
      </c>
      <c r="B1" s="315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隶属于蓟门桥商圈，周边2公里内有翠微百货（牡丹园店）、花园路百货商场、物美超市等，商业繁华度较好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7.4999999999999997E-2</v>
      </c>
      <c r="H4" s="969">
        <v>0.02</v>
      </c>
      <c r="I4" s="806">
        <f>J4+$H4</f>
        <v>0.04</v>
      </c>
      <c r="J4" s="806">
        <f>$K4+$H4</f>
        <v>0.02</v>
      </c>
      <c r="K4" s="805">
        <v>0</v>
      </c>
      <c r="L4" s="806">
        <f t="shared" ref="L4:M12" si="0">K4-$H4</f>
        <v>-0.02</v>
      </c>
      <c r="M4" s="806">
        <f t="shared" si="0"/>
        <v>-0.04</v>
      </c>
    </row>
    <row r="5" spans="1:20" ht="36">
      <c r="A5" s="820" t="s">
        <v>714</v>
      </c>
      <c r="B5" s="831" t="str">
        <f>估价对象房地状况!C6</f>
        <v>周边2公里内最高级别道路高速公路—G6，周边遍布十余条公交站点及地铁10号线（牡丹园站）等，综合评价交通便捷度较好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城市次干道——花园东路、项目内道路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24">
      <c r="A10" s="833" t="s">
        <v>719</v>
      </c>
      <c r="B10" s="1207" t="str">
        <f>估价对象房地状况!C7</f>
        <v>2公里内有餐饮、医院、超市、购物中心、学校等，估价对象所在区域公共配套设施较齐备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区域自然环境：元大都遗址公园；人文环境；综合评价环境状况一般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隶属于蓟门桥商圈，周边2公里内写字楼大于10座，办公集聚程度较好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周边2公里内最高级别道路高速公路—G6，周边遍布十余条公交站点及地铁10号线（牡丹园站）等，综合评价交通便捷度较好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城市次干道——花园东路、项目内道路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24">
      <c r="A21" s="820" t="s">
        <v>719</v>
      </c>
      <c r="B21" s="1207" t="str">
        <f>估价对象房地状况!C7</f>
        <v>2公里内有餐饮、医院、超市、购物中心、学校等，估价对象所在区域公共配套设施较齐备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区域自然环境：元大都遗址公园；人文环境；综合评价环境状况一般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周边2公里内最高级别道路高速公路—G6，周边遍布十余条公交站点及地铁10号线（牡丹园站）等，综合评价交通便捷度较好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城市次干道——花园东路、项目内道路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24">
      <c r="A30" s="820" t="s">
        <v>719</v>
      </c>
      <c r="B30" s="1207" t="str">
        <f>估价对象房地状况!C7</f>
        <v>2公里内有餐饮、医院、超市、购物中心、学校等，估价对象所在区域公共配套设施较齐备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区域自然环境：元大都遗址公园；人文环境；综合评价环境状况一般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58" t="s">
        <v>105</v>
      </c>
      <c r="B1" s="3158"/>
      <c r="C1" s="3158"/>
      <c r="D1" s="3158"/>
      <c r="E1" s="3158"/>
      <c r="F1" s="315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59" t="s">
        <v>118</v>
      </c>
      <c r="B2" s="3159"/>
      <c r="C2" s="3159"/>
      <c r="D2" s="3159"/>
      <c r="E2" s="3159"/>
      <c r="F2" s="315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6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6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19040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62" t="s">
        <v>132</v>
      </c>
      <c r="B18" s="907" t="s">
        <v>517</v>
      </c>
      <c r="C18" s="908" t="s">
        <v>518</v>
      </c>
      <c r="D18" s="909"/>
      <c r="E18" s="907">
        <v>1</v>
      </c>
      <c r="F18" s="910" t="s">
        <v>519</v>
      </c>
      <c r="G18" s="911"/>
      <c r="H18" s="903"/>
      <c r="I18" s="903"/>
    </row>
    <row r="19" spans="1:9" s="912" customFormat="1" ht="19.5" customHeight="1">
      <c r="A19" s="3162"/>
      <c r="B19" s="3162" t="s">
        <v>520</v>
      </c>
      <c r="C19" s="908" t="s">
        <v>521</v>
      </c>
      <c r="D19" s="909"/>
      <c r="E19" s="907">
        <v>0.9</v>
      </c>
      <c r="F19" s="910" t="s">
        <v>522</v>
      </c>
      <c r="G19" s="911"/>
      <c r="H19" s="903"/>
      <c r="I19" s="903"/>
    </row>
    <row r="20" spans="1:9" s="912" customFormat="1" ht="19.5" customHeight="1">
      <c r="A20" s="3162"/>
      <c r="B20" s="3162"/>
      <c r="C20" s="908" t="s">
        <v>523</v>
      </c>
      <c r="D20" s="909"/>
      <c r="E20" s="907">
        <v>1.1000000000000001</v>
      </c>
      <c r="F20" s="910" t="s">
        <v>524</v>
      </c>
      <c r="G20" s="911"/>
      <c r="H20" s="903"/>
      <c r="I20" s="903"/>
    </row>
    <row r="21" spans="1:9" s="912" customFormat="1" ht="19.5" customHeight="1">
      <c r="A21" s="3162"/>
      <c r="B21" s="3162"/>
      <c r="C21" s="908" t="s">
        <v>525</v>
      </c>
      <c r="D21" s="909"/>
      <c r="E21" s="907">
        <v>0.8</v>
      </c>
      <c r="F21" s="910" t="s">
        <v>526</v>
      </c>
      <c r="G21" s="911"/>
      <c r="H21" s="903"/>
      <c r="I21" s="903"/>
    </row>
    <row r="22" spans="1:9" s="912" customFormat="1" ht="19.5" customHeight="1">
      <c r="A22" s="3162"/>
      <c r="B22" s="3162"/>
      <c r="C22" s="908" t="s">
        <v>527</v>
      </c>
      <c r="D22" s="909"/>
      <c r="E22" s="907">
        <v>0.5</v>
      </c>
      <c r="F22" s="910"/>
      <c r="G22" s="911"/>
      <c r="H22" s="903"/>
      <c r="I22" s="903"/>
    </row>
    <row r="23" spans="1:9" s="912" customFormat="1" ht="19.5" customHeight="1">
      <c r="A23" s="3162" t="s">
        <v>133</v>
      </c>
      <c r="B23" s="907" t="s">
        <v>517</v>
      </c>
      <c r="C23" s="908" t="s">
        <v>528</v>
      </c>
      <c r="D23" s="909"/>
      <c r="E23" s="907">
        <v>1</v>
      </c>
      <c r="F23" s="910" t="s">
        <v>529</v>
      </c>
      <c r="G23" s="911"/>
      <c r="H23" s="903"/>
      <c r="I23" s="903"/>
    </row>
    <row r="24" spans="1:9" s="912" customFormat="1" ht="19.5" customHeight="1">
      <c r="A24" s="3162"/>
      <c r="B24" s="3162" t="s">
        <v>520</v>
      </c>
      <c r="C24" s="908" t="s">
        <v>530</v>
      </c>
      <c r="D24" s="909"/>
      <c r="E24" s="907">
        <v>0.5</v>
      </c>
      <c r="F24" s="910"/>
      <c r="G24" s="911"/>
      <c r="H24" s="903"/>
      <c r="I24" s="903"/>
    </row>
    <row r="25" spans="1:9" s="912" customFormat="1" ht="19.5" customHeight="1">
      <c r="A25" s="3162"/>
      <c r="B25" s="3162"/>
      <c r="C25" s="908" t="s">
        <v>531</v>
      </c>
      <c r="D25" s="909"/>
      <c r="E25" s="907">
        <v>1.1000000000000001</v>
      </c>
      <c r="F25" s="910"/>
      <c r="G25" s="911"/>
      <c r="H25" s="903"/>
      <c r="I25" s="903"/>
    </row>
    <row r="26" spans="1:9" s="912" customFormat="1" ht="19.5" customHeight="1">
      <c r="A26" s="3162"/>
      <c r="B26" s="3162"/>
      <c r="C26" s="908" t="s">
        <v>532</v>
      </c>
      <c r="D26" s="909"/>
      <c r="E26" s="907">
        <v>1.1000000000000001</v>
      </c>
      <c r="F26" s="910"/>
      <c r="G26" s="911"/>
      <c r="H26" s="903"/>
      <c r="I26" s="903"/>
    </row>
    <row r="27" spans="1:9" s="912" customFormat="1" ht="19.5" customHeight="1">
      <c r="A27" s="3162"/>
      <c r="B27" s="3162"/>
      <c r="C27" s="908" t="s">
        <v>533</v>
      </c>
      <c r="D27" s="909"/>
      <c r="E27" s="907">
        <v>0.9</v>
      </c>
      <c r="F27" s="910" t="s">
        <v>534</v>
      </c>
      <c r="G27" s="911"/>
      <c r="H27" s="903"/>
      <c r="I27" s="903"/>
    </row>
    <row r="28" spans="1:9" s="912" customFormat="1" ht="19.5" customHeight="1">
      <c r="A28" s="3162"/>
      <c r="B28" s="3162"/>
      <c r="C28" s="908" t="s">
        <v>535</v>
      </c>
      <c r="D28" s="909"/>
      <c r="E28" s="907">
        <v>0.9</v>
      </c>
      <c r="F28" s="910" t="s">
        <v>536</v>
      </c>
      <c r="G28" s="911"/>
      <c r="H28" s="903"/>
      <c r="I28" s="903"/>
    </row>
    <row r="29" spans="1:9" s="912" customFormat="1" ht="19.5" customHeight="1">
      <c r="A29" s="3162"/>
      <c r="B29" s="3162"/>
      <c r="C29" s="908" t="s">
        <v>537</v>
      </c>
      <c r="D29" s="909"/>
      <c r="E29" s="907">
        <v>0.9</v>
      </c>
      <c r="F29" s="910" t="s">
        <v>538</v>
      </c>
      <c r="G29" s="911"/>
      <c r="H29" s="903"/>
      <c r="I29" s="903"/>
    </row>
    <row r="30" spans="1:9" s="912" customFormat="1" ht="19.5" customHeight="1">
      <c r="A30" s="3162"/>
      <c r="B30" s="3162"/>
      <c r="C30" s="908" t="s">
        <v>539</v>
      </c>
      <c r="D30" s="909"/>
      <c r="E30" s="907">
        <v>0.9</v>
      </c>
      <c r="F30" s="910" t="s">
        <v>540</v>
      </c>
      <c r="G30" s="911"/>
      <c r="H30" s="903"/>
      <c r="I30" s="903"/>
    </row>
    <row r="31" spans="1:9" s="912" customFormat="1" ht="19.5" customHeight="1">
      <c r="A31" s="3162"/>
      <c r="B31" s="3162"/>
      <c r="C31" s="908" t="s">
        <v>541</v>
      </c>
      <c r="D31" s="909"/>
      <c r="E31" s="907">
        <v>0.8</v>
      </c>
      <c r="F31" s="910" t="s">
        <v>542</v>
      </c>
      <c r="G31" s="911"/>
      <c r="H31" s="903"/>
      <c r="I31" s="903"/>
    </row>
    <row r="32" spans="1:9" s="912" customFormat="1" ht="19.5" customHeight="1">
      <c r="A32" s="3162"/>
      <c r="B32" s="3162"/>
      <c r="C32" s="908" t="s">
        <v>543</v>
      </c>
      <c r="D32" s="909"/>
      <c r="E32" s="907">
        <v>0.8</v>
      </c>
      <c r="F32" s="910" t="s">
        <v>544</v>
      </c>
      <c r="G32" s="911"/>
      <c r="H32" s="903"/>
      <c r="I32" s="903"/>
    </row>
    <row r="33" spans="1:9" s="912" customFormat="1" ht="19.5" customHeight="1">
      <c r="A33" s="3162" t="s">
        <v>134</v>
      </c>
      <c r="B33" s="907" t="s">
        <v>517</v>
      </c>
      <c r="C33" s="908" t="s">
        <v>545</v>
      </c>
      <c r="D33" s="909"/>
      <c r="E33" s="907">
        <v>1</v>
      </c>
      <c r="F33" s="910" t="s">
        <v>546</v>
      </c>
      <c r="G33" s="911"/>
      <c r="H33" s="903"/>
      <c r="I33" s="903"/>
    </row>
    <row r="34" spans="1:9" s="912" customFormat="1" ht="19.5" customHeight="1">
      <c r="A34" s="3162"/>
      <c r="B34" s="907" t="s">
        <v>520</v>
      </c>
      <c r="C34" s="908" t="s">
        <v>547</v>
      </c>
      <c r="D34" s="909"/>
      <c r="E34" s="907">
        <v>1.5</v>
      </c>
      <c r="F34" s="910" t="s">
        <v>548</v>
      </c>
      <c r="G34" s="911"/>
      <c r="H34" s="903"/>
      <c r="I34" s="903"/>
    </row>
    <row r="35" spans="1:9" s="912" customFormat="1" ht="19.5" customHeight="1">
      <c r="A35" s="3162" t="s">
        <v>135</v>
      </c>
      <c r="B35" s="907" t="s">
        <v>517</v>
      </c>
      <c r="C35" s="908" t="s">
        <v>549</v>
      </c>
      <c r="D35" s="909"/>
      <c r="E35" s="907">
        <v>1</v>
      </c>
      <c r="F35" s="910" t="s">
        <v>550</v>
      </c>
      <c r="G35" s="911"/>
      <c r="H35" s="903"/>
      <c r="I35" s="903"/>
    </row>
    <row r="36" spans="1:9" s="912" customFormat="1" ht="19.5" customHeight="1">
      <c r="A36" s="3162"/>
      <c r="B36" s="3162" t="s">
        <v>520</v>
      </c>
      <c r="C36" s="908" t="s">
        <v>551</v>
      </c>
      <c r="D36" s="909"/>
      <c r="E36" s="907">
        <v>1</v>
      </c>
      <c r="F36" s="910" t="s">
        <v>552</v>
      </c>
      <c r="G36" s="911"/>
      <c r="H36" s="903"/>
      <c r="I36" s="903"/>
    </row>
    <row r="37" spans="1:9" s="912" customFormat="1" ht="19.5" customHeight="1">
      <c r="A37" s="3162"/>
      <c r="B37" s="3162"/>
      <c r="C37" s="908" t="s">
        <v>553</v>
      </c>
      <c r="D37" s="909"/>
      <c r="E37" s="907">
        <v>1.5</v>
      </c>
      <c r="F37" s="910" t="s">
        <v>554</v>
      </c>
      <c r="G37" s="911"/>
      <c r="H37" s="903"/>
      <c r="I37" s="903"/>
    </row>
    <row r="38" spans="1:9" s="912" customFormat="1" ht="19.5" customHeight="1">
      <c r="A38" s="3162"/>
      <c r="B38" s="3162"/>
      <c r="C38" s="908" t="s">
        <v>555</v>
      </c>
      <c r="D38" s="909"/>
      <c r="E38" s="907">
        <v>1</v>
      </c>
      <c r="F38" s="910" t="s">
        <v>556</v>
      </c>
      <c r="G38" s="911"/>
      <c r="H38" s="903"/>
      <c r="I38" s="903"/>
    </row>
    <row r="39" spans="1:9" s="912" customFormat="1" ht="19.5" customHeight="1">
      <c r="A39" s="3162"/>
      <c r="B39" s="316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62" t="s">
        <v>571</v>
      </c>
      <c r="C61" s="821" t="s">
        <v>572</v>
      </c>
      <c r="D61" s="821" t="s">
        <v>573</v>
      </c>
      <c r="E61" s="920">
        <v>0.5</v>
      </c>
      <c r="F61" s="907">
        <v>80</v>
      </c>
    </row>
    <row r="62" spans="1:8" s="903" customFormat="1" ht="24">
      <c r="A62" s="907">
        <v>2</v>
      </c>
      <c r="B62" s="3162"/>
      <c r="C62" s="821" t="s">
        <v>574</v>
      </c>
      <c r="D62" s="821" t="s">
        <v>575</v>
      </c>
      <c r="E62" s="920">
        <v>0.5</v>
      </c>
      <c r="F62" s="907">
        <v>80</v>
      </c>
    </row>
    <row r="63" spans="1:8" s="903" customFormat="1" ht="36">
      <c r="A63" s="907">
        <v>3</v>
      </c>
      <c r="B63" s="3162"/>
      <c r="C63" s="821" t="s">
        <v>576</v>
      </c>
      <c r="D63" s="821" t="s">
        <v>577</v>
      </c>
      <c r="E63" s="920">
        <v>0.5</v>
      </c>
      <c r="F63" s="907">
        <v>80</v>
      </c>
    </row>
    <row r="64" spans="1:8" s="903" customFormat="1" ht="36">
      <c r="A64" s="907">
        <v>4</v>
      </c>
      <c r="B64" s="3162"/>
      <c r="C64" s="821" t="s">
        <v>578</v>
      </c>
      <c r="D64" s="821" t="s">
        <v>579</v>
      </c>
      <c r="E64" s="920">
        <v>0.4</v>
      </c>
      <c r="F64" s="907">
        <v>60</v>
      </c>
    </row>
    <row r="65" spans="1:6" s="903" customFormat="1" ht="36">
      <c r="A65" s="907">
        <v>5</v>
      </c>
      <c r="B65" s="3162"/>
      <c r="C65" s="821" t="s">
        <v>580</v>
      </c>
      <c r="D65" s="821" t="s">
        <v>581</v>
      </c>
      <c r="E65" s="920">
        <v>0.2</v>
      </c>
      <c r="F65" s="907">
        <v>30</v>
      </c>
    </row>
    <row r="66" spans="1:6" s="903" customFormat="1" ht="36">
      <c r="A66" s="907">
        <v>6</v>
      </c>
      <c r="B66" s="3162"/>
      <c r="C66" s="821" t="s">
        <v>582</v>
      </c>
      <c r="D66" s="821" t="s">
        <v>583</v>
      </c>
      <c r="E66" s="920">
        <v>0.3</v>
      </c>
      <c r="F66" s="907">
        <v>50</v>
      </c>
    </row>
    <row r="67" spans="1:6" s="903" customFormat="1" ht="36">
      <c r="A67" s="907">
        <v>7</v>
      </c>
      <c r="B67" s="3162"/>
      <c r="C67" s="821" t="s">
        <v>584</v>
      </c>
      <c r="D67" s="821" t="s">
        <v>585</v>
      </c>
      <c r="E67" s="920">
        <v>0.2</v>
      </c>
      <c r="F67" s="907">
        <v>30</v>
      </c>
    </row>
    <row r="68" spans="1:6" s="903" customFormat="1" ht="36">
      <c r="A68" s="907">
        <v>8</v>
      </c>
      <c r="B68" s="3162"/>
      <c r="C68" s="821" t="s">
        <v>586</v>
      </c>
      <c r="D68" s="821" t="s">
        <v>587</v>
      </c>
      <c r="E68" s="920">
        <v>0.2</v>
      </c>
      <c r="F68" s="907">
        <v>30</v>
      </c>
    </row>
    <row r="69" spans="1:6" s="903" customFormat="1" ht="36">
      <c r="A69" s="907">
        <v>9</v>
      </c>
      <c r="B69" s="3162"/>
      <c r="C69" s="821" t="s">
        <v>588</v>
      </c>
      <c r="D69" s="821" t="s">
        <v>589</v>
      </c>
      <c r="E69" s="920">
        <v>0.2</v>
      </c>
      <c r="F69" s="907">
        <v>30</v>
      </c>
    </row>
    <row r="70" spans="1:6" s="903" customFormat="1" ht="48">
      <c r="A70" s="907">
        <v>10</v>
      </c>
      <c r="B70" s="3162"/>
      <c r="C70" s="821" t="s">
        <v>590</v>
      </c>
      <c r="D70" s="821" t="s">
        <v>591</v>
      </c>
      <c r="E70" s="920">
        <v>0.2</v>
      </c>
      <c r="F70" s="907">
        <v>30</v>
      </c>
    </row>
    <row r="71" spans="1:6" s="903" customFormat="1" ht="48">
      <c r="A71" s="907">
        <v>11</v>
      </c>
      <c r="B71" s="3162"/>
      <c r="C71" s="821" t="s">
        <v>592</v>
      </c>
      <c r="D71" s="821" t="s">
        <v>593</v>
      </c>
      <c r="E71" s="920">
        <v>0.2</v>
      </c>
      <c r="F71" s="907">
        <v>30</v>
      </c>
    </row>
    <row r="72" spans="1:6" s="903" customFormat="1" ht="36">
      <c r="A72" s="907">
        <v>12</v>
      </c>
      <c r="B72" s="3162"/>
      <c r="C72" s="821" t="s">
        <v>594</v>
      </c>
      <c r="D72" s="821" t="s">
        <v>595</v>
      </c>
      <c r="E72" s="920">
        <v>0.5</v>
      </c>
      <c r="F72" s="907">
        <v>80</v>
      </c>
    </row>
    <row r="73" spans="1:6" s="903" customFormat="1" ht="24">
      <c r="A73" s="907">
        <v>13</v>
      </c>
      <c r="B73" s="3162"/>
      <c r="C73" s="821" t="s">
        <v>596</v>
      </c>
      <c r="D73" s="821" t="s">
        <v>597</v>
      </c>
      <c r="E73" s="920">
        <v>0.4</v>
      </c>
      <c r="F73" s="907">
        <v>60</v>
      </c>
    </row>
    <row r="74" spans="1:6" s="903" customFormat="1" ht="24">
      <c r="A74" s="907">
        <v>14</v>
      </c>
      <c r="B74" s="3162"/>
      <c r="C74" s="821" t="s">
        <v>598</v>
      </c>
      <c r="D74" s="821" t="s">
        <v>599</v>
      </c>
      <c r="E74" s="920">
        <v>0.2</v>
      </c>
      <c r="F74" s="907">
        <v>30</v>
      </c>
    </row>
    <row r="75" spans="1:6" s="903" customFormat="1" ht="24">
      <c r="A75" s="907">
        <v>15</v>
      </c>
      <c r="B75" s="3162"/>
      <c r="C75" s="821" t="s">
        <v>600</v>
      </c>
      <c r="D75" s="821" t="s">
        <v>601</v>
      </c>
      <c r="E75" s="920">
        <v>0.2</v>
      </c>
      <c r="F75" s="907">
        <v>30</v>
      </c>
    </row>
    <row r="76" spans="1:6" s="903" customFormat="1" ht="24">
      <c r="A76" s="907">
        <v>16</v>
      </c>
      <c r="B76" s="3162" t="s">
        <v>602</v>
      </c>
      <c r="C76" s="821" t="s">
        <v>603</v>
      </c>
      <c r="D76" s="821" t="s">
        <v>604</v>
      </c>
      <c r="E76" s="920">
        <v>0.5</v>
      </c>
      <c r="F76" s="907">
        <v>80</v>
      </c>
    </row>
    <row r="77" spans="1:6" s="903" customFormat="1" ht="24">
      <c r="A77" s="907">
        <v>17</v>
      </c>
      <c r="B77" s="3162"/>
      <c r="C77" s="821" t="s">
        <v>605</v>
      </c>
      <c r="D77" s="821" t="s">
        <v>606</v>
      </c>
      <c r="E77" s="920">
        <v>0.5</v>
      </c>
      <c r="F77" s="907">
        <v>80</v>
      </c>
    </row>
    <row r="78" spans="1:6" s="903" customFormat="1" ht="24">
      <c r="A78" s="907">
        <v>18</v>
      </c>
      <c r="B78" s="3162"/>
      <c r="C78" s="821" t="s">
        <v>607</v>
      </c>
      <c r="D78" s="821" t="s">
        <v>608</v>
      </c>
      <c r="E78" s="920">
        <v>0.2</v>
      </c>
      <c r="F78" s="907">
        <v>30</v>
      </c>
    </row>
    <row r="79" spans="1:6" s="903" customFormat="1" ht="24">
      <c r="A79" s="907">
        <v>19</v>
      </c>
      <c r="B79" s="3162"/>
      <c r="C79" s="821" t="s">
        <v>609</v>
      </c>
      <c r="D79" s="821" t="s">
        <v>610</v>
      </c>
      <c r="E79" s="920">
        <v>0.5</v>
      </c>
      <c r="F79" s="907">
        <v>80</v>
      </c>
    </row>
    <row r="80" spans="1:6" s="903" customFormat="1" ht="36">
      <c r="A80" s="907">
        <v>20</v>
      </c>
      <c r="B80" s="3162"/>
      <c r="C80" s="821" t="s">
        <v>611</v>
      </c>
      <c r="D80" s="821" t="s">
        <v>612</v>
      </c>
      <c r="E80" s="920">
        <v>0.2</v>
      </c>
      <c r="F80" s="907">
        <v>30</v>
      </c>
    </row>
    <row r="81" spans="1:6" s="903" customFormat="1" ht="36">
      <c r="A81" s="907">
        <v>21</v>
      </c>
      <c r="B81" s="3162"/>
      <c r="C81" s="821" t="s">
        <v>613</v>
      </c>
      <c r="D81" s="821" t="s">
        <v>614</v>
      </c>
      <c r="E81" s="920">
        <v>0.2</v>
      </c>
      <c r="F81" s="907">
        <v>30</v>
      </c>
    </row>
    <row r="82" spans="1:6" s="903" customFormat="1" ht="48">
      <c r="A82" s="907">
        <v>22</v>
      </c>
      <c r="B82" s="3162"/>
      <c r="C82" s="821" t="s">
        <v>615</v>
      </c>
      <c r="D82" s="821" t="s">
        <v>616</v>
      </c>
      <c r="E82" s="920">
        <v>0.2</v>
      </c>
      <c r="F82" s="907">
        <v>30</v>
      </c>
    </row>
    <row r="83" spans="1:6" s="903" customFormat="1" ht="48">
      <c r="A83" s="907">
        <v>23</v>
      </c>
      <c r="B83" s="3162"/>
      <c r="C83" s="821" t="s">
        <v>617</v>
      </c>
      <c r="D83" s="821" t="s">
        <v>618</v>
      </c>
      <c r="E83" s="920">
        <v>0.2</v>
      </c>
      <c r="F83" s="907">
        <v>30</v>
      </c>
    </row>
    <row r="84" spans="1:6" s="903" customFormat="1" ht="36">
      <c r="A84" s="907">
        <v>24</v>
      </c>
      <c r="B84" s="3162"/>
      <c r="C84" s="821" t="s">
        <v>619</v>
      </c>
      <c r="D84" s="821" t="s">
        <v>620</v>
      </c>
      <c r="E84" s="920">
        <v>0.2</v>
      </c>
      <c r="F84" s="907">
        <v>30</v>
      </c>
    </row>
    <row r="85" spans="1:6" s="903" customFormat="1" ht="36">
      <c r="A85" s="907">
        <v>25</v>
      </c>
      <c r="B85" s="3162"/>
      <c r="C85" s="821" t="s">
        <v>621</v>
      </c>
      <c r="D85" s="821" t="s">
        <v>622</v>
      </c>
      <c r="E85" s="920">
        <v>0.5</v>
      </c>
      <c r="F85" s="907">
        <v>80</v>
      </c>
    </row>
    <row r="86" spans="1:6" s="903" customFormat="1" ht="36">
      <c r="A86" s="907">
        <v>26</v>
      </c>
      <c r="B86" s="3162"/>
      <c r="C86" s="821" t="s">
        <v>623</v>
      </c>
      <c r="D86" s="821" t="s">
        <v>624</v>
      </c>
      <c r="E86" s="920">
        <v>0.2</v>
      </c>
      <c r="F86" s="907">
        <v>30</v>
      </c>
    </row>
    <row r="87" spans="1:6" s="903" customFormat="1" ht="36">
      <c r="A87" s="907">
        <v>27</v>
      </c>
      <c r="B87" s="3162"/>
      <c r="C87" s="821" t="s">
        <v>625</v>
      </c>
      <c r="D87" s="821" t="s">
        <v>626</v>
      </c>
      <c r="E87" s="920">
        <v>0.2</v>
      </c>
      <c r="F87" s="907">
        <v>30</v>
      </c>
    </row>
    <row r="88" spans="1:6" s="903" customFormat="1" ht="36">
      <c r="A88" s="907">
        <v>28</v>
      </c>
      <c r="B88" s="3162"/>
      <c r="C88" s="821" t="s">
        <v>627</v>
      </c>
      <c r="D88" s="821" t="s">
        <v>628</v>
      </c>
      <c r="E88" s="920">
        <v>0.2</v>
      </c>
      <c r="F88" s="907">
        <v>30</v>
      </c>
    </row>
    <row r="89" spans="1:6" s="903" customFormat="1" ht="24">
      <c r="A89" s="907">
        <v>29</v>
      </c>
      <c r="B89" s="3162"/>
      <c r="C89" s="821" t="s">
        <v>629</v>
      </c>
      <c r="D89" s="821" t="s">
        <v>630</v>
      </c>
      <c r="E89" s="920">
        <v>0.2</v>
      </c>
      <c r="F89" s="907">
        <v>30</v>
      </c>
    </row>
    <row r="90" spans="1:6" s="903" customFormat="1" ht="24">
      <c r="A90" s="907">
        <v>30</v>
      </c>
      <c r="B90" s="3162"/>
      <c r="C90" s="821" t="s">
        <v>631</v>
      </c>
      <c r="D90" s="821" t="s">
        <v>632</v>
      </c>
      <c r="E90" s="920">
        <v>0.2</v>
      </c>
      <c r="F90" s="907">
        <v>30</v>
      </c>
    </row>
    <row r="91" spans="1:6" s="903" customFormat="1" ht="36">
      <c r="A91" s="907">
        <v>31</v>
      </c>
      <c r="B91" s="3162"/>
      <c r="C91" s="821" t="s">
        <v>633</v>
      </c>
      <c r="D91" s="821" t="s">
        <v>634</v>
      </c>
      <c r="E91" s="920">
        <v>0.2</v>
      </c>
      <c r="F91" s="907">
        <v>30</v>
      </c>
    </row>
    <row r="92" spans="1:6" s="903" customFormat="1" ht="24">
      <c r="A92" s="907">
        <v>32</v>
      </c>
      <c r="B92" s="3162" t="s">
        <v>635</v>
      </c>
      <c r="C92" s="907" t="s">
        <v>636</v>
      </c>
      <c r="D92" s="821" t="s">
        <v>637</v>
      </c>
      <c r="E92" s="920">
        <v>0.2</v>
      </c>
      <c r="F92" s="907">
        <v>30</v>
      </c>
    </row>
    <row r="93" spans="1:6" s="903" customFormat="1" ht="36">
      <c r="A93" s="907">
        <v>33</v>
      </c>
      <c r="B93" s="3162"/>
      <c r="C93" s="907" t="s">
        <v>638</v>
      </c>
      <c r="D93" s="821" t="s">
        <v>639</v>
      </c>
      <c r="E93" s="920">
        <v>0.2</v>
      </c>
      <c r="F93" s="907">
        <v>30</v>
      </c>
    </row>
    <row r="94" spans="1:6" s="903" customFormat="1" ht="48">
      <c r="A94" s="907">
        <v>34</v>
      </c>
      <c r="B94" s="3162"/>
      <c r="C94" s="907" t="s">
        <v>640</v>
      </c>
      <c r="D94" s="821" t="s">
        <v>641</v>
      </c>
      <c r="E94" s="920">
        <v>0.2</v>
      </c>
      <c r="F94" s="907">
        <v>30</v>
      </c>
    </row>
    <row r="95" spans="1:6" s="903" customFormat="1" ht="36">
      <c r="A95" s="907">
        <v>35</v>
      </c>
      <c r="B95" s="3162"/>
      <c r="C95" s="907" t="s">
        <v>642</v>
      </c>
      <c r="D95" s="821" t="s">
        <v>643</v>
      </c>
      <c r="E95" s="920">
        <v>0.2</v>
      </c>
      <c r="F95" s="907">
        <v>30</v>
      </c>
    </row>
    <row r="96" spans="1:6" s="903" customFormat="1" ht="48">
      <c r="A96" s="907">
        <v>36</v>
      </c>
      <c r="B96" s="3162"/>
      <c r="C96" s="821" t="s">
        <v>644</v>
      </c>
      <c r="D96" s="821" t="s">
        <v>645</v>
      </c>
      <c r="E96" s="920">
        <v>0.2</v>
      </c>
      <c r="F96" s="907">
        <v>30</v>
      </c>
    </row>
    <row r="97" spans="1:6" s="903" customFormat="1" ht="36">
      <c r="A97" s="907">
        <v>37</v>
      </c>
      <c r="B97" s="3162"/>
      <c r="C97" s="907" t="s">
        <v>646</v>
      </c>
      <c r="D97" s="821" t="s">
        <v>647</v>
      </c>
      <c r="E97" s="920">
        <v>0.2</v>
      </c>
      <c r="F97" s="907">
        <v>30</v>
      </c>
    </row>
    <row r="98" spans="1:6" s="903" customFormat="1" ht="36">
      <c r="A98" s="907">
        <v>38</v>
      </c>
      <c r="B98" s="3162"/>
      <c r="C98" s="907" t="s">
        <v>648</v>
      </c>
      <c r="D98" s="821" t="s">
        <v>649</v>
      </c>
      <c r="E98" s="920">
        <v>0.2</v>
      </c>
      <c r="F98" s="907">
        <v>30</v>
      </c>
    </row>
    <row r="99" spans="1:6" s="903" customFormat="1" ht="36">
      <c r="A99" s="907">
        <v>39</v>
      </c>
      <c r="B99" s="3162" t="s">
        <v>650</v>
      </c>
      <c r="C99" s="907" t="s">
        <v>651</v>
      </c>
      <c r="D99" s="821" t="s">
        <v>652</v>
      </c>
      <c r="E99" s="920">
        <v>0.3</v>
      </c>
      <c r="F99" s="907">
        <v>50</v>
      </c>
    </row>
    <row r="100" spans="1:6" s="903" customFormat="1" ht="24">
      <c r="A100" s="907">
        <v>40</v>
      </c>
      <c r="B100" s="3162"/>
      <c r="C100" s="907" t="s">
        <v>653</v>
      </c>
      <c r="D100" s="821" t="s">
        <v>654</v>
      </c>
      <c r="E100" s="920">
        <v>0.2</v>
      </c>
      <c r="F100" s="907">
        <v>30</v>
      </c>
    </row>
    <row r="101" spans="1:6" s="903" customFormat="1" ht="36">
      <c r="A101" s="907">
        <v>41</v>
      </c>
      <c r="B101" s="316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62" t="s">
        <v>665</v>
      </c>
      <c r="C105" s="907" t="s">
        <v>666</v>
      </c>
      <c r="D105" s="821" t="s">
        <v>667</v>
      </c>
      <c r="E105" s="920">
        <v>0.2</v>
      </c>
      <c r="F105" s="907">
        <v>30</v>
      </c>
    </row>
    <row r="106" spans="1:6" s="903" customFormat="1" ht="36">
      <c r="A106" s="907">
        <v>46</v>
      </c>
      <c r="B106" s="3162"/>
      <c r="C106" s="907" t="s">
        <v>668</v>
      </c>
      <c r="D106" s="821" t="s">
        <v>669</v>
      </c>
      <c r="E106" s="920">
        <v>0.2</v>
      </c>
      <c r="F106" s="907">
        <v>30</v>
      </c>
    </row>
    <row r="107" spans="1:6" s="903" customFormat="1" ht="36">
      <c r="A107" s="907">
        <v>47</v>
      </c>
      <c r="B107" s="3162" t="s">
        <v>670</v>
      </c>
      <c r="C107" s="907" t="s">
        <v>671</v>
      </c>
      <c r="D107" s="821" t="s">
        <v>672</v>
      </c>
      <c r="E107" s="920">
        <v>0.3</v>
      </c>
      <c r="F107" s="907">
        <v>50</v>
      </c>
    </row>
    <row r="108" spans="1:6" s="903" customFormat="1" ht="36">
      <c r="A108" s="907">
        <v>48</v>
      </c>
      <c r="B108" s="316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62" t="s">
        <v>681</v>
      </c>
      <c r="C111" s="907" t="s">
        <v>682</v>
      </c>
      <c r="D111" s="821" t="s">
        <v>683</v>
      </c>
      <c r="E111" s="920">
        <v>0.2</v>
      </c>
      <c r="F111" s="907">
        <v>30</v>
      </c>
    </row>
    <row r="112" spans="1:6" s="903" customFormat="1" ht="24">
      <c r="A112" s="907">
        <v>52</v>
      </c>
      <c r="B112" s="3162"/>
      <c r="C112" s="907" t="s">
        <v>684</v>
      </c>
      <c r="D112" s="821" t="s">
        <v>685</v>
      </c>
      <c r="E112" s="920">
        <v>0.2</v>
      </c>
      <c r="F112" s="907">
        <v>30</v>
      </c>
    </row>
    <row r="113" spans="1:6" s="903" customFormat="1" ht="24">
      <c r="A113" s="907">
        <v>53</v>
      </c>
      <c r="B113" s="316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62" t="s">
        <v>694</v>
      </c>
      <c r="C116" s="907" t="s">
        <v>695</v>
      </c>
      <c r="D116" s="821" t="s">
        <v>696</v>
      </c>
      <c r="E116" s="920">
        <v>0.2</v>
      </c>
      <c r="F116" s="907">
        <v>30</v>
      </c>
    </row>
    <row r="117" spans="1:6" ht="36">
      <c r="A117" s="907">
        <v>57</v>
      </c>
      <c r="B117" s="316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68" t="s">
        <v>1034</v>
      </c>
      <c r="C1" s="3168"/>
      <c r="D1" s="3168"/>
      <c r="E1" s="3168"/>
      <c r="F1" s="3168"/>
      <c r="G1" s="3164" t="s">
        <v>1035</v>
      </c>
      <c r="H1" s="3164"/>
      <c r="I1" s="3164"/>
      <c r="J1" s="3164"/>
      <c r="K1" s="3164"/>
      <c r="L1" s="3164"/>
      <c r="N1" s="3164" t="s">
        <v>1036</v>
      </c>
      <c r="O1" s="3164"/>
      <c r="P1" s="3164"/>
      <c r="Q1" s="3164"/>
      <c r="R1" s="1548"/>
      <c r="S1" s="3164" t="s">
        <v>1037</v>
      </c>
      <c r="T1" s="3164"/>
      <c r="U1" s="3164"/>
      <c r="V1" s="3164"/>
      <c r="X1" s="3163" t="s">
        <v>1038</v>
      </c>
      <c r="Y1" s="3164"/>
      <c r="Z1" s="3164"/>
      <c r="AA1" s="3164"/>
      <c r="AB1" s="3164"/>
      <c r="AD1" s="3163" t="s">
        <v>1039</v>
      </c>
      <c r="AE1" s="3164"/>
      <c r="AF1" s="3164"/>
      <c r="AG1" s="3164"/>
      <c r="AH1" s="3164"/>
    </row>
    <row r="2" spans="1:34" s="1549" customFormat="1" ht="14.25" thickBot="1">
      <c r="B2" s="1550" t="s">
        <v>1040</v>
      </c>
      <c r="C2" s="1550" t="s">
        <v>1041</v>
      </c>
      <c r="D2" s="1551" t="s">
        <v>1042</v>
      </c>
      <c r="E2" s="1551" t="s">
        <v>1043</v>
      </c>
      <c r="F2" s="1550" t="s">
        <v>1044</v>
      </c>
      <c r="G2" s="1552"/>
      <c r="H2" s="1553"/>
      <c r="I2" s="1550" t="s">
        <v>1248</v>
      </c>
      <c r="J2" s="1551" t="s">
        <v>1249</v>
      </c>
      <c r="K2" s="1551" t="s">
        <v>1250</v>
      </c>
      <c r="L2" s="1550" t="s">
        <v>1251</v>
      </c>
      <c r="N2" s="1550" t="s">
        <v>1040</v>
      </c>
      <c r="O2" s="1551" t="s">
        <v>1252</v>
      </c>
      <c r="P2" s="1551" t="s">
        <v>728</v>
      </c>
      <c r="Q2" s="1550" t="s">
        <v>1044</v>
      </c>
      <c r="R2" s="1554"/>
      <c r="S2" s="1550" t="s">
        <v>1040</v>
      </c>
      <c r="T2" s="1551" t="s">
        <v>1252</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2"/>
      <c r="J3" s="2702"/>
      <c r="K3" s="2702"/>
      <c r="L3" s="2702"/>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2797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03">
        <f>ROUND(AVERAGE(I5:I20),2)</f>
        <v>2.4900000000000002</v>
      </c>
      <c r="J4" s="2703">
        <f t="shared" ref="J4:K4" si="6">ROUND(AVERAGE(J5:J20),2)</f>
        <v>1.64</v>
      </c>
      <c r="K4" s="2703">
        <f t="shared" si="6"/>
        <v>2.78</v>
      </c>
      <c r="L4" s="2703">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2795</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0">
        <v>2017</v>
      </c>
      <c r="H5" s="1822">
        <v>4</v>
      </c>
      <c r="I5" s="2704">
        <f>ROUND(AVERAGE(I6:I20),2)</f>
        <v>2.4900000000000002</v>
      </c>
      <c r="J5" s="2704">
        <f>ROUND(AVERAGE(J6:J20),2)</f>
        <v>1.64</v>
      </c>
      <c r="K5" s="2704">
        <f>ROUND(AVERAGE(K6:K20),2)</f>
        <v>2.78</v>
      </c>
      <c r="L5" s="2705">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2796</v>
      </c>
      <c r="B6" s="1581">
        <f>B7*(1+N6)</f>
        <v>431.80730811680002</v>
      </c>
      <c r="C6" s="1581">
        <f t="shared" ref="C6" si="17">C7*(1+O6)</f>
        <v>320.57880516480003</v>
      </c>
      <c r="D6" s="1581">
        <f t="shared" si="3"/>
        <v>320.57880516480003</v>
      </c>
      <c r="E6" s="1581">
        <f t="shared" ref="E6:F8" si="18">E7*(1+P6)</f>
        <v>615.96110553196797</v>
      </c>
      <c r="F6" s="1581">
        <f t="shared" si="18"/>
        <v>279.46777300108801</v>
      </c>
      <c r="G6" s="2701"/>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1247</v>
      </c>
      <c r="B7" s="1581">
        <f>B8*(1+N7)</f>
        <v>419.31181600000002</v>
      </c>
      <c r="C7" s="1581">
        <f t="shared" ref="C7" si="22">C8*(1+O7)</f>
        <v>313.95436800000004</v>
      </c>
      <c r="D7" s="1581">
        <f t="shared" si="3"/>
        <v>313.95436800000004</v>
      </c>
      <c r="E7" s="1581">
        <f t="shared" si="18"/>
        <v>596.63028431999999</v>
      </c>
      <c r="F7" s="1581">
        <f t="shared" si="18"/>
        <v>274.74220703999998</v>
      </c>
      <c r="G7" s="2700"/>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65">
        <f>ROUND(SUMPRODUCT(PRODUCT(1+N7:N$19)),4)</f>
        <v>1.3628</v>
      </c>
      <c r="Y7" s="1865">
        <f>ROUND(SUMPRODUCT(PRODUCT(1+O7:O$19)),4)</f>
        <v>1.2205999999999999</v>
      </c>
      <c r="Z7" s="1865">
        <f t="shared" si="0"/>
        <v>1.2205999999999999</v>
      </c>
      <c r="AA7" s="1865">
        <f>ROUND(SUMPRODUCT(PRODUCT(1+P7:P$19)),4)</f>
        <v>1.4118999999999999</v>
      </c>
      <c r="AB7" s="1865">
        <f>ROUND(SUMPRODUCT(PRODUCT(1+Q7:Q$19)),4)</f>
        <v>1.1930000000000001</v>
      </c>
      <c r="AC7" s="1555"/>
      <c r="AD7" s="1866">
        <f>ROUND(AVERAGE(I7:I$20)/100,4)</f>
        <v>2.46E-2</v>
      </c>
      <c r="AE7" s="1866">
        <f>ROUND(AVERAGE(J7:J$20)/100,4)</f>
        <v>1.6E-2</v>
      </c>
      <c r="AF7" s="1866">
        <f t="shared" si="1"/>
        <v>1.6E-2</v>
      </c>
      <c r="AG7" s="1866">
        <f>ROUND(AVERAGE(K7:K$20)/100,4)</f>
        <v>2.75E-2</v>
      </c>
      <c r="AH7" s="1866">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1"/>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69">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66"/>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66"/>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67"/>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65">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66"/>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66"/>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67"/>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65">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66"/>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66"/>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67"/>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70">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71"/>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71"/>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72"/>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65">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66"/>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66"/>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67"/>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65">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66">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66">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67">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65">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66">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66">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67">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65">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66">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66">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67">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65">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66">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66">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67">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65">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66">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66">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67">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65">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66">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66">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67">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65">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66">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66">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67">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65">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66">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66">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67">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65">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66">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66">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67">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65">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66">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66">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67">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view="pageBreakPreview" topLeftCell="A40" zoomScale="130" zoomScaleNormal="100" zoomScaleSheetLayoutView="130" workbookViewId="0">
      <selection activeCell="G40" sqref="G40"/>
    </sheetView>
  </sheetViews>
  <sheetFormatPr defaultRowHeight="13.5"/>
  <cols>
    <col min="1" max="1" width="6.375" style="2713" customWidth="1"/>
    <col min="2" max="2" width="19.375" style="2778" customWidth="1"/>
    <col min="3" max="3" width="7" style="2779" customWidth="1"/>
    <col min="4" max="4" width="3.25" style="2779" customWidth="1"/>
    <col min="5" max="5" width="7.375" style="2779" customWidth="1"/>
    <col min="6" max="6" width="3.5" style="2779" customWidth="1"/>
    <col min="7" max="7" width="19.375" style="2780" customWidth="1"/>
    <col min="8" max="8" width="19.5" style="2713" customWidth="1"/>
    <col min="9" max="9" width="8.625" style="2713" customWidth="1"/>
    <col min="10" max="10" width="10.5" style="2709" customWidth="1"/>
    <col min="11" max="11" width="4.875" style="2741" customWidth="1"/>
    <col min="12" max="12" width="16.375" style="2741" customWidth="1"/>
    <col min="13" max="16" width="8.125" style="2713" customWidth="1"/>
    <col min="17" max="256" width="9" style="2713"/>
    <col min="257" max="257" width="6.375" style="2713" customWidth="1"/>
    <col min="258" max="258" width="19.375" style="2713" customWidth="1"/>
    <col min="259" max="259" width="7" style="2713" customWidth="1"/>
    <col min="260" max="260" width="3.25" style="2713" customWidth="1"/>
    <col min="261" max="261" width="7.375" style="2713" customWidth="1"/>
    <col min="262" max="262" width="3.5" style="2713" customWidth="1"/>
    <col min="263" max="263" width="19.375" style="2713" customWidth="1"/>
    <col min="264" max="264" width="19.5" style="2713" customWidth="1"/>
    <col min="265" max="265" width="8.625" style="2713" customWidth="1"/>
    <col min="266" max="266" width="10.5" style="2713" customWidth="1"/>
    <col min="267" max="267" width="4.875" style="2713" customWidth="1"/>
    <col min="268" max="268" width="16.375" style="2713" customWidth="1"/>
    <col min="269" max="272" width="8.125" style="2713" customWidth="1"/>
    <col min="273" max="512" width="9" style="2713"/>
    <col min="513" max="513" width="6.375" style="2713" customWidth="1"/>
    <col min="514" max="514" width="19.375" style="2713" customWidth="1"/>
    <col min="515" max="515" width="7" style="2713" customWidth="1"/>
    <col min="516" max="516" width="3.25" style="2713" customWidth="1"/>
    <col min="517" max="517" width="7.375" style="2713" customWidth="1"/>
    <col min="518" max="518" width="3.5" style="2713" customWidth="1"/>
    <col min="519" max="519" width="19.375" style="2713" customWidth="1"/>
    <col min="520" max="520" width="19.5" style="2713" customWidth="1"/>
    <col min="521" max="521" width="8.625" style="2713" customWidth="1"/>
    <col min="522" max="522" width="10.5" style="2713" customWidth="1"/>
    <col min="523" max="523" width="4.875" style="2713" customWidth="1"/>
    <col min="524" max="524" width="16.375" style="2713" customWidth="1"/>
    <col min="525" max="528" width="8.125" style="2713" customWidth="1"/>
    <col min="529" max="768" width="9" style="2713"/>
    <col min="769" max="769" width="6.375" style="2713" customWidth="1"/>
    <col min="770" max="770" width="19.375" style="2713" customWidth="1"/>
    <col min="771" max="771" width="7" style="2713" customWidth="1"/>
    <col min="772" max="772" width="3.25" style="2713" customWidth="1"/>
    <col min="773" max="773" width="7.375" style="2713" customWidth="1"/>
    <col min="774" max="774" width="3.5" style="2713" customWidth="1"/>
    <col min="775" max="775" width="19.375" style="2713" customWidth="1"/>
    <col min="776" max="776" width="19.5" style="2713" customWidth="1"/>
    <col min="777" max="777" width="8.625" style="2713" customWidth="1"/>
    <col min="778" max="778" width="10.5" style="2713" customWidth="1"/>
    <col min="779" max="779" width="4.875" style="2713" customWidth="1"/>
    <col min="780" max="780" width="16.375" style="2713" customWidth="1"/>
    <col min="781" max="784" width="8.125" style="2713" customWidth="1"/>
    <col min="785" max="1024" width="9" style="2713"/>
    <col min="1025" max="1025" width="6.375" style="2713" customWidth="1"/>
    <col min="1026" max="1026" width="19.375" style="2713" customWidth="1"/>
    <col min="1027" max="1027" width="7" style="2713" customWidth="1"/>
    <col min="1028" max="1028" width="3.25" style="2713" customWidth="1"/>
    <col min="1029" max="1029" width="7.375" style="2713" customWidth="1"/>
    <col min="1030" max="1030" width="3.5" style="2713" customWidth="1"/>
    <col min="1031" max="1031" width="19.375" style="2713" customWidth="1"/>
    <col min="1032" max="1032" width="19.5" style="2713" customWidth="1"/>
    <col min="1033" max="1033" width="8.625" style="2713" customWidth="1"/>
    <col min="1034" max="1034" width="10.5" style="2713" customWidth="1"/>
    <col min="1035" max="1035" width="4.875" style="2713" customWidth="1"/>
    <col min="1036" max="1036" width="16.375" style="2713" customWidth="1"/>
    <col min="1037" max="1040" width="8.125" style="2713" customWidth="1"/>
    <col min="1041" max="1280" width="9" style="2713"/>
    <col min="1281" max="1281" width="6.375" style="2713" customWidth="1"/>
    <col min="1282" max="1282" width="19.375" style="2713" customWidth="1"/>
    <col min="1283" max="1283" width="7" style="2713" customWidth="1"/>
    <col min="1284" max="1284" width="3.25" style="2713" customWidth="1"/>
    <col min="1285" max="1285" width="7.375" style="2713" customWidth="1"/>
    <col min="1286" max="1286" width="3.5" style="2713" customWidth="1"/>
    <col min="1287" max="1287" width="19.375" style="2713" customWidth="1"/>
    <col min="1288" max="1288" width="19.5" style="2713" customWidth="1"/>
    <col min="1289" max="1289" width="8.625" style="2713" customWidth="1"/>
    <col min="1290" max="1290" width="10.5" style="2713" customWidth="1"/>
    <col min="1291" max="1291" width="4.875" style="2713" customWidth="1"/>
    <col min="1292" max="1292" width="16.375" style="2713" customWidth="1"/>
    <col min="1293" max="1296" width="8.125" style="2713" customWidth="1"/>
    <col min="1297" max="1536" width="9" style="2713"/>
    <col min="1537" max="1537" width="6.375" style="2713" customWidth="1"/>
    <col min="1538" max="1538" width="19.375" style="2713" customWidth="1"/>
    <col min="1539" max="1539" width="7" style="2713" customWidth="1"/>
    <col min="1540" max="1540" width="3.25" style="2713" customWidth="1"/>
    <col min="1541" max="1541" width="7.375" style="2713" customWidth="1"/>
    <col min="1542" max="1542" width="3.5" style="2713" customWidth="1"/>
    <col min="1543" max="1543" width="19.375" style="2713" customWidth="1"/>
    <col min="1544" max="1544" width="19.5" style="2713" customWidth="1"/>
    <col min="1545" max="1545" width="8.625" style="2713" customWidth="1"/>
    <col min="1546" max="1546" width="10.5" style="2713" customWidth="1"/>
    <col min="1547" max="1547" width="4.875" style="2713" customWidth="1"/>
    <col min="1548" max="1548" width="16.375" style="2713" customWidth="1"/>
    <col min="1549" max="1552" width="8.125" style="2713" customWidth="1"/>
    <col min="1553" max="1792" width="9" style="2713"/>
    <col min="1793" max="1793" width="6.375" style="2713" customWidth="1"/>
    <col min="1794" max="1794" width="19.375" style="2713" customWidth="1"/>
    <col min="1795" max="1795" width="7" style="2713" customWidth="1"/>
    <col min="1796" max="1796" width="3.25" style="2713" customWidth="1"/>
    <col min="1797" max="1797" width="7.375" style="2713" customWidth="1"/>
    <col min="1798" max="1798" width="3.5" style="2713" customWidth="1"/>
    <col min="1799" max="1799" width="19.375" style="2713" customWidth="1"/>
    <col min="1800" max="1800" width="19.5" style="2713" customWidth="1"/>
    <col min="1801" max="1801" width="8.625" style="2713" customWidth="1"/>
    <col min="1802" max="1802" width="10.5" style="2713" customWidth="1"/>
    <col min="1803" max="1803" width="4.875" style="2713" customWidth="1"/>
    <col min="1804" max="1804" width="16.375" style="2713" customWidth="1"/>
    <col min="1805" max="1808" width="8.125" style="2713" customWidth="1"/>
    <col min="1809" max="2048" width="9" style="2713"/>
    <col min="2049" max="2049" width="6.375" style="2713" customWidth="1"/>
    <col min="2050" max="2050" width="19.375" style="2713" customWidth="1"/>
    <col min="2051" max="2051" width="7" style="2713" customWidth="1"/>
    <col min="2052" max="2052" width="3.25" style="2713" customWidth="1"/>
    <col min="2053" max="2053" width="7.375" style="2713" customWidth="1"/>
    <col min="2054" max="2054" width="3.5" style="2713" customWidth="1"/>
    <col min="2055" max="2055" width="19.375" style="2713" customWidth="1"/>
    <col min="2056" max="2056" width="19.5" style="2713" customWidth="1"/>
    <col min="2057" max="2057" width="8.625" style="2713" customWidth="1"/>
    <col min="2058" max="2058" width="10.5" style="2713" customWidth="1"/>
    <col min="2059" max="2059" width="4.875" style="2713" customWidth="1"/>
    <col min="2060" max="2060" width="16.375" style="2713" customWidth="1"/>
    <col min="2061" max="2064" width="8.125" style="2713" customWidth="1"/>
    <col min="2065" max="2304" width="9" style="2713"/>
    <col min="2305" max="2305" width="6.375" style="2713" customWidth="1"/>
    <col min="2306" max="2306" width="19.375" style="2713" customWidth="1"/>
    <col min="2307" max="2307" width="7" style="2713" customWidth="1"/>
    <col min="2308" max="2308" width="3.25" style="2713" customWidth="1"/>
    <col min="2309" max="2309" width="7.375" style="2713" customWidth="1"/>
    <col min="2310" max="2310" width="3.5" style="2713" customWidth="1"/>
    <col min="2311" max="2311" width="19.375" style="2713" customWidth="1"/>
    <col min="2312" max="2312" width="19.5" style="2713" customWidth="1"/>
    <col min="2313" max="2313" width="8.625" style="2713" customWidth="1"/>
    <col min="2314" max="2314" width="10.5" style="2713" customWidth="1"/>
    <col min="2315" max="2315" width="4.875" style="2713" customWidth="1"/>
    <col min="2316" max="2316" width="16.375" style="2713" customWidth="1"/>
    <col min="2317" max="2320" width="8.125" style="2713" customWidth="1"/>
    <col min="2321" max="2560" width="9" style="2713"/>
    <col min="2561" max="2561" width="6.375" style="2713" customWidth="1"/>
    <col min="2562" max="2562" width="19.375" style="2713" customWidth="1"/>
    <col min="2563" max="2563" width="7" style="2713" customWidth="1"/>
    <col min="2564" max="2564" width="3.25" style="2713" customWidth="1"/>
    <col min="2565" max="2565" width="7.375" style="2713" customWidth="1"/>
    <col min="2566" max="2566" width="3.5" style="2713" customWidth="1"/>
    <col min="2567" max="2567" width="19.375" style="2713" customWidth="1"/>
    <col min="2568" max="2568" width="19.5" style="2713" customWidth="1"/>
    <col min="2569" max="2569" width="8.625" style="2713" customWidth="1"/>
    <col min="2570" max="2570" width="10.5" style="2713" customWidth="1"/>
    <col min="2571" max="2571" width="4.875" style="2713" customWidth="1"/>
    <col min="2572" max="2572" width="16.375" style="2713" customWidth="1"/>
    <col min="2573" max="2576" width="8.125" style="2713" customWidth="1"/>
    <col min="2577" max="2816" width="9" style="2713"/>
    <col min="2817" max="2817" width="6.375" style="2713" customWidth="1"/>
    <col min="2818" max="2818" width="19.375" style="2713" customWidth="1"/>
    <col min="2819" max="2819" width="7" style="2713" customWidth="1"/>
    <col min="2820" max="2820" width="3.25" style="2713" customWidth="1"/>
    <col min="2821" max="2821" width="7.375" style="2713" customWidth="1"/>
    <col min="2822" max="2822" width="3.5" style="2713" customWidth="1"/>
    <col min="2823" max="2823" width="19.375" style="2713" customWidth="1"/>
    <col min="2824" max="2824" width="19.5" style="2713" customWidth="1"/>
    <col min="2825" max="2825" width="8.625" style="2713" customWidth="1"/>
    <col min="2826" max="2826" width="10.5" style="2713" customWidth="1"/>
    <col min="2827" max="2827" width="4.875" style="2713" customWidth="1"/>
    <col min="2828" max="2828" width="16.375" style="2713" customWidth="1"/>
    <col min="2829" max="2832" width="8.125" style="2713" customWidth="1"/>
    <col min="2833" max="3072" width="9" style="2713"/>
    <col min="3073" max="3073" width="6.375" style="2713" customWidth="1"/>
    <col min="3074" max="3074" width="19.375" style="2713" customWidth="1"/>
    <col min="3075" max="3075" width="7" style="2713" customWidth="1"/>
    <col min="3076" max="3076" width="3.25" style="2713" customWidth="1"/>
    <col min="3077" max="3077" width="7.375" style="2713" customWidth="1"/>
    <col min="3078" max="3078" width="3.5" style="2713" customWidth="1"/>
    <col min="3079" max="3079" width="19.375" style="2713" customWidth="1"/>
    <col min="3080" max="3080" width="19.5" style="2713" customWidth="1"/>
    <col min="3081" max="3081" width="8.625" style="2713" customWidth="1"/>
    <col min="3082" max="3082" width="10.5" style="2713" customWidth="1"/>
    <col min="3083" max="3083" width="4.875" style="2713" customWidth="1"/>
    <col min="3084" max="3084" width="16.375" style="2713" customWidth="1"/>
    <col min="3085" max="3088" width="8.125" style="2713" customWidth="1"/>
    <col min="3089" max="3328" width="9" style="2713"/>
    <col min="3329" max="3329" width="6.375" style="2713" customWidth="1"/>
    <col min="3330" max="3330" width="19.375" style="2713" customWidth="1"/>
    <col min="3331" max="3331" width="7" style="2713" customWidth="1"/>
    <col min="3332" max="3332" width="3.25" style="2713" customWidth="1"/>
    <col min="3333" max="3333" width="7.375" style="2713" customWidth="1"/>
    <col min="3334" max="3334" width="3.5" style="2713" customWidth="1"/>
    <col min="3335" max="3335" width="19.375" style="2713" customWidth="1"/>
    <col min="3336" max="3336" width="19.5" style="2713" customWidth="1"/>
    <col min="3337" max="3337" width="8.625" style="2713" customWidth="1"/>
    <col min="3338" max="3338" width="10.5" style="2713" customWidth="1"/>
    <col min="3339" max="3339" width="4.875" style="2713" customWidth="1"/>
    <col min="3340" max="3340" width="16.375" style="2713" customWidth="1"/>
    <col min="3341" max="3344" width="8.125" style="2713" customWidth="1"/>
    <col min="3345" max="3584" width="9" style="2713"/>
    <col min="3585" max="3585" width="6.375" style="2713" customWidth="1"/>
    <col min="3586" max="3586" width="19.375" style="2713" customWidth="1"/>
    <col min="3587" max="3587" width="7" style="2713" customWidth="1"/>
    <col min="3588" max="3588" width="3.25" style="2713" customWidth="1"/>
    <col min="3589" max="3589" width="7.375" style="2713" customWidth="1"/>
    <col min="3590" max="3590" width="3.5" style="2713" customWidth="1"/>
    <col min="3591" max="3591" width="19.375" style="2713" customWidth="1"/>
    <col min="3592" max="3592" width="19.5" style="2713" customWidth="1"/>
    <col min="3593" max="3593" width="8.625" style="2713" customWidth="1"/>
    <col min="3594" max="3594" width="10.5" style="2713" customWidth="1"/>
    <col min="3595" max="3595" width="4.875" style="2713" customWidth="1"/>
    <col min="3596" max="3596" width="16.375" style="2713" customWidth="1"/>
    <col min="3597" max="3600" width="8.125" style="2713" customWidth="1"/>
    <col min="3601" max="3840" width="9" style="2713"/>
    <col min="3841" max="3841" width="6.375" style="2713" customWidth="1"/>
    <col min="3842" max="3842" width="19.375" style="2713" customWidth="1"/>
    <col min="3843" max="3843" width="7" style="2713" customWidth="1"/>
    <col min="3844" max="3844" width="3.25" style="2713" customWidth="1"/>
    <col min="3845" max="3845" width="7.375" style="2713" customWidth="1"/>
    <col min="3846" max="3846" width="3.5" style="2713" customWidth="1"/>
    <col min="3847" max="3847" width="19.375" style="2713" customWidth="1"/>
    <col min="3848" max="3848" width="19.5" style="2713" customWidth="1"/>
    <col min="3849" max="3849" width="8.625" style="2713" customWidth="1"/>
    <col min="3850" max="3850" width="10.5" style="2713" customWidth="1"/>
    <col min="3851" max="3851" width="4.875" style="2713" customWidth="1"/>
    <col min="3852" max="3852" width="16.375" style="2713" customWidth="1"/>
    <col min="3853" max="3856" width="8.125" style="2713" customWidth="1"/>
    <col min="3857" max="4096" width="9" style="2713"/>
    <col min="4097" max="4097" width="6.375" style="2713" customWidth="1"/>
    <col min="4098" max="4098" width="19.375" style="2713" customWidth="1"/>
    <col min="4099" max="4099" width="7" style="2713" customWidth="1"/>
    <col min="4100" max="4100" width="3.25" style="2713" customWidth="1"/>
    <col min="4101" max="4101" width="7.375" style="2713" customWidth="1"/>
    <col min="4102" max="4102" width="3.5" style="2713" customWidth="1"/>
    <col min="4103" max="4103" width="19.375" style="2713" customWidth="1"/>
    <col min="4104" max="4104" width="19.5" style="2713" customWidth="1"/>
    <col min="4105" max="4105" width="8.625" style="2713" customWidth="1"/>
    <col min="4106" max="4106" width="10.5" style="2713" customWidth="1"/>
    <col min="4107" max="4107" width="4.875" style="2713" customWidth="1"/>
    <col min="4108" max="4108" width="16.375" style="2713" customWidth="1"/>
    <col min="4109" max="4112" width="8.125" style="2713" customWidth="1"/>
    <col min="4113" max="4352" width="9" style="2713"/>
    <col min="4353" max="4353" width="6.375" style="2713" customWidth="1"/>
    <col min="4354" max="4354" width="19.375" style="2713" customWidth="1"/>
    <col min="4355" max="4355" width="7" style="2713" customWidth="1"/>
    <col min="4356" max="4356" width="3.25" style="2713" customWidth="1"/>
    <col min="4357" max="4357" width="7.375" style="2713" customWidth="1"/>
    <col min="4358" max="4358" width="3.5" style="2713" customWidth="1"/>
    <col min="4359" max="4359" width="19.375" style="2713" customWidth="1"/>
    <col min="4360" max="4360" width="19.5" style="2713" customWidth="1"/>
    <col min="4361" max="4361" width="8.625" style="2713" customWidth="1"/>
    <col min="4362" max="4362" width="10.5" style="2713" customWidth="1"/>
    <col min="4363" max="4363" width="4.875" style="2713" customWidth="1"/>
    <col min="4364" max="4364" width="16.375" style="2713" customWidth="1"/>
    <col min="4365" max="4368" width="8.125" style="2713" customWidth="1"/>
    <col min="4369" max="4608" width="9" style="2713"/>
    <col min="4609" max="4609" width="6.375" style="2713" customWidth="1"/>
    <col min="4610" max="4610" width="19.375" style="2713" customWidth="1"/>
    <col min="4611" max="4611" width="7" style="2713" customWidth="1"/>
    <col min="4612" max="4612" width="3.25" style="2713" customWidth="1"/>
    <col min="4613" max="4613" width="7.375" style="2713" customWidth="1"/>
    <col min="4614" max="4614" width="3.5" style="2713" customWidth="1"/>
    <col min="4615" max="4615" width="19.375" style="2713" customWidth="1"/>
    <col min="4616" max="4616" width="19.5" style="2713" customWidth="1"/>
    <col min="4617" max="4617" width="8.625" style="2713" customWidth="1"/>
    <col min="4618" max="4618" width="10.5" style="2713" customWidth="1"/>
    <col min="4619" max="4619" width="4.875" style="2713" customWidth="1"/>
    <col min="4620" max="4620" width="16.375" style="2713" customWidth="1"/>
    <col min="4621" max="4624" width="8.125" style="2713" customWidth="1"/>
    <col min="4625" max="4864" width="9" style="2713"/>
    <col min="4865" max="4865" width="6.375" style="2713" customWidth="1"/>
    <col min="4866" max="4866" width="19.375" style="2713" customWidth="1"/>
    <col min="4867" max="4867" width="7" style="2713" customWidth="1"/>
    <col min="4868" max="4868" width="3.25" style="2713" customWidth="1"/>
    <col min="4869" max="4869" width="7.375" style="2713" customWidth="1"/>
    <col min="4870" max="4870" width="3.5" style="2713" customWidth="1"/>
    <col min="4871" max="4871" width="19.375" style="2713" customWidth="1"/>
    <col min="4872" max="4872" width="19.5" style="2713" customWidth="1"/>
    <col min="4873" max="4873" width="8.625" style="2713" customWidth="1"/>
    <col min="4874" max="4874" width="10.5" style="2713" customWidth="1"/>
    <col min="4875" max="4875" width="4.875" style="2713" customWidth="1"/>
    <col min="4876" max="4876" width="16.375" style="2713" customWidth="1"/>
    <col min="4877" max="4880" width="8.125" style="2713" customWidth="1"/>
    <col min="4881" max="5120" width="9" style="2713"/>
    <col min="5121" max="5121" width="6.375" style="2713" customWidth="1"/>
    <col min="5122" max="5122" width="19.375" style="2713" customWidth="1"/>
    <col min="5123" max="5123" width="7" style="2713" customWidth="1"/>
    <col min="5124" max="5124" width="3.25" style="2713" customWidth="1"/>
    <col min="5125" max="5125" width="7.375" style="2713" customWidth="1"/>
    <col min="5126" max="5126" width="3.5" style="2713" customWidth="1"/>
    <col min="5127" max="5127" width="19.375" style="2713" customWidth="1"/>
    <col min="5128" max="5128" width="19.5" style="2713" customWidth="1"/>
    <col min="5129" max="5129" width="8.625" style="2713" customWidth="1"/>
    <col min="5130" max="5130" width="10.5" style="2713" customWidth="1"/>
    <col min="5131" max="5131" width="4.875" style="2713" customWidth="1"/>
    <col min="5132" max="5132" width="16.375" style="2713" customWidth="1"/>
    <col min="5133" max="5136" width="8.125" style="2713" customWidth="1"/>
    <col min="5137" max="5376" width="9" style="2713"/>
    <col min="5377" max="5377" width="6.375" style="2713" customWidth="1"/>
    <col min="5378" max="5378" width="19.375" style="2713" customWidth="1"/>
    <col min="5379" max="5379" width="7" style="2713" customWidth="1"/>
    <col min="5380" max="5380" width="3.25" style="2713" customWidth="1"/>
    <col min="5381" max="5381" width="7.375" style="2713" customWidth="1"/>
    <col min="5382" max="5382" width="3.5" style="2713" customWidth="1"/>
    <col min="5383" max="5383" width="19.375" style="2713" customWidth="1"/>
    <col min="5384" max="5384" width="19.5" style="2713" customWidth="1"/>
    <col min="5385" max="5385" width="8.625" style="2713" customWidth="1"/>
    <col min="5386" max="5386" width="10.5" style="2713" customWidth="1"/>
    <col min="5387" max="5387" width="4.875" style="2713" customWidth="1"/>
    <col min="5388" max="5388" width="16.375" style="2713" customWidth="1"/>
    <col min="5389" max="5392" width="8.125" style="2713" customWidth="1"/>
    <col min="5393" max="5632" width="9" style="2713"/>
    <col min="5633" max="5633" width="6.375" style="2713" customWidth="1"/>
    <col min="5634" max="5634" width="19.375" style="2713" customWidth="1"/>
    <col min="5635" max="5635" width="7" style="2713" customWidth="1"/>
    <col min="5636" max="5636" width="3.25" style="2713" customWidth="1"/>
    <col min="5637" max="5637" width="7.375" style="2713" customWidth="1"/>
    <col min="5638" max="5638" width="3.5" style="2713" customWidth="1"/>
    <col min="5639" max="5639" width="19.375" style="2713" customWidth="1"/>
    <col min="5640" max="5640" width="19.5" style="2713" customWidth="1"/>
    <col min="5641" max="5641" width="8.625" style="2713" customWidth="1"/>
    <col min="5642" max="5642" width="10.5" style="2713" customWidth="1"/>
    <col min="5643" max="5643" width="4.875" style="2713" customWidth="1"/>
    <col min="5644" max="5644" width="16.375" style="2713" customWidth="1"/>
    <col min="5645" max="5648" width="8.125" style="2713" customWidth="1"/>
    <col min="5649" max="5888" width="9" style="2713"/>
    <col min="5889" max="5889" width="6.375" style="2713" customWidth="1"/>
    <col min="5890" max="5890" width="19.375" style="2713" customWidth="1"/>
    <col min="5891" max="5891" width="7" style="2713" customWidth="1"/>
    <col min="5892" max="5892" width="3.25" style="2713" customWidth="1"/>
    <col min="5893" max="5893" width="7.375" style="2713" customWidth="1"/>
    <col min="5894" max="5894" width="3.5" style="2713" customWidth="1"/>
    <col min="5895" max="5895" width="19.375" style="2713" customWidth="1"/>
    <col min="5896" max="5896" width="19.5" style="2713" customWidth="1"/>
    <col min="5897" max="5897" width="8.625" style="2713" customWidth="1"/>
    <col min="5898" max="5898" width="10.5" style="2713" customWidth="1"/>
    <col min="5899" max="5899" width="4.875" style="2713" customWidth="1"/>
    <col min="5900" max="5900" width="16.375" style="2713" customWidth="1"/>
    <col min="5901" max="5904" width="8.125" style="2713" customWidth="1"/>
    <col min="5905" max="6144" width="9" style="2713"/>
    <col min="6145" max="6145" width="6.375" style="2713" customWidth="1"/>
    <col min="6146" max="6146" width="19.375" style="2713" customWidth="1"/>
    <col min="6147" max="6147" width="7" style="2713" customWidth="1"/>
    <col min="6148" max="6148" width="3.25" style="2713" customWidth="1"/>
    <col min="6149" max="6149" width="7.375" style="2713" customWidth="1"/>
    <col min="6150" max="6150" width="3.5" style="2713" customWidth="1"/>
    <col min="6151" max="6151" width="19.375" style="2713" customWidth="1"/>
    <col min="6152" max="6152" width="19.5" style="2713" customWidth="1"/>
    <col min="6153" max="6153" width="8.625" style="2713" customWidth="1"/>
    <col min="6154" max="6154" width="10.5" style="2713" customWidth="1"/>
    <col min="6155" max="6155" width="4.875" style="2713" customWidth="1"/>
    <col min="6156" max="6156" width="16.375" style="2713" customWidth="1"/>
    <col min="6157" max="6160" width="8.125" style="2713" customWidth="1"/>
    <col min="6161" max="6400" width="9" style="2713"/>
    <col min="6401" max="6401" width="6.375" style="2713" customWidth="1"/>
    <col min="6402" max="6402" width="19.375" style="2713" customWidth="1"/>
    <col min="6403" max="6403" width="7" style="2713" customWidth="1"/>
    <col min="6404" max="6404" width="3.25" style="2713" customWidth="1"/>
    <col min="6405" max="6405" width="7.375" style="2713" customWidth="1"/>
    <col min="6406" max="6406" width="3.5" style="2713" customWidth="1"/>
    <col min="6407" max="6407" width="19.375" style="2713" customWidth="1"/>
    <col min="6408" max="6408" width="19.5" style="2713" customWidth="1"/>
    <col min="6409" max="6409" width="8.625" style="2713" customWidth="1"/>
    <col min="6410" max="6410" width="10.5" style="2713" customWidth="1"/>
    <col min="6411" max="6411" width="4.875" style="2713" customWidth="1"/>
    <col min="6412" max="6412" width="16.375" style="2713" customWidth="1"/>
    <col min="6413" max="6416" width="8.125" style="2713" customWidth="1"/>
    <col min="6417" max="6656" width="9" style="2713"/>
    <col min="6657" max="6657" width="6.375" style="2713" customWidth="1"/>
    <col min="6658" max="6658" width="19.375" style="2713" customWidth="1"/>
    <col min="6659" max="6659" width="7" style="2713" customWidth="1"/>
    <col min="6660" max="6660" width="3.25" style="2713" customWidth="1"/>
    <col min="6661" max="6661" width="7.375" style="2713" customWidth="1"/>
    <col min="6662" max="6662" width="3.5" style="2713" customWidth="1"/>
    <col min="6663" max="6663" width="19.375" style="2713" customWidth="1"/>
    <col min="6664" max="6664" width="19.5" style="2713" customWidth="1"/>
    <col min="6665" max="6665" width="8.625" style="2713" customWidth="1"/>
    <col min="6666" max="6666" width="10.5" style="2713" customWidth="1"/>
    <col min="6667" max="6667" width="4.875" style="2713" customWidth="1"/>
    <col min="6668" max="6668" width="16.375" style="2713" customWidth="1"/>
    <col min="6669" max="6672" width="8.125" style="2713" customWidth="1"/>
    <col min="6673" max="6912" width="9" style="2713"/>
    <col min="6913" max="6913" width="6.375" style="2713" customWidth="1"/>
    <col min="6914" max="6914" width="19.375" style="2713" customWidth="1"/>
    <col min="6915" max="6915" width="7" style="2713" customWidth="1"/>
    <col min="6916" max="6916" width="3.25" style="2713" customWidth="1"/>
    <col min="6917" max="6917" width="7.375" style="2713" customWidth="1"/>
    <col min="6918" max="6918" width="3.5" style="2713" customWidth="1"/>
    <col min="6919" max="6919" width="19.375" style="2713" customWidth="1"/>
    <col min="6920" max="6920" width="19.5" style="2713" customWidth="1"/>
    <col min="6921" max="6921" width="8.625" style="2713" customWidth="1"/>
    <col min="6922" max="6922" width="10.5" style="2713" customWidth="1"/>
    <col min="6923" max="6923" width="4.875" style="2713" customWidth="1"/>
    <col min="6924" max="6924" width="16.375" style="2713" customWidth="1"/>
    <col min="6925" max="6928" width="8.125" style="2713" customWidth="1"/>
    <col min="6929" max="7168" width="9" style="2713"/>
    <col min="7169" max="7169" width="6.375" style="2713" customWidth="1"/>
    <col min="7170" max="7170" width="19.375" style="2713" customWidth="1"/>
    <col min="7171" max="7171" width="7" style="2713" customWidth="1"/>
    <col min="7172" max="7172" width="3.25" style="2713" customWidth="1"/>
    <col min="7173" max="7173" width="7.375" style="2713" customWidth="1"/>
    <col min="7174" max="7174" width="3.5" style="2713" customWidth="1"/>
    <col min="7175" max="7175" width="19.375" style="2713" customWidth="1"/>
    <col min="7176" max="7176" width="19.5" style="2713" customWidth="1"/>
    <col min="7177" max="7177" width="8.625" style="2713" customWidth="1"/>
    <col min="7178" max="7178" width="10.5" style="2713" customWidth="1"/>
    <col min="7179" max="7179" width="4.875" style="2713" customWidth="1"/>
    <col min="7180" max="7180" width="16.375" style="2713" customWidth="1"/>
    <col min="7181" max="7184" width="8.125" style="2713" customWidth="1"/>
    <col min="7185" max="7424" width="9" style="2713"/>
    <col min="7425" max="7425" width="6.375" style="2713" customWidth="1"/>
    <col min="7426" max="7426" width="19.375" style="2713" customWidth="1"/>
    <col min="7427" max="7427" width="7" style="2713" customWidth="1"/>
    <col min="7428" max="7428" width="3.25" style="2713" customWidth="1"/>
    <col min="7429" max="7429" width="7.375" style="2713" customWidth="1"/>
    <col min="7430" max="7430" width="3.5" style="2713" customWidth="1"/>
    <col min="7431" max="7431" width="19.375" style="2713" customWidth="1"/>
    <col min="7432" max="7432" width="19.5" style="2713" customWidth="1"/>
    <col min="7433" max="7433" width="8.625" style="2713" customWidth="1"/>
    <col min="7434" max="7434" width="10.5" style="2713" customWidth="1"/>
    <col min="7435" max="7435" width="4.875" style="2713" customWidth="1"/>
    <col min="7436" max="7436" width="16.375" style="2713" customWidth="1"/>
    <col min="7437" max="7440" width="8.125" style="2713" customWidth="1"/>
    <col min="7441" max="7680" width="9" style="2713"/>
    <col min="7681" max="7681" width="6.375" style="2713" customWidth="1"/>
    <col min="7682" max="7682" width="19.375" style="2713" customWidth="1"/>
    <col min="7683" max="7683" width="7" style="2713" customWidth="1"/>
    <col min="7684" max="7684" width="3.25" style="2713" customWidth="1"/>
    <col min="7685" max="7685" width="7.375" style="2713" customWidth="1"/>
    <col min="7686" max="7686" width="3.5" style="2713" customWidth="1"/>
    <col min="7687" max="7687" width="19.375" style="2713" customWidth="1"/>
    <col min="7688" max="7688" width="19.5" style="2713" customWidth="1"/>
    <col min="7689" max="7689" width="8.625" style="2713" customWidth="1"/>
    <col min="7690" max="7690" width="10.5" style="2713" customWidth="1"/>
    <col min="7691" max="7691" width="4.875" style="2713" customWidth="1"/>
    <col min="7692" max="7692" width="16.375" style="2713" customWidth="1"/>
    <col min="7693" max="7696" width="8.125" style="2713" customWidth="1"/>
    <col min="7697" max="7936" width="9" style="2713"/>
    <col min="7937" max="7937" width="6.375" style="2713" customWidth="1"/>
    <col min="7938" max="7938" width="19.375" style="2713" customWidth="1"/>
    <col min="7939" max="7939" width="7" style="2713" customWidth="1"/>
    <col min="7940" max="7940" width="3.25" style="2713" customWidth="1"/>
    <col min="7941" max="7941" width="7.375" style="2713" customWidth="1"/>
    <col min="7942" max="7942" width="3.5" style="2713" customWidth="1"/>
    <col min="7943" max="7943" width="19.375" style="2713" customWidth="1"/>
    <col min="7944" max="7944" width="19.5" style="2713" customWidth="1"/>
    <col min="7945" max="7945" width="8.625" style="2713" customWidth="1"/>
    <col min="7946" max="7946" width="10.5" style="2713" customWidth="1"/>
    <col min="7947" max="7947" width="4.875" style="2713" customWidth="1"/>
    <col min="7948" max="7948" width="16.375" style="2713" customWidth="1"/>
    <col min="7949" max="7952" width="8.125" style="2713" customWidth="1"/>
    <col min="7953" max="8192" width="9" style="2713"/>
    <col min="8193" max="8193" width="6.375" style="2713" customWidth="1"/>
    <col min="8194" max="8194" width="19.375" style="2713" customWidth="1"/>
    <col min="8195" max="8195" width="7" style="2713" customWidth="1"/>
    <col min="8196" max="8196" width="3.25" style="2713" customWidth="1"/>
    <col min="8197" max="8197" width="7.375" style="2713" customWidth="1"/>
    <col min="8198" max="8198" width="3.5" style="2713" customWidth="1"/>
    <col min="8199" max="8199" width="19.375" style="2713" customWidth="1"/>
    <col min="8200" max="8200" width="19.5" style="2713" customWidth="1"/>
    <col min="8201" max="8201" width="8.625" style="2713" customWidth="1"/>
    <col min="8202" max="8202" width="10.5" style="2713" customWidth="1"/>
    <col min="8203" max="8203" width="4.875" style="2713" customWidth="1"/>
    <col min="8204" max="8204" width="16.375" style="2713" customWidth="1"/>
    <col min="8205" max="8208" width="8.125" style="2713" customWidth="1"/>
    <col min="8209" max="8448" width="9" style="2713"/>
    <col min="8449" max="8449" width="6.375" style="2713" customWidth="1"/>
    <col min="8450" max="8450" width="19.375" style="2713" customWidth="1"/>
    <col min="8451" max="8451" width="7" style="2713" customWidth="1"/>
    <col min="8452" max="8452" width="3.25" style="2713" customWidth="1"/>
    <col min="8453" max="8453" width="7.375" style="2713" customWidth="1"/>
    <col min="8454" max="8454" width="3.5" style="2713" customWidth="1"/>
    <col min="8455" max="8455" width="19.375" style="2713" customWidth="1"/>
    <col min="8456" max="8456" width="19.5" style="2713" customWidth="1"/>
    <col min="8457" max="8457" width="8.625" style="2713" customWidth="1"/>
    <col min="8458" max="8458" width="10.5" style="2713" customWidth="1"/>
    <col min="8459" max="8459" width="4.875" style="2713" customWidth="1"/>
    <col min="8460" max="8460" width="16.375" style="2713" customWidth="1"/>
    <col min="8461" max="8464" width="8.125" style="2713" customWidth="1"/>
    <col min="8465" max="8704" width="9" style="2713"/>
    <col min="8705" max="8705" width="6.375" style="2713" customWidth="1"/>
    <col min="8706" max="8706" width="19.375" style="2713" customWidth="1"/>
    <col min="8707" max="8707" width="7" style="2713" customWidth="1"/>
    <col min="8708" max="8708" width="3.25" style="2713" customWidth="1"/>
    <col min="8709" max="8709" width="7.375" style="2713" customWidth="1"/>
    <col min="8710" max="8710" width="3.5" style="2713" customWidth="1"/>
    <col min="8711" max="8711" width="19.375" style="2713" customWidth="1"/>
    <col min="8712" max="8712" width="19.5" style="2713" customWidth="1"/>
    <col min="8713" max="8713" width="8.625" style="2713" customWidth="1"/>
    <col min="8714" max="8714" width="10.5" style="2713" customWidth="1"/>
    <col min="8715" max="8715" width="4.875" style="2713" customWidth="1"/>
    <col min="8716" max="8716" width="16.375" style="2713" customWidth="1"/>
    <col min="8717" max="8720" width="8.125" style="2713" customWidth="1"/>
    <col min="8721" max="8960" width="9" style="2713"/>
    <col min="8961" max="8961" width="6.375" style="2713" customWidth="1"/>
    <col min="8962" max="8962" width="19.375" style="2713" customWidth="1"/>
    <col min="8963" max="8963" width="7" style="2713" customWidth="1"/>
    <col min="8964" max="8964" width="3.25" style="2713" customWidth="1"/>
    <col min="8965" max="8965" width="7.375" style="2713" customWidth="1"/>
    <col min="8966" max="8966" width="3.5" style="2713" customWidth="1"/>
    <col min="8967" max="8967" width="19.375" style="2713" customWidth="1"/>
    <col min="8968" max="8968" width="19.5" style="2713" customWidth="1"/>
    <col min="8969" max="8969" width="8.625" style="2713" customWidth="1"/>
    <col min="8970" max="8970" width="10.5" style="2713" customWidth="1"/>
    <col min="8971" max="8971" width="4.875" style="2713" customWidth="1"/>
    <col min="8972" max="8972" width="16.375" style="2713" customWidth="1"/>
    <col min="8973" max="8976" width="8.125" style="2713" customWidth="1"/>
    <col min="8977" max="9216" width="9" style="2713"/>
    <col min="9217" max="9217" width="6.375" style="2713" customWidth="1"/>
    <col min="9218" max="9218" width="19.375" style="2713" customWidth="1"/>
    <col min="9219" max="9219" width="7" style="2713" customWidth="1"/>
    <col min="9220" max="9220" width="3.25" style="2713" customWidth="1"/>
    <col min="9221" max="9221" width="7.375" style="2713" customWidth="1"/>
    <col min="9222" max="9222" width="3.5" style="2713" customWidth="1"/>
    <col min="9223" max="9223" width="19.375" style="2713" customWidth="1"/>
    <col min="9224" max="9224" width="19.5" style="2713" customWidth="1"/>
    <col min="9225" max="9225" width="8.625" style="2713" customWidth="1"/>
    <col min="9226" max="9226" width="10.5" style="2713" customWidth="1"/>
    <col min="9227" max="9227" width="4.875" style="2713" customWidth="1"/>
    <col min="9228" max="9228" width="16.375" style="2713" customWidth="1"/>
    <col min="9229" max="9232" width="8.125" style="2713" customWidth="1"/>
    <col min="9233" max="9472" width="9" style="2713"/>
    <col min="9473" max="9473" width="6.375" style="2713" customWidth="1"/>
    <col min="9474" max="9474" width="19.375" style="2713" customWidth="1"/>
    <col min="9475" max="9475" width="7" style="2713" customWidth="1"/>
    <col min="9476" max="9476" width="3.25" style="2713" customWidth="1"/>
    <col min="9477" max="9477" width="7.375" style="2713" customWidth="1"/>
    <col min="9478" max="9478" width="3.5" style="2713" customWidth="1"/>
    <col min="9479" max="9479" width="19.375" style="2713" customWidth="1"/>
    <col min="9480" max="9480" width="19.5" style="2713" customWidth="1"/>
    <col min="9481" max="9481" width="8.625" style="2713" customWidth="1"/>
    <col min="9482" max="9482" width="10.5" style="2713" customWidth="1"/>
    <col min="9483" max="9483" width="4.875" style="2713" customWidth="1"/>
    <col min="9484" max="9484" width="16.375" style="2713" customWidth="1"/>
    <col min="9485" max="9488" width="8.125" style="2713" customWidth="1"/>
    <col min="9489" max="9728" width="9" style="2713"/>
    <col min="9729" max="9729" width="6.375" style="2713" customWidth="1"/>
    <col min="9730" max="9730" width="19.375" style="2713" customWidth="1"/>
    <col min="9731" max="9731" width="7" style="2713" customWidth="1"/>
    <col min="9732" max="9732" width="3.25" style="2713" customWidth="1"/>
    <col min="9733" max="9733" width="7.375" style="2713" customWidth="1"/>
    <col min="9734" max="9734" width="3.5" style="2713" customWidth="1"/>
    <col min="9735" max="9735" width="19.375" style="2713" customWidth="1"/>
    <col min="9736" max="9736" width="19.5" style="2713" customWidth="1"/>
    <col min="9737" max="9737" width="8.625" style="2713" customWidth="1"/>
    <col min="9738" max="9738" width="10.5" style="2713" customWidth="1"/>
    <col min="9739" max="9739" width="4.875" style="2713" customWidth="1"/>
    <col min="9740" max="9740" width="16.375" style="2713" customWidth="1"/>
    <col min="9741" max="9744" width="8.125" style="2713" customWidth="1"/>
    <col min="9745" max="9984" width="9" style="2713"/>
    <col min="9985" max="9985" width="6.375" style="2713" customWidth="1"/>
    <col min="9986" max="9986" width="19.375" style="2713" customWidth="1"/>
    <col min="9987" max="9987" width="7" style="2713" customWidth="1"/>
    <col min="9988" max="9988" width="3.25" style="2713" customWidth="1"/>
    <col min="9989" max="9989" width="7.375" style="2713" customWidth="1"/>
    <col min="9990" max="9990" width="3.5" style="2713" customWidth="1"/>
    <col min="9991" max="9991" width="19.375" style="2713" customWidth="1"/>
    <col min="9992" max="9992" width="19.5" style="2713" customWidth="1"/>
    <col min="9993" max="9993" width="8.625" style="2713" customWidth="1"/>
    <col min="9994" max="9994" width="10.5" style="2713" customWidth="1"/>
    <col min="9995" max="9995" width="4.875" style="2713" customWidth="1"/>
    <col min="9996" max="9996" width="16.375" style="2713" customWidth="1"/>
    <col min="9997" max="10000" width="8.125" style="2713" customWidth="1"/>
    <col min="10001" max="10240" width="9" style="2713"/>
    <col min="10241" max="10241" width="6.375" style="2713" customWidth="1"/>
    <col min="10242" max="10242" width="19.375" style="2713" customWidth="1"/>
    <col min="10243" max="10243" width="7" style="2713" customWidth="1"/>
    <col min="10244" max="10244" width="3.25" style="2713" customWidth="1"/>
    <col min="10245" max="10245" width="7.375" style="2713" customWidth="1"/>
    <col min="10246" max="10246" width="3.5" style="2713" customWidth="1"/>
    <col min="10247" max="10247" width="19.375" style="2713" customWidth="1"/>
    <col min="10248" max="10248" width="19.5" style="2713" customWidth="1"/>
    <col min="10249" max="10249" width="8.625" style="2713" customWidth="1"/>
    <col min="10250" max="10250" width="10.5" style="2713" customWidth="1"/>
    <col min="10251" max="10251" width="4.875" style="2713" customWidth="1"/>
    <col min="10252" max="10252" width="16.375" style="2713" customWidth="1"/>
    <col min="10253" max="10256" width="8.125" style="2713" customWidth="1"/>
    <col min="10257" max="10496" width="9" style="2713"/>
    <col min="10497" max="10497" width="6.375" style="2713" customWidth="1"/>
    <col min="10498" max="10498" width="19.375" style="2713" customWidth="1"/>
    <col min="10499" max="10499" width="7" style="2713" customWidth="1"/>
    <col min="10500" max="10500" width="3.25" style="2713" customWidth="1"/>
    <col min="10501" max="10501" width="7.375" style="2713" customWidth="1"/>
    <col min="10502" max="10502" width="3.5" style="2713" customWidth="1"/>
    <col min="10503" max="10503" width="19.375" style="2713" customWidth="1"/>
    <col min="10504" max="10504" width="19.5" style="2713" customWidth="1"/>
    <col min="10505" max="10505" width="8.625" style="2713" customWidth="1"/>
    <col min="10506" max="10506" width="10.5" style="2713" customWidth="1"/>
    <col min="10507" max="10507" width="4.875" style="2713" customWidth="1"/>
    <col min="10508" max="10508" width="16.375" style="2713" customWidth="1"/>
    <col min="10509" max="10512" width="8.125" style="2713" customWidth="1"/>
    <col min="10513" max="10752" width="9" style="2713"/>
    <col min="10753" max="10753" width="6.375" style="2713" customWidth="1"/>
    <col min="10754" max="10754" width="19.375" style="2713" customWidth="1"/>
    <col min="10755" max="10755" width="7" style="2713" customWidth="1"/>
    <col min="10756" max="10756" width="3.25" style="2713" customWidth="1"/>
    <col min="10757" max="10757" width="7.375" style="2713" customWidth="1"/>
    <col min="10758" max="10758" width="3.5" style="2713" customWidth="1"/>
    <col min="10759" max="10759" width="19.375" style="2713" customWidth="1"/>
    <col min="10760" max="10760" width="19.5" style="2713" customWidth="1"/>
    <col min="10761" max="10761" width="8.625" style="2713" customWidth="1"/>
    <col min="10762" max="10762" width="10.5" style="2713" customWidth="1"/>
    <col min="10763" max="10763" width="4.875" style="2713" customWidth="1"/>
    <col min="10764" max="10764" width="16.375" style="2713" customWidth="1"/>
    <col min="10765" max="10768" width="8.125" style="2713" customWidth="1"/>
    <col min="10769" max="11008" width="9" style="2713"/>
    <col min="11009" max="11009" width="6.375" style="2713" customWidth="1"/>
    <col min="11010" max="11010" width="19.375" style="2713" customWidth="1"/>
    <col min="11011" max="11011" width="7" style="2713" customWidth="1"/>
    <col min="11012" max="11012" width="3.25" style="2713" customWidth="1"/>
    <col min="11013" max="11013" width="7.375" style="2713" customWidth="1"/>
    <col min="11014" max="11014" width="3.5" style="2713" customWidth="1"/>
    <col min="11015" max="11015" width="19.375" style="2713" customWidth="1"/>
    <col min="11016" max="11016" width="19.5" style="2713" customWidth="1"/>
    <col min="11017" max="11017" width="8.625" style="2713" customWidth="1"/>
    <col min="11018" max="11018" width="10.5" style="2713" customWidth="1"/>
    <col min="11019" max="11019" width="4.875" style="2713" customWidth="1"/>
    <col min="11020" max="11020" width="16.375" style="2713" customWidth="1"/>
    <col min="11021" max="11024" width="8.125" style="2713" customWidth="1"/>
    <col min="11025" max="11264" width="9" style="2713"/>
    <col min="11265" max="11265" width="6.375" style="2713" customWidth="1"/>
    <col min="11266" max="11266" width="19.375" style="2713" customWidth="1"/>
    <col min="11267" max="11267" width="7" style="2713" customWidth="1"/>
    <col min="11268" max="11268" width="3.25" style="2713" customWidth="1"/>
    <col min="11269" max="11269" width="7.375" style="2713" customWidth="1"/>
    <col min="11270" max="11270" width="3.5" style="2713" customWidth="1"/>
    <col min="11271" max="11271" width="19.375" style="2713" customWidth="1"/>
    <col min="11272" max="11272" width="19.5" style="2713" customWidth="1"/>
    <col min="11273" max="11273" width="8.625" style="2713" customWidth="1"/>
    <col min="11274" max="11274" width="10.5" style="2713" customWidth="1"/>
    <col min="11275" max="11275" width="4.875" style="2713" customWidth="1"/>
    <col min="11276" max="11276" width="16.375" style="2713" customWidth="1"/>
    <col min="11277" max="11280" width="8.125" style="2713" customWidth="1"/>
    <col min="11281" max="11520" width="9" style="2713"/>
    <col min="11521" max="11521" width="6.375" style="2713" customWidth="1"/>
    <col min="11522" max="11522" width="19.375" style="2713" customWidth="1"/>
    <col min="11523" max="11523" width="7" style="2713" customWidth="1"/>
    <col min="11524" max="11524" width="3.25" style="2713" customWidth="1"/>
    <col min="11525" max="11525" width="7.375" style="2713" customWidth="1"/>
    <col min="11526" max="11526" width="3.5" style="2713" customWidth="1"/>
    <col min="11527" max="11527" width="19.375" style="2713" customWidth="1"/>
    <col min="11528" max="11528" width="19.5" style="2713" customWidth="1"/>
    <col min="11529" max="11529" width="8.625" style="2713" customWidth="1"/>
    <col min="11530" max="11530" width="10.5" style="2713" customWidth="1"/>
    <col min="11531" max="11531" width="4.875" style="2713" customWidth="1"/>
    <col min="11532" max="11532" width="16.375" style="2713" customWidth="1"/>
    <col min="11533" max="11536" width="8.125" style="2713" customWidth="1"/>
    <col min="11537" max="11776" width="9" style="2713"/>
    <col min="11777" max="11777" width="6.375" style="2713" customWidth="1"/>
    <col min="11778" max="11778" width="19.375" style="2713" customWidth="1"/>
    <col min="11779" max="11779" width="7" style="2713" customWidth="1"/>
    <col min="11780" max="11780" width="3.25" style="2713" customWidth="1"/>
    <col min="11781" max="11781" width="7.375" style="2713" customWidth="1"/>
    <col min="11782" max="11782" width="3.5" style="2713" customWidth="1"/>
    <col min="11783" max="11783" width="19.375" style="2713" customWidth="1"/>
    <col min="11784" max="11784" width="19.5" style="2713" customWidth="1"/>
    <col min="11785" max="11785" width="8.625" style="2713" customWidth="1"/>
    <col min="11786" max="11786" width="10.5" style="2713" customWidth="1"/>
    <col min="11787" max="11787" width="4.875" style="2713" customWidth="1"/>
    <col min="11788" max="11788" width="16.375" style="2713" customWidth="1"/>
    <col min="11789" max="11792" width="8.125" style="2713" customWidth="1"/>
    <col min="11793" max="12032" width="9" style="2713"/>
    <col min="12033" max="12033" width="6.375" style="2713" customWidth="1"/>
    <col min="12034" max="12034" width="19.375" style="2713" customWidth="1"/>
    <col min="12035" max="12035" width="7" style="2713" customWidth="1"/>
    <col min="12036" max="12036" width="3.25" style="2713" customWidth="1"/>
    <col min="12037" max="12037" width="7.375" style="2713" customWidth="1"/>
    <col min="12038" max="12038" width="3.5" style="2713" customWidth="1"/>
    <col min="12039" max="12039" width="19.375" style="2713" customWidth="1"/>
    <col min="12040" max="12040" width="19.5" style="2713" customWidth="1"/>
    <col min="12041" max="12041" width="8.625" style="2713" customWidth="1"/>
    <col min="12042" max="12042" width="10.5" style="2713" customWidth="1"/>
    <col min="12043" max="12043" width="4.875" style="2713" customWidth="1"/>
    <col min="12044" max="12044" width="16.375" style="2713" customWidth="1"/>
    <col min="12045" max="12048" width="8.125" style="2713" customWidth="1"/>
    <col min="12049" max="12288" width="9" style="2713"/>
    <col min="12289" max="12289" width="6.375" style="2713" customWidth="1"/>
    <col min="12290" max="12290" width="19.375" style="2713" customWidth="1"/>
    <col min="12291" max="12291" width="7" style="2713" customWidth="1"/>
    <col min="12292" max="12292" width="3.25" style="2713" customWidth="1"/>
    <col min="12293" max="12293" width="7.375" style="2713" customWidth="1"/>
    <col min="12294" max="12294" width="3.5" style="2713" customWidth="1"/>
    <col min="12295" max="12295" width="19.375" style="2713" customWidth="1"/>
    <col min="12296" max="12296" width="19.5" style="2713" customWidth="1"/>
    <col min="12297" max="12297" width="8.625" style="2713" customWidth="1"/>
    <col min="12298" max="12298" width="10.5" style="2713" customWidth="1"/>
    <col min="12299" max="12299" width="4.875" style="2713" customWidth="1"/>
    <col min="12300" max="12300" width="16.375" style="2713" customWidth="1"/>
    <col min="12301" max="12304" width="8.125" style="2713" customWidth="1"/>
    <col min="12305" max="12544" width="9" style="2713"/>
    <col min="12545" max="12545" width="6.375" style="2713" customWidth="1"/>
    <col min="12546" max="12546" width="19.375" style="2713" customWidth="1"/>
    <col min="12547" max="12547" width="7" style="2713" customWidth="1"/>
    <col min="12548" max="12548" width="3.25" style="2713" customWidth="1"/>
    <col min="12549" max="12549" width="7.375" style="2713" customWidth="1"/>
    <col min="12550" max="12550" width="3.5" style="2713" customWidth="1"/>
    <col min="12551" max="12551" width="19.375" style="2713" customWidth="1"/>
    <col min="12552" max="12552" width="19.5" style="2713" customWidth="1"/>
    <col min="12553" max="12553" width="8.625" style="2713" customWidth="1"/>
    <col min="12554" max="12554" width="10.5" style="2713" customWidth="1"/>
    <col min="12555" max="12555" width="4.875" style="2713" customWidth="1"/>
    <col min="12556" max="12556" width="16.375" style="2713" customWidth="1"/>
    <col min="12557" max="12560" width="8.125" style="2713" customWidth="1"/>
    <col min="12561" max="12800" width="9" style="2713"/>
    <col min="12801" max="12801" width="6.375" style="2713" customWidth="1"/>
    <col min="12802" max="12802" width="19.375" style="2713" customWidth="1"/>
    <col min="12803" max="12803" width="7" style="2713" customWidth="1"/>
    <col min="12804" max="12804" width="3.25" style="2713" customWidth="1"/>
    <col min="12805" max="12805" width="7.375" style="2713" customWidth="1"/>
    <col min="12806" max="12806" width="3.5" style="2713" customWidth="1"/>
    <col min="12807" max="12807" width="19.375" style="2713" customWidth="1"/>
    <col min="12808" max="12808" width="19.5" style="2713" customWidth="1"/>
    <col min="12809" max="12809" width="8.625" style="2713" customWidth="1"/>
    <col min="12810" max="12810" width="10.5" style="2713" customWidth="1"/>
    <col min="12811" max="12811" width="4.875" style="2713" customWidth="1"/>
    <col min="12812" max="12812" width="16.375" style="2713" customWidth="1"/>
    <col min="12813" max="12816" width="8.125" style="2713" customWidth="1"/>
    <col min="12817" max="13056" width="9" style="2713"/>
    <col min="13057" max="13057" width="6.375" style="2713" customWidth="1"/>
    <col min="13058" max="13058" width="19.375" style="2713" customWidth="1"/>
    <col min="13059" max="13059" width="7" style="2713" customWidth="1"/>
    <col min="13060" max="13060" width="3.25" style="2713" customWidth="1"/>
    <col min="13061" max="13061" width="7.375" style="2713" customWidth="1"/>
    <col min="13062" max="13062" width="3.5" style="2713" customWidth="1"/>
    <col min="13063" max="13063" width="19.375" style="2713" customWidth="1"/>
    <col min="13064" max="13064" width="19.5" style="2713" customWidth="1"/>
    <col min="13065" max="13065" width="8.625" style="2713" customWidth="1"/>
    <col min="13066" max="13066" width="10.5" style="2713" customWidth="1"/>
    <col min="13067" max="13067" width="4.875" style="2713" customWidth="1"/>
    <col min="13068" max="13068" width="16.375" style="2713" customWidth="1"/>
    <col min="13069" max="13072" width="8.125" style="2713" customWidth="1"/>
    <col min="13073" max="13312" width="9" style="2713"/>
    <col min="13313" max="13313" width="6.375" style="2713" customWidth="1"/>
    <col min="13314" max="13314" width="19.375" style="2713" customWidth="1"/>
    <col min="13315" max="13315" width="7" style="2713" customWidth="1"/>
    <col min="13316" max="13316" width="3.25" style="2713" customWidth="1"/>
    <col min="13317" max="13317" width="7.375" style="2713" customWidth="1"/>
    <col min="13318" max="13318" width="3.5" style="2713" customWidth="1"/>
    <col min="13319" max="13319" width="19.375" style="2713" customWidth="1"/>
    <col min="13320" max="13320" width="19.5" style="2713" customWidth="1"/>
    <col min="13321" max="13321" width="8.625" style="2713" customWidth="1"/>
    <col min="13322" max="13322" width="10.5" style="2713" customWidth="1"/>
    <col min="13323" max="13323" width="4.875" style="2713" customWidth="1"/>
    <col min="13324" max="13324" width="16.375" style="2713" customWidth="1"/>
    <col min="13325" max="13328" width="8.125" style="2713" customWidth="1"/>
    <col min="13329" max="13568" width="9" style="2713"/>
    <col min="13569" max="13569" width="6.375" style="2713" customWidth="1"/>
    <col min="13570" max="13570" width="19.375" style="2713" customWidth="1"/>
    <col min="13571" max="13571" width="7" style="2713" customWidth="1"/>
    <col min="13572" max="13572" width="3.25" style="2713" customWidth="1"/>
    <col min="13573" max="13573" width="7.375" style="2713" customWidth="1"/>
    <col min="13574" max="13574" width="3.5" style="2713" customWidth="1"/>
    <col min="13575" max="13575" width="19.375" style="2713" customWidth="1"/>
    <col min="13576" max="13576" width="19.5" style="2713" customWidth="1"/>
    <col min="13577" max="13577" width="8.625" style="2713" customWidth="1"/>
    <col min="13578" max="13578" width="10.5" style="2713" customWidth="1"/>
    <col min="13579" max="13579" width="4.875" style="2713" customWidth="1"/>
    <col min="13580" max="13580" width="16.375" style="2713" customWidth="1"/>
    <col min="13581" max="13584" width="8.125" style="2713" customWidth="1"/>
    <col min="13585" max="13824" width="9" style="2713"/>
    <col min="13825" max="13825" width="6.375" style="2713" customWidth="1"/>
    <col min="13826" max="13826" width="19.375" style="2713" customWidth="1"/>
    <col min="13827" max="13827" width="7" style="2713" customWidth="1"/>
    <col min="13828" max="13828" width="3.25" style="2713" customWidth="1"/>
    <col min="13829" max="13829" width="7.375" style="2713" customWidth="1"/>
    <col min="13830" max="13830" width="3.5" style="2713" customWidth="1"/>
    <col min="13831" max="13831" width="19.375" style="2713" customWidth="1"/>
    <col min="13832" max="13832" width="19.5" style="2713" customWidth="1"/>
    <col min="13833" max="13833" width="8.625" style="2713" customWidth="1"/>
    <col min="13834" max="13834" width="10.5" style="2713" customWidth="1"/>
    <col min="13835" max="13835" width="4.875" style="2713" customWidth="1"/>
    <col min="13836" max="13836" width="16.375" style="2713" customWidth="1"/>
    <col min="13837" max="13840" width="8.125" style="2713" customWidth="1"/>
    <col min="13841" max="14080" width="9" style="2713"/>
    <col min="14081" max="14081" width="6.375" style="2713" customWidth="1"/>
    <col min="14082" max="14082" width="19.375" style="2713" customWidth="1"/>
    <col min="14083" max="14083" width="7" style="2713" customWidth="1"/>
    <col min="14084" max="14084" width="3.25" style="2713" customWidth="1"/>
    <col min="14085" max="14085" width="7.375" style="2713" customWidth="1"/>
    <col min="14086" max="14086" width="3.5" style="2713" customWidth="1"/>
    <col min="14087" max="14087" width="19.375" style="2713" customWidth="1"/>
    <col min="14088" max="14088" width="19.5" style="2713" customWidth="1"/>
    <col min="14089" max="14089" width="8.625" style="2713" customWidth="1"/>
    <col min="14090" max="14090" width="10.5" style="2713" customWidth="1"/>
    <col min="14091" max="14091" width="4.875" style="2713" customWidth="1"/>
    <col min="14092" max="14092" width="16.375" style="2713" customWidth="1"/>
    <col min="14093" max="14096" width="8.125" style="2713" customWidth="1"/>
    <col min="14097" max="14336" width="9" style="2713"/>
    <col min="14337" max="14337" width="6.375" style="2713" customWidth="1"/>
    <col min="14338" max="14338" width="19.375" style="2713" customWidth="1"/>
    <col min="14339" max="14339" width="7" style="2713" customWidth="1"/>
    <col min="14340" max="14340" width="3.25" style="2713" customWidth="1"/>
    <col min="14341" max="14341" width="7.375" style="2713" customWidth="1"/>
    <col min="14342" max="14342" width="3.5" style="2713" customWidth="1"/>
    <col min="14343" max="14343" width="19.375" style="2713" customWidth="1"/>
    <col min="14344" max="14344" width="19.5" style="2713" customWidth="1"/>
    <col min="14345" max="14345" width="8.625" style="2713" customWidth="1"/>
    <col min="14346" max="14346" width="10.5" style="2713" customWidth="1"/>
    <col min="14347" max="14347" width="4.875" style="2713" customWidth="1"/>
    <col min="14348" max="14348" width="16.375" style="2713" customWidth="1"/>
    <col min="14349" max="14352" width="8.125" style="2713" customWidth="1"/>
    <col min="14353" max="14592" width="9" style="2713"/>
    <col min="14593" max="14593" width="6.375" style="2713" customWidth="1"/>
    <col min="14594" max="14594" width="19.375" style="2713" customWidth="1"/>
    <col min="14595" max="14595" width="7" style="2713" customWidth="1"/>
    <col min="14596" max="14596" width="3.25" style="2713" customWidth="1"/>
    <col min="14597" max="14597" width="7.375" style="2713" customWidth="1"/>
    <col min="14598" max="14598" width="3.5" style="2713" customWidth="1"/>
    <col min="14599" max="14599" width="19.375" style="2713" customWidth="1"/>
    <col min="14600" max="14600" width="19.5" style="2713" customWidth="1"/>
    <col min="14601" max="14601" width="8.625" style="2713" customWidth="1"/>
    <col min="14602" max="14602" width="10.5" style="2713" customWidth="1"/>
    <col min="14603" max="14603" width="4.875" style="2713" customWidth="1"/>
    <col min="14604" max="14604" width="16.375" style="2713" customWidth="1"/>
    <col min="14605" max="14608" width="8.125" style="2713" customWidth="1"/>
    <col min="14609" max="14848" width="9" style="2713"/>
    <col min="14849" max="14849" width="6.375" style="2713" customWidth="1"/>
    <col min="14850" max="14850" width="19.375" style="2713" customWidth="1"/>
    <col min="14851" max="14851" width="7" style="2713" customWidth="1"/>
    <col min="14852" max="14852" width="3.25" style="2713" customWidth="1"/>
    <col min="14853" max="14853" width="7.375" style="2713" customWidth="1"/>
    <col min="14854" max="14854" width="3.5" style="2713" customWidth="1"/>
    <col min="14855" max="14855" width="19.375" style="2713" customWidth="1"/>
    <col min="14856" max="14856" width="19.5" style="2713" customWidth="1"/>
    <col min="14857" max="14857" width="8.625" style="2713" customWidth="1"/>
    <col min="14858" max="14858" width="10.5" style="2713" customWidth="1"/>
    <col min="14859" max="14859" width="4.875" style="2713" customWidth="1"/>
    <col min="14860" max="14860" width="16.375" style="2713" customWidth="1"/>
    <col min="14861" max="14864" width="8.125" style="2713" customWidth="1"/>
    <col min="14865" max="15104" width="9" style="2713"/>
    <col min="15105" max="15105" width="6.375" style="2713" customWidth="1"/>
    <col min="15106" max="15106" width="19.375" style="2713" customWidth="1"/>
    <col min="15107" max="15107" width="7" style="2713" customWidth="1"/>
    <col min="15108" max="15108" width="3.25" style="2713" customWidth="1"/>
    <col min="15109" max="15109" width="7.375" style="2713" customWidth="1"/>
    <col min="15110" max="15110" width="3.5" style="2713" customWidth="1"/>
    <col min="15111" max="15111" width="19.375" style="2713" customWidth="1"/>
    <col min="15112" max="15112" width="19.5" style="2713" customWidth="1"/>
    <col min="15113" max="15113" width="8.625" style="2713" customWidth="1"/>
    <col min="15114" max="15114" width="10.5" style="2713" customWidth="1"/>
    <col min="15115" max="15115" width="4.875" style="2713" customWidth="1"/>
    <col min="15116" max="15116" width="16.375" style="2713" customWidth="1"/>
    <col min="15117" max="15120" width="8.125" style="2713" customWidth="1"/>
    <col min="15121" max="15360" width="9" style="2713"/>
    <col min="15361" max="15361" width="6.375" style="2713" customWidth="1"/>
    <col min="15362" max="15362" width="19.375" style="2713" customWidth="1"/>
    <col min="15363" max="15363" width="7" style="2713" customWidth="1"/>
    <col min="15364" max="15364" width="3.25" style="2713" customWidth="1"/>
    <col min="15365" max="15365" width="7.375" style="2713" customWidth="1"/>
    <col min="15366" max="15366" width="3.5" style="2713" customWidth="1"/>
    <col min="15367" max="15367" width="19.375" style="2713" customWidth="1"/>
    <col min="15368" max="15368" width="19.5" style="2713" customWidth="1"/>
    <col min="15369" max="15369" width="8.625" style="2713" customWidth="1"/>
    <col min="15370" max="15370" width="10.5" style="2713" customWidth="1"/>
    <col min="15371" max="15371" width="4.875" style="2713" customWidth="1"/>
    <col min="15372" max="15372" width="16.375" style="2713" customWidth="1"/>
    <col min="15373" max="15376" width="8.125" style="2713" customWidth="1"/>
    <col min="15377" max="15616" width="9" style="2713"/>
    <col min="15617" max="15617" width="6.375" style="2713" customWidth="1"/>
    <col min="15618" max="15618" width="19.375" style="2713" customWidth="1"/>
    <col min="15619" max="15619" width="7" style="2713" customWidth="1"/>
    <col min="15620" max="15620" width="3.25" style="2713" customWidth="1"/>
    <col min="15621" max="15621" width="7.375" style="2713" customWidth="1"/>
    <col min="15622" max="15622" width="3.5" style="2713" customWidth="1"/>
    <col min="15623" max="15623" width="19.375" style="2713" customWidth="1"/>
    <col min="15624" max="15624" width="19.5" style="2713" customWidth="1"/>
    <col min="15625" max="15625" width="8.625" style="2713" customWidth="1"/>
    <col min="15626" max="15626" width="10.5" style="2713" customWidth="1"/>
    <col min="15627" max="15627" width="4.875" style="2713" customWidth="1"/>
    <col min="15628" max="15628" width="16.375" style="2713" customWidth="1"/>
    <col min="15629" max="15632" width="8.125" style="2713" customWidth="1"/>
    <col min="15633" max="15872" width="9" style="2713"/>
    <col min="15873" max="15873" width="6.375" style="2713" customWidth="1"/>
    <col min="15874" max="15874" width="19.375" style="2713" customWidth="1"/>
    <col min="15875" max="15875" width="7" style="2713" customWidth="1"/>
    <col min="15876" max="15876" width="3.25" style="2713" customWidth="1"/>
    <col min="15877" max="15877" width="7.375" style="2713" customWidth="1"/>
    <col min="15878" max="15878" width="3.5" style="2713" customWidth="1"/>
    <col min="15879" max="15879" width="19.375" style="2713" customWidth="1"/>
    <col min="15880" max="15880" width="19.5" style="2713" customWidth="1"/>
    <col min="15881" max="15881" width="8.625" style="2713" customWidth="1"/>
    <col min="15882" max="15882" width="10.5" style="2713" customWidth="1"/>
    <col min="15883" max="15883" width="4.875" style="2713" customWidth="1"/>
    <col min="15884" max="15884" width="16.375" style="2713" customWidth="1"/>
    <col min="15885" max="15888" width="8.125" style="2713" customWidth="1"/>
    <col min="15889" max="16128" width="9" style="2713"/>
    <col min="16129" max="16129" width="6.375" style="2713" customWidth="1"/>
    <col min="16130" max="16130" width="19.375" style="2713" customWidth="1"/>
    <col min="16131" max="16131" width="7" style="2713" customWidth="1"/>
    <col min="16132" max="16132" width="3.25" style="2713" customWidth="1"/>
    <col min="16133" max="16133" width="7.375" style="2713" customWidth="1"/>
    <col min="16134" max="16134" width="3.5" style="2713" customWidth="1"/>
    <col min="16135" max="16135" width="19.375" style="2713" customWidth="1"/>
    <col min="16136" max="16136" width="19.5" style="2713" customWidth="1"/>
    <col min="16137" max="16137" width="8.625" style="2713" customWidth="1"/>
    <col min="16138" max="16138" width="10.5" style="2713" customWidth="1"/>
    <col min="16139" max="16139" width="4.875" style="2713" customWidth="1"/>
    <col min="16140" max="16140" width="16.375" style="2713" customWidth="1"/>
    <col min="16141" max="16144" width="8.125" style="2713" customWidth="1"/>
    <col min="16145" max="16384" width="9" style="2713"/>
  </cols>
  <sheetData>
    <row r="1" spans="1:16">
      <c r="A1" s="3210" t="s">
        <v>2800</v>
      </c>
      <c r="B1" s="3210"/>
      <c r="C1" s="3210"/>
      <c r="D1" s="3210"/>
      <c r="E1" s="3210"/>
      <c r="F1" s="3210"/>
      <c r="G1" s="3210"/>
      <c r="H1" s="3210"/>
      <c r="I1" s="3210"/>
      <c r="K1" s="3211" t="s">
        <v>2801</v>
      </c>
      <c r="L1" s="2710" t="s">
        <v>2802</v>
      </c>
      <c r="M1" s="2711">
        <v>0</v>
      </c>
      <c r="N1" s="2712"/>
      <c r="O1" s="2712"/>
    </row>
    <row r="2" spans="1:16" ht="15.75" customHeight="1">
      <c r="A2" s="2714" t="s">
        <v>2803</v>
      </c>
      <c r="B2" s="2715" t="s">
        <v>2804</v>
      </c>
      <c r="C2" s="3174" t="s">
        <v>2805</v>
      </c>
      <c r="D2" s="3175"/>
      <c r="E2" s="3175"/>
      <c r="F2" s="3176"/>
      <c r="G2" s="2716" t="s">
        <v>2806</v>
      </c>
      <c r="H2" s="3190" t="s">
        <v>2807</v>
      </c>
      <c r="I2" s="3190"/>
      <c r="K2" s="3211"/>
      <c r="L2" s="2710" t="s">
        <v>2808</v>
      </c>
      <c r="M2" s="2717" t="s">
        <v>2809</v>
      </c>
      <c r="N2" s="2718"/>
      <c r="O2" s="2718"/>
    </row>
    <row r="3" spans="1:16">
      <c r="A3" s="2719" t="s">
        <v>2810</v>
      </c>
      <c r="B3" s="2720" t="s">
        <v>2811</v>
      </c>
      <c r="C3" s="3174">
        <f ca="1">成本法!B2</f>
        <v>4926658</v>
      </c>
      <c r="D3" s="3175"/>
      <c r="E3" s="3175"/>
      <c r="F3" s="3176"/>
      <c r="G3" s="2719" t="s">
        <v>2812</v>
      </c>
      <c r="H3" s="2721" t="s">
        <v>2813</v>
      </c>
      <c r="I3" s="2722">
        <f>项目基本情况!C12</f>
        <v>110</v>
      </c>
      <c r="K3" s="3211"/>
      <c r="L3" s="2710" t="s">
        <v>2814</v>
      </c>
      <c r="M3" s="2717" t="s">
        <v>2815</v>
      </c>
      <c r="N3" s="2718"/>
      <c r="O3" s="2723"/>
    </row>
    <row r="4" spans="1:16">
      <c r="A4" s="3177" t="s">
        <v>2816</v>
      </c>
      <c r="B4" s="3183" t="s">
        <v>2817</v>
      </c>
      <c r="C4" s="3212">
        <f ca="1">ROUND(C3*(I4-I6)/(1-((1+I6)/(1+I4))^I5),0)</f>
        <v>140497</v>
      </c>
      <c r="D4" s="3213"/>
      <c r="E4" s="3213"/>
      <c r="F4" s="3214"/>
      <c r="G4" s="3177" t="s">
        <v>2818</v>
      </c>
      <c r="H4" s="2724" t="s">
        <v>2819</v>
      </c>
      <c r="I4" s="2725">
        <f>'数据-取费表'!B16</f>
        <v>0.04</v>
      </c>
      <c r="K4" s="3211"/>
      <c r="L4" s="2710" t="s">
        <v>2820</v>
      </c>
      <c r="M4" s="2726">
        <f>ROUND(1-(1-M1)*M2/M3,2)</f>
        <v>0.55000000000000004</v>
      </c>
      <c r="N4" s="2718"/>
      <c r="O4" s="2718"/>
    </row>
    <row r="5" spans="1:16" s="2730" customFormat="1" ht="18" customHeight="1">
      <c r="A5" s="3177"/>
      <c r="B5" s="3183"/>
      <c r="C5" s="3215"/>
      <c r="D5" s="3216"/>
      <c r="E5" s="3216"/>
      <c r="F5" s="3217"/>
      <c r="G5" s="3177"/>
      <c r="H5" s="2720" t="s">
        <v>2821</v>
      </c>
      <c r="I5" s="2727">
        <f>'数据-取费表'!B13</f>
        <v>40</v>
      </c>
      <c r="J5" s="2728"/>
      <c r="K5" s="3211"/>
      <c r="L5" s="2710" t="s">
        <v>2822</v>
      </c>
      <c r="M5" s="2729">
        <v>0.5</v>
      </c>
      <c r="N5" s="2718"/>
      <c r="O5" s="2718"/>
    </row>
    <row r="6" spans="1:16" s="2730" customFormat="1" ht="18" customHeight="1">
      <c r="A6" s="3177"/>
      <c r="B6" s="3183"/>
      <c r="C6" s="3218"/>
      <c r="D6" s="3219"/>
      <c r="E6" s="3219"/>
      <c r="F6" s="3220"/>
      <c r="G6" s="3177"/>
      <c r="H6" s="2720" t="s">
        <v>2823</v>
      </c>
      <c r="I6" s="2725">
        <f>'数据-取费表'!B31</f>
        <v>3.5000000000000003E-2</v>
      </c>
      <c r="J6" s="2731"/>
      <c r="K6" s="3221" t="s">
        <v>2824</v>
      </c>
      <c r="L6" s="2732" t="s">
        <v>2825</v>
      </c>
      <c r="M6" s="2733" t="s">
        <v>2826</v>
      </c>
      <c r="N6" s="2733" t="s">
        <v>2827</v>
      </c>
      <c r="O6" s="2733" t="s">
        <v>2828</v>
      </c>
      <c r="P6" s="2733" t="s">
        <v>2829</v>
      </c>
    </row>
    <row r="7" spans="1:16" s="2730" customFormat="1" ht="18" customHeight="1">
      <c r="A7" s="2719" t="s">
        <v>2830</v>
      </c>
      <c r="B7" s="2720" t="s">
        <v>2831</v>
      </c>
      <c r="C7" s="3174">
        <f ca="1">ROUND(C23*I7,0)</f>
        <v>100712</v>
      </c>
      <c r="D7" s="3175"/>
      <c r="E7" s="3175"/>
      <c r="F7" s="3176"/>
      <c r="G7" s="2716" t="s">
        <v>2832</v>
      </c>
      <c r="H7" s="2720" t="s">
        <v>2833</v>
      </c>
      <c r="I7" s="2734">
        <f>'数据-取费表'!E20</f>
        <v>0.6</v>
      </c>
      <c r="K7" s="3221"/>
      <c r="L7" s="2732" t="s">
        <v>2834</v>
      </c>
      <c r="M7" s="2733">
        <v>100</v>
      </c>
      <c r="N7" s="2733" t="s">
        <v>2835</v>
      </c>
      <c r="O7" s="2733">
        <v>80</v>
      </c>
      <c r="P7" s="2735">
        <v>0.3</v>
      </c>
    </row>
    <row r="8" spans="1:16" s="2730" customFormat="1" ht="18" customHeight="1">
      <c r="A8" s="2714" t="s">
        <v>2836</v>
      </c>
      <c r="B8" s="2720" t="s">
        <v>2837</v>
      </c>
      <c r="C8" s="3174">
        <f>ROUND(I8*I3,0)</f>
        <v>110000</v>
      </c>
      <c r="D8" s="3175"/>
      <c r="E8" s="3175"/>
      <c r="F8" s="3176"/>
      <c r="G8" s="2716" t="s">
        <v>2838</v>
      </c>
      <c r="H8" s="2720" t="s">
        <v>2839</v>
      </c>
      <c r="I8" s="2716">
        <f>'数据-取费表'!E17</f>
        <v>1000</v>
      </c>
      <c r="J8" s="2736">
        <f>D35</f>
        <v>4.5999999999999996</v>
      </c>
      <c r="K8" s="3221"/>
      <c r="L8" s="2732" t="s">
        <v>2840</v>
      </c>
      <c r="M8" s="2733">
        <v>100</v>
      </c>
      <c r="N8" s="2733" t="s">
        <v>2841</v>
      </c>
      <c r="O8" s="2733">
        <v>80</v>
      </c>
      <c r="P8" s="2735">
        <v>0.5</v>
      </c>
    </row>
    <row r="9" spans="1:16" s="2730" customFormat="1" ht="18" customHeight="1">
      <c r="A9" s="2714" t="s">
        <v>2842</v>
      </c>
      <c r="B9" s="2720" t="s">
        <v>2843</v>
      </c>
      <c r="C9" s="3174">
        <f>ROUND(C8*H9,0)</f>
        <v>3300</v>
      </c>
      <c r="D9" s="3175"/>
      <c r="E9" s="3175"/>
      <c r="F9" s="3176"/>
      <c r="G9" s="2716" t="s">
        <v>2844</v>
      </c>
      <c r="H9" s="3203">
        <f>'数据-取费表'!E21</f>
        <v>0.03</v>
      </c>
      <c r="I9" s="3203"/>
      <c r="J9" s="2736">
        <f ca="1">D36</f>
        <v>4.6500000000000004</v>
      </c>
      <c r="K9" s="3221"/>
      <c r="L9" s="2732" t="s">
        <v>2845</v>
      </c>
      <c r="M9" s="2733">
        <v>100</v>
      </c>
      <c r="N9" s="2733" t="s">
        <v>2841</v>
      </c>
      <c r="O9" s="2733">
        <v>80</v>
      </c>
      <c r="P9" s="2735">
        <f>1-P7-P8</f>
        <v>0.19999999999999996</v>
      </c>
    </row>
    <row r="10" spans="1:16" s="2730" customFormat="1" ht="18" customHeight="1">
      <c r="A10" s="2714" t="s">
        <v>2846</v>
      </c>
      <c r="B10" s="2720" t="s">
        <v>2847</v>
      </c>
      <c r="C10" s="3174">
        <f>ROUND(C8*H10,0)</f>
        <v>0</v>
      </c>
      <c r="D10" s="3175"/>
      <c r="E10" s="3175"/>
      <c r="F10" s="3176"/>
      <c r="G10" s="2716" t="s">
        <v>2848</v>
      </c>
      <c r="H10" s="3203">
        <v>0</v>
      </c>
      <c r="I10" s="3203"/>
      <c r="J10" s="2736">
        <f ca="1">D37</f>
        <v>4.5999999999999996</v>
      </c>
      <c r="K10" s="3221"/>
      <c r="L10" s="2737" t="s">
        <v>2849</v>
      </c>
      <c r="M10" s="2738">
        <f>1-M5</f>
        <v>0.5</v>
      </c>
      <c r="N10" s="2733" t="s">
        <v>2850</v>
      </c>
      <c r="O10" s="2739">
        <f>ROUND((O7*P7+O8*P8+O9*P9)/100,2)</f>
        <v>0.8</v>
      </c>
      <c r="P10" s="2740"/>
    </row>
    <row r="11" spans="1:16" s="2730" customFormat="1" ht="29.25" customHeight="1">
      <c r="A11" s="2714" t="s">
        <v>2851</v>
      </c>
      <c r="B11" s="2720" t="s">
        <v>2852</v>
      </c>
      <c r="C11" s="3174">
        <f>ROUND(I11*I3,0)</f>
        <v>22000</v>
      </c>
      <c r="D11" s="3175"/>
      <c r="E11" s="3175"/>
      <c r="F11" s="3176"/>
      <c r="G11" s="2716" t="s">
        <v>2853</v>
      </c>
      <c r="H11" s="2720" t="s">
        <v>2854</v>
      </c>
      <c r="I11" s="2716">
        <f>'数据-取费表'!E23</f>
        <v>200</v>
      </c>
      <c r="J11" s="2728"/>
      <c r="K11" s="2741"/>
      <c r="L11" s="2741"/>
    </row>
    <row r="12" spans="1:16" s="2730" customFormat="1" ht="18" customHeight="1">
      <c r="A12" s="2714" t="s">
        <v>2855</v>
      </c>
      <c r="B12" s="2720" t="s">
        <v>2856</v>
      </c>
      <c r="C12" s="3174">
        <f>ROUND(C8*H12,0)</f>
        <v>1650</v>
      </c>
      <c r="D12" s="3175"/>
      <c r="E12" s="3175"/>
      <c r="F12" s="3176"/>
      <c r="G12" s="2716" t="s">
        <v>2857</v>
      </c>
      <c r="H12" s="3203">
        <f>'数据-取费表'!E24</f>
        <v>1.4999999999999999E-2</v>
      </c>
      <c r="I12" s="3203"/>
      <c r="J12" s="2742" t="s">
        <v>2858</v>
      </c>
      <c r="L12" s="2743"/>
    </row>
    <row r="13" spans="1:16" s="2730" customFormat="1" ht="18" customHeight="1">
      <c r="A13" s="2714" t="s">
        <v>2859</v>
      </c>
      <c r="B13" s="2720" t="s">
        <v>2860</v>
      </c>
      <c r="C13" s="3174">
        <f>SUM(C8:F12)</f>
        <v>136950</v>
      </c>
      <c r="D13" s="3175"/>
      <c r="E13" s="3175"/>
      <c r="F13" s="3176"/>
      <c r="G13" s="3190" t="s">
        <v>2861</v>
      </c>
      <c r="H13" s="3190"/>
      <c r="I13" s="3190"/>
      <c r="J13" s="2742" t="s">
        <v>2862</v>
      </c>
      <c r="L13" s="2743"/>
    </row>
    <row r="14" spans="1:16" s="2730" customFormat="1" ht="18" customHeight="1">
      <c r="A14" s="2714" t="s">
        <v>2863</v>
      </c>
      <c r="B14" s="2720" t="s">
        <v>2864</v>
      </c>
      <c r="C14" s="3174">
        <f>ROUND(C13*H14,0)</f>
        <v>2739</v>
      </c>
      <c r="D14" s="3175"/>
      <c r="E14" s="3175"/>
      <c r="F14" s="3176"/>
      <c r="G14" s="2716" t="s">
        <v>2865</v>
      </c>
      <c r="H14" s="3203">
        <f>'数据-取费表'!E25</f>
        <v>0.02</v>
      </c>
      <c r="I14" s="3203"/>
      <c r="J14" s="2728"/>
      <c r="L14" s="2743"/>
    </row>
    <row r="15" spans="1:16" s="2730" customFormat="1" ht="18" customHeight="1">
      <c r="A15" s="2714" t="s">
        <v>2866</v>
      </c>
      <c r="B15" s="2720" t="s">
        <v>2867</v>
      </c>
      <c r="C15" s="3191">
        <f>H15</f>
        <v>0.02</v>
      </c>
      <c r="D15" s="3192"/>
      <c r="E15" s="3201" t="str">
        <f>E18</f>
        <v>V</v>
      </c>
      <c r="F15" s="3202"/>
      <c r="G15" s="2716" t="s">
        <v>2868</v>
      </c>
      <c r="H15" s="3203">
        <f>'数据-取费表'!E26</f>
        <v>0.02</v>
      </c>
      <c r="I15" s="3203"/>
      <c r="J15" s="2744"/>
      <c r="K15" s="2745"/>
    </row>
    <row r="16" spans="1:16" s="2730" customFormat="1" ht="18" customHeight="1">
      <c r="A16" s="2746" t="s">
        <v>2869</v>
      </c>
      <c r="B16" s="2747" t="s">
        <v>2870</v>
      </c>
      <c r="C16" s="2748">
        <f ca="1">C17</f>
        <v>1519</v>
      </c>
      <c r="D16" s="2749" t="s">
        <v>2871</v>
      </c>
      <c r="E16" s="2750">
        <f ca="1">C18</f>
        <v>2.175E-4</v>
      </c>
      <c r="F16" s="2751" t="str">
        <f>E18</f>
        <v>V</v>
      </c>
      <c r="G16" s="3174" t="s">
        <v>2872</v>
      </c>
      <c r="H16" s="3175"/>
      <c r="I16" s="3176"/>
      <c r="J16" s="2728"/>
      <c r="K16" s="2741"/>
    </row>
    <row r="17" spans="1:12" s="2730" customFormat="1" ht="18" customHeight="1">
      <c r="A17" s="2714" t="s">
        <v>2873</v>
      </c>
      <c r="B17" s="2720" t="s">
        <v>2874</v>
      </c>
      <c r="C17" s="3174">
        <f ca="1">ROUND((C13+C14)*I18*(I17/2),0)</f>
        <v>1519</v>
      </c>
      <c r="D17" s="3175"/>
      <c r="E17" s="3175"/>
      <c r="F17" s="3176"/>
      <c r="G17" s="2748" t="s">
        <v>2875</v>
      </c>
      <c r="H17" s="2720" t="s">
        <v>2876</v>
      </c>
      <c r="I17" s="2752">
        <f>'数据-取费表'!B21</f>
        <v>0.5</v>
      </c>
      <c r="J17" s="2742" t="s">
        <v>2877</v>
      </c>
      <c r="K17" s="2741"/>
      <c r="L17" s="2741"/>
    </row>
    <row r="18" spans="1:12" s="2730" customFormat="1" ht="18" customHeight="1">
      <c r="A18" s="2714" t="s">
        <v>2878</v>
      </c>
      <c r="B18" s="2720" t="s">
        <v>2879</v>
      </c>
      <c r="C18" s="3204">
        <f ca="1">H15*I18*I17/2</f>
        <v>2.175E-4</v>
      </c>
      <c r="D18" s="3205"/>
      <c r="E18" s="3201" t="s">
        <v>2880</v>
      </c>
      <c r="F18" s="3202"/>
      <c r="G18" s="2748" t="s">
        <v>2881</v>
      </c>
      <c r="H18" s="2720" t="s">
        <v>2882</v>
      </c>
      <c r="I18" s="2753">
        <f ca="1">'数据-取费表'!E27</f>
        <v>4.3499999999999997E-2</v>
      </c>
      <c r="J18" s="2742" t="s">
        <v>2883</v>
      </c>
      <c r="K18" s="2741"/>
      <c r="L18" s="2741"/>
    </row>
    <row r="19" spans="1:12" s="2730" customFormat="1" ht="27" customHeight="1">
      <c r="A19" s="2714" t="s">
        <v>2884</v>
      </c>
      <c r="B19" s="2720" t="s">
        <v>2885</v>
      </c>
      <c r="C19" s="2748">
        <f>C20</f>
        <v>13969</v>
      </c>
      <c r="D19" s="2749" t="s">
        <v>2871</v>
      </c>
      <c r="E19" s="2749">
        <f>C21</f>
        <v>2E-3</v>
      </c>
      <c r="F19" s="2751" t="str">
        <f>E21</f>
        <v>V</v>
      </c>
      <c r="G19" s="3174" t="s">
        <v>2886</v>
      </c>
      <c r="H19" s="3175"/>
      <c r="I19" s="3176"/>
      <c r="J19" s="2728"/>
      <c r="K19" s="2741"/>
      <c r="L19" s="2741"/>
    </row>
    <row r="20" spans="1:12" s="2730" customFormat="1" ht="26.25" customHeight="1">
      <c r="A20" s="2714" t="s">
        <v>2887</v>
      </c>
      <c r="B20" s="2720" t="s">
        <v>2888</v>
      </c>
      <c r="C20" s="3174">
        <f>ROUND((C13+C14)*I20,0)</f>
        <v>13969</v>
      </c>
      <c r="D20" s="3175"/>
      <c r="E20" s="3175"/>
      <c r="F20" s="3176"/>
      <c r="G20" s="2716" t="s">
        <v>2889</v>
      </c>
      <c r="H20" s="3196" t="s">
        <v>2890</v>
      </c>
      <c r="I20" s="3198">
        <f>'数据-取费表'!E28</f>
        <v>0.1</v>
      </c>
      <c r="J20" s="2742" t="s">
        <v>2891</v>
      </c>
      <c r="K20" s="2741"/>
      <c r="L20" s="2741"/>
    </row>
    <row r="21" spans="1:12" s="2730" customFormat="1" ht="27" customHeight="1">
      <c r="A21" s="2714" t="s">
        <v>2887</v>
      </c>
      <c r="B21" s="2720" t="s">
        <v>2892</v>
      </c>
      <c r="C21" s="3199">
        <f>H15*I20</f>
        <v>2E-3</v>
      </c>
      <c r="D21" s="3200"/>
      <c r="E21" s="3201" t="s">
        <v>2880</v>
      </c>
      <c r="F21" s="3202"/>
      <c r="G21" s="2716" t="s">
        <v>2893</v>
      </c>
      <c r="H21" s="3197"/>
      <c r="I21" s="3198"/>
      <c r="J21" s="2728"/>
      <c r="K21" s="2741"/>
      <c r="L21" s="2741"/>
    </row>
    <row r="22" spans="1:12" s="2730" customFormat="1" ht="18" customHeight="1">
      <c r="A22" s="2714" t="s">
        <v>2894</v>
      </c>
      <c r="B22" s="2720" t="s">
        <v>2895</v>
      </c>
      <c r="C22" s="3199">
        <f>ROUND(H22/1.05,4)</f>
        <v>5.33E-2</v>
      </c>
      <c r="D22" s="3200"/>
      <c r="E22" s="3201" t="s">
        <v>2896</v>
      </c>
      <c r="F22" s="3202"/>
      <c r="G22" s="2716" t="s">
        <v>2897</v>
      </c>
      <c r="H22" s="3203">
        <f>'数据-取费表'!E29</f>
        <v>5.6000000000000001E-2</v>
      </c>
      <c r="I22" s="3203"/>
      <c r="J22" s="2754"/>
      <c r="K22" s="2741"/>
      <c r="L22" s="2741"/>
    </row>
    <row r="23" spans="1:12" s="2730" customFormat="1" ht="18" customHeight="1">
      <c r="A23" s="2714" t="s">
        <v>2898</v>
      </c>
      <c r="B23" s="2720" t="s">
        <v>2899</v>
      </c>
      <c r="C23" s="3174">
        <f ca="1">ROUND((C13+C14+C17+C20)/(1-H15-C18-C21-C22),0)</f>
        <v>167853</v>
      </c>
      <c r="D23" s="3175"/>
      <c r="E23" s="3175"/>
      <c r="F23" s="3176"/>
      <c r="G23" s="3174" t="s">
        <v>2900</v>
      </c>
      <c r="H23" s="3175"/>
      <c r="I23" s="3176"/>
      <c r="J23" s="2754"/>
      <c r="K23" s="2741"/>
      <c r="L23" s="2741"/>
    </row>
    <row r="24" spans="1:12" s="2730" customFormat="1" ht="18" customHeight="1">
      <c r="A24" s="2714" t="s">
        <v>2901</v>
      </c>
      <c r="B24" s="2720" t="s">
        <v>2902</v>
      </c>
      <c r="C24" s="2755">
        <f ca="1">C26+C27</f>
        <v>2669</v>
      </c>
      <c r="D24" s="2756" t="s">
        <v>2903</v>
      </c>
      <c r="E24" s="3193">
        <f>H25+H28</f>
        <v>0.1933</v>
      </c>
      <c r="F24" s="3194"/>
      <c r="G24" s="3190" t="s">
        <v>2904</v>
      </c>
      <c r="H24" s="3190"/>
      <c r="I24" s="3190"/>
      <c r="J24" s="2754"/>
      <c r="K24" s="2741"/>
      <c r="L24" s="2741"/>
    </row>
    <row r="25" spans="1:12" s="2730" customFormat="1" ht="18" customHeight="1">
      <c r="A25" s="2714" t="s">
        <v>2905</v>
      </c>
      <c r="B25" s="2720" t="s">
        <v>2906</v>
      </c>
      <c r="C25" s="3191" t="s">
        <v>2907</v>
      </c>
      <c r="D25" s="3192"/>
      <c r="E25" s="3193">
        <f>H25</f>
        <v>0.17330000000000001</v>
      </c>
      <c r="F25" s="3194"/>
      <c r="G25" s="2716" t="s">
        <v>2908</v>
      </c>
      <c r="H25" s="3173">
        <f>ROUND(5.6%/1.05+12%,4)</f>
        <v>0.17330000000000001</v>
      </c>
      <c r="I25" s="3173"/>
      <c r="J25" s="2744"/>
      <c r="K25" s="2741"/>
      <c r="L25" s="2741"/>
    </row>
    <row r="26" spans="1:12" s="2730" customFormat="1" ht="18" customHeight="1">
      <c r="A26" s="2714" t="s">
        <v>2863</v>
      </c>
      <c r="B26" s="2720" t="s">
        <v>2909</v>
      </c>
      <c r="C26" s="3174">
        <f ca="1">ROUND(C23*H26,0)</f>
        <v>2518</v>
      </c>
      <c r="D26" s="3175"/>
      <c r="E26" s="3175"/>
      <c r="F26" s="3176"/>
      <c r="G26" s="2716" t="s">
        <v>2910</v>
      </c>
      <c r="H26" s="3173">
        <f>'数据-取费表'!B44</f>
        <v>1.4999999999999999E-2</v>
      </c>
      <c r="I26" s="3173"/>
      <c r="J26" s="2744"/>
      <c r="K26" s="2741"/>
      <c r="L26" s="2741"/>
    </row>
    <row r="27" spans="1:12" s="2730" customFormat="1" ht="18" customHeight="1">
      <c r="A27" s="2714" t="s">
        <v>2911</v>
      </c>
      <c r="B27" s="2720" t="s">
        <v>2912</v>
      </c>
      <c r="C27" s="3174">
        <f ca="1">ROUND(C7*H27,0)</f>
        <v>151</v>
      </c>
      <c r="D27" s="3175"/>
      <c r="E27" s="3175"/>
      <c r="F27" s="3176"/>
      <c r="G27" s="2716" t="s">
        <v>2913</v>
      </c>
      <c r="H27" s="3195">
        <f>'数据-取费表'!B45</f>
        <v>1.5E-3</v>
      </c>
      <c r="I27" s="3195"/>
      <c r="J27" s="2728"/>
      <c r="K27" s="2741"/>
      <c r="L27" s="2741"/>
    </row>
    <row r="28" spans="1:12" s="2730" customFormat="1" ht="18" customHeight="1">
      <c r="A28" s="2714" t="s">
        <v>2914</v>
      </c>
      <c r="B28" s="2720" t="s">
        <v>2915</v>
      </c>
      <c r="C28" s="3191" t="s">
        <v>2907</v>
      </c>
      <c r="D28" s="3192"/>
      <c r="E28" s="3193">
        <f>H28</f>
        <v>0.02</v>
      </c>
      <c r="F28" s="3194"/>
      <c r="G28" s="2716" t="s">
        <v>2916</v>
      </c>
      <c r="H28" s="3173">
        <f>'数据-取费表'!B46</f>
        <v>0.02</v>
      </c>
      <c r="I28" s="3173"/>
      <c r="J28" s="2757"/>
      <c r="K28" s="2741"/>
      <c r="L28" s="2741"/>
    </row>
    <row r="29" spans="1:12" s="2730" customFormat="1" ht="18" customHeight="1">
      <c r="A29" s="2719" t="s">
        <v>2917</v>
      </c>
      <c r="B29" s="2720" t="s">
        <v>2918</v>
      </c>
      <c r="C29" s="3174">
        <f ca="1">ROUND((C4+C24)/(1-E24),0)</f>
        <v>177471</v>
      </c>
      <c r="D29" s="3175"/>
      <c r="E29" s="3175"/>
      <c r="F29" s="3176"/>
      <c r="G29" s="3177" t="s">
        <v>2919</v>
      </c>
      <c r="H29" s="3177"/>
      <c r="I29" s="3177"/>
      <c r="J29" s="2758" t="s">
        <v>2920</v>
      </c>
      <c r="K29" s="2741"/>
      <c r="L29" s="2741"/>
    </row>
    <row r="30" spans="1:12" s="2730" customFormat="1" ht="18" customHeight="1">
      <c r="A30" s="3177" t="s">
        <v>2921</v>
      </c>
      <c r="B30" s="3183" t="s">
        <v>2922</v>
      </c>
      <c r="C30" s="3184">
        <f ca="1">ROUND(C29/I30/I31/I3,2)</f>
        <v>4.6500000000000004</v>
      </c>
      <c r="D30" s="3185"/>
      <c r="E30" s="3185"/>
      <c r="F30" s="3186"/>
      <c r="G30" s="3190" t="s">
        <v>2923</v>
      </c>
      <c r="H30" s="2720" t="s">
        <v>2924</v>
      </c>
      <c r="I30" s="2716">
        <v>365</v>
      </c>
      <c r="J30" s="2759"/>
      <c r="K30" s="2741"/>
      <c r="L30" s="2741"/>
    </row>
    <row r="31" spans="1:12" s="2730" customFormat="1" ht="18" customHeight="1">
      <c r="A31" s="3177"/>
      <c r="B31" s="3183"/>
      <c r="C31" s="3187"/>
      <c r="D31" s="3188"/>
      <c r="E31" s="3188"/>
      <c r="F31" s="3189"/>
      <c r="G31" s="3190"/>
      <c r="H31" s="2720" t="s">
        <v>2925</v>
      </c>
      <c r="I31" s="2760">
        <f>1-'数据-取费表'!B32</f>
        <v>0.95</v>
      </c>
      <c r="J31" s="2761"/>
      <c r="K31" s="2741"/>
      <c r="L31" s="2741"/>
    </row>
    <row r="32" spans="1:12" s="2730" customFormat="1" ht="18" customHeight="1">
      <c r="A32" s="2713"/>
      <c r="B32" s="2762"/>
      <c r="C32" s="2763"/>
      <c r="D32" s="2763"/>
      <c r="E32" s="2763"/>
      <c r="F32" s="2763"/>
      <c r="G32" s="2764"/>
      <c r="H32" s="2765"/>
      <c r="I32" s="2713"/>
      <c r="J32" s="2766"/>
      <c r="K32" s="2741"/>
      <c r="L32" s="2741"/>
    </row>
    <row r="33" spans="1:13" s="2730" customFormat="1" ht="18" customHeight="1">
      <c r="A33" s="2713"/>
      <c r="B33" s="3179" t="s">
        <v>2926</v>
      </c>
      <c r="C33" s="3179"/>
      <c r="D33" s="3179"/>
      <c r="E33" s="3179"/>
      <c r="F33" s="3179"/>
      <c r="G33" s="2767"/>
      <c r="H33" s="2768"/>
      <c r="I33" s="2713"/>
      <c r="J33" s="2728"/>
      <c r="K33" s="2741"/>
      <c r="L33" s="2741"/>
      <c r="M33" s="2713"/>
    </row>
    <row r="34" spans="1:13" s="2730" customFormat="1" ht="18" customHeight="1">
      <c r="A34" s="2713"/>
      <c r="B34" s="2769" t="s">
        <v>2927</v>
      </c>
      <c r="C34" s="2770" t="s">
        <v>2829</v>
      </c>
      <c r="D34" s="3180" t="s">
        <v>2928</v>
      </c>
      <c r="E34" s="3180"/>
      <c r="F34" s="3180"/>
      <c r="G34" s="2767"/>
      <c r="H34" s="2768"/>
      <c r="I34" s="2713"/>
      <c r="J34" s="2754"/>
      <c r="K34" s="2713"/>
      <c r="L34" s="2713"/>
      <c r="M34" s="2713"/>
    </row>
    <row r="35" spans="1:13">
      <c r="B35" s="2769" t="s">
        <v>2929</v>
      </c>
      <c r="C35" s="2771">
        <v>0.5</v>
      </c>
      <c r="D35" s="3181">
        <f>'比较法-商业'!C49</f>
        <v>4.5999999999999996</v>
      </c>
      <c r="E35" s="3181"/>
      <c r="F35" s="3181"/>
      <c r="G35" s="2767">
        <f ca="1">(D35-D36)/D36</f>
        <v>-1.0752688172043163E-2</v>
      </c>
      <c r="H35" s="2768"/>
      <c r="K35" s="2713"/>
      <c r="L35" s="2713"/>
    </row>
    <row r="36" spans="1:13" ht="20.100000000000001" customHeight="1">
      <c r="B36" s="2769" t="s">
        <v>2930</v>
      </c>
      <c r="C36" s="2771">
        <f>1-C35</f>
        <v>0.5</v>
      </c>
      <c r="D36" s="3181">
        <f ca="1">C30</f>
        <v>4.6500000000000004</v>
      </c>
      <c r="E36" s="3181"/>
      <c r="F36" s="3181"/>
      <c r="G36" s="2767"/>
      <c r="H36" s="2768"/>
      <c r="J36" s="2713"/>
      <c r="K36" s="2713"/>
      <c r="L36" s="2713"/>
    </row>
    <row r="37" spans="1:13" ht="22.5" customHeight="1">
      <c r="B37" s="3182" t="s">
        <v>2931</v>
      </c>
      <c r="C37" s="3182"/>
      <c r="D37" s="3178">
        <f ca="1">ROUND(C35*D35+C36*D36,1)</f>
        <v>4.5999999999999996</v>
      </c>
      <c r="E37" s="3178"/>
      <c r="F37" s="3178"/>
      <c r="G37" s="2767"/>
      <c r="H37" s="2768"/>
      <c r="J37" s="2713"/>
      <c r="K37" s="2713"/>
      <c r="L37" s="2713"/>
    </row>
    <row r="38" spans="1:13" ht="22.5" customHeight="1">
      <c r="B38" s="2769" t="s">
        <v>2932</v>
      </c>
      <c r="C38" s="2769">
        <f ca="1">ROUND(D37*0.9,1)</f>
        <v>4.0999999999999996</v>
      </c>
      <c r="D38" s="2772" t="s">
        <v>2933</v>
      </c>
      <c r="E38" s="3178">
        <f ca="1">ROUND(D37*1.1,1)</f>
        <v>5.0999999999999996</v>
      </c>
      <c r="F38" s="3178"/>
      <c r="G38" s="2767" t="s">
        <v>2934</v>
      </c>
      <c r="H38" s="2773">
        <v>4</v>
      </c>
      <c r="J38" s="2713"/>
      <c r="K38" s="2713"/>
      <c r="L38" s="2713"/>
    </row>
    <row r="39" spans="1:13" ht="18" customHeight="1">
      <c r="B39" s="2769" t="s">
        <v>2935</v>
      </c>
      <c r="C39" s="2769">
        <f ca="1">ROUND(C38+H39,1)</f>
        <v>4.0999999999999996</v>
      </c>
      <c r="D39" s="2772" t="s">
        <v>2933</v>
      </c>
      <c r="E39" s="3178">
        <f ca="1">ROUND(E38+H39,1)</f>
        <v>5.0999999999999996</v>
      </c>
      <c r="F39" s="3178"/>
      <c r="G39" s="2774" t="s">
        <v>2936</v>
      </c>
      <c r="H39" s="2774">
        <v>0</v>
      </c>
      <c r="J39" s="2713"/>
      <c r="K39" s="2713"/>
      <c r="L39" s="2713"/>
    </row>
    <row r="40" spans="1:13" ht="18" customHeight="1">
      <c r="B40" s="2775"/>
      <c r="C40" s="2776"/>
      <c r="D40" s="2777"/>
      <c r="E40" s="2777"/>
      <c r="F40" s="2777"/>
      <c r="G40" s="2767"/>
      <c r="H40" s="2768"/>
      <c r="J40" s="2713"/>
    </row>
    <row r="41" spans="1:13" ht="18" customHeight="1">
      <c r="B41" s="2767" t="s">
        <v>2937</v>
      </c>
      <c r="C41" s="2777"/>
      <c r="D41" s="2777"/>
      <c r="E41" s="2767" t="s">
        <v>2938</v>
      </c>
      <c r="F41" s="2777"/>
      <c r="G41" s="2767"/>
      <c r="H41" s="2767" t="s">
        <v>2939</v>
      </c>
      <c r="J41" s="2713"/>
    </row>
    <row r="42" spans="1:13" ht="29.25" customHeight="1">
      <c r="B42" s="3206" t="s">
        <v>3054</v>
      </c>
      <c r="C42" s="3207"/>
      <c r="D42" s="3207"/>
      <c r="E42" s="3207"/>
      <c r="F42" s="3207"/>
      <c r="G42" s="3207"/>
      <c r="H42" s="3207"/>
    </row>
    <row r="43" spans="1:13" s="2768" customFormat="1" ht="90">
      <c r="B43" s="2811" t="s">
        <v>3055</v>
      </c>
      <c r="C43" s="2811" t="s">
        <v>3065</v>
      </c>
      <c r="D43" s="2811" t="s">
        <v>3056</v>
      </c>
      <c r="E43" s="2811" t="s">
        <v>3063</v>
      </c>
      <c r="F43" s="2811" t="s">
        <v>3057</v>
      </c>
      <c r="G43" s="2811" t="s">
        <v>3058</v>
      </c>
      <c r="H43" s="2811" t="s">
        <v>3059</v>
      </c>
      <c r="I43" s="2811" t="s">
        <v>3068</v>
      </c>
      <c r="J43" s="2812"/>
    </row>
    <row r="44" spans="1:13" s="2768" customFormat="1" ht="11.25">
      <c r="B44" s="2811" t="s">
        <v>3061</v>
      </c>
      <c r="C44" s="2811" t="s">
        <v>3066</v>
      </c>
      <c r="D44" s="2811">
        <v>1</v>
      </c>
      <c r="E44" s="2813" t="s">
        <v>3064</v>
      </c>
      <c r="F44" s="2811">
        <v>1</v>
      </c>
      <c r="G44" s="2814">
        <f ca="1">D37</f>
        <v>4.5999999999999996</v>
      </c>
      <c r="H44" s="2811" t="s">
        <v>3060</v>
      </c>
      <c r="I44" s="3208">
        <f ca="1">ROUND((G44*E44+H45*E45)/(E44+E45),1)</f>
        <v>4.0999999999999996</v>
      </c>
      <c r="J44" s="2812"/>
    </row>
    <row r="45" spans="1:13" s="2768" customFormat="1" ht="11.25">
      <c r="B45" s="2811" t="s">
        <v>3062</v>
      </c>
      <c r="C45" s="2811" t="s">
        <v>3067</v>
      </c>
      <c r="D45" s="2811">
        <v>0.8</v>
      </c>
      <c r="E45" s="2811">
        <v>104</v>
      </c>
      <c r="F45" s="2811">
        <v>0.96</v>
      </c>
      <c r="G45" s="2811" t="s">
        <v>3060</v>
      </c>
      <c r="H45" s="2811">
        <f ca="1">ROUND(G44*D45*F45,1)</f>
        <v>3.5</v>
      </c>
      <c r="I45" s="3209"/>
      <c r="J45" s="2812"/>
    </row>
  </sheetData>
  <mergeCells count="69">
    <mergeCell ref="B42:H42"/>
    <mergeCell ref="I44:I45"/>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4" type="noConversion"/>
  <pageMargins left="0.7" right="0.7" top="0.75" bottom="0.75" header="0.3" footer="0.3"/>
  <pageSetup paperSize="9" scale="86"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43077</v>
      </c>
      <c r="D1" s="1803" t="s">
        <v>1188</v>
      </c>
      <c r="E1" s="1809">
        <f>'数据-取费表'!B23</f>
        <v>0.5</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3</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M86" sqref="M8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783</v>
      </c>
      <c r="B1" s="1917"/>
      <c r="C1" s="1917"/>
      <c r="D1" s="1917"/>
      <c r="E1" s="1917"/>
    </row>
    <row r="2" spans="1:5" ht="78.75" customHeight="1">
      <c r="A2" s="28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33"/>
      <c r="C2" s="2833"/>
      <c r="D2" s="2833"/>
      <c r="E2" s="2833"/>
    </row>
    <row r="3" spans="1:5" ht="13.5" customHeight="1">
      <c r="A3" s="1920"/>
      <c r="B3" s="1920"/>
      <c r="C3" s="1920"/>
      <c r="D3" s="1920"/>
      <c r="E3" s="1920"/>
    </row>
    <row r="4" spans="1:5" ht="19.5" thickBot="1">
      <c r="A4" s="2834" t="str">
        <f>IF(项目基本情况!D5="房地产市场价值","估价结果一览表（市场价值不需本页表格)","估价结果一览表")</f>
        <v>估价结果一览表（市场价值不需本页表格)</v>
      </c>
      <c r="B4" s="2834"/>
      <c r="C4" s="2834"/>
      <c r="D4" s="2834"/>
      <c r="E4" s="2834"/>
    </row>
    <row r="5" spans="1:5" ht="14.25" customHeight="1" thickTop="1">
      <c r="A5" s="1917"/>
      <c r="B5" s="1921" t="s">
        <v>742</v>
      </c>
      <c r="C5" s="2835" t="s">
        <v>784</v>
      </c>
      <c r="D5" s="2836"/>
      <c r="E5" s="1917"/>
    </row>
    <row r="6" spans="1:5" ht="14.25">
      <c r="A6" s="1917"/>
      <c r="B6" s="1922" t="str">
        <f>项目基本情况!I1</f>
        <v>北京市房地产</v>
      </c>
      <c r="C6" s="2837">
        <f>项目基本情况!C12</f>
        <v>110</v>
      </c>
      <c r="D6" s="2837"/>
      <c r="E6" s="1917"/>
    </row>
    <row r="7" spans="1:5" ht="14.25">
      <c r="A7" s="1917"/>
      <c r="B7" s="2831" t="s">
        <v>785</v>
      </c>
      <c r="C7" s="1923" t="str">
        <f>IF('数据-取费表'!B3="万元","总价（万元）","总价（元）")</f>
        <v>总价（元）</v>
      </c>
      <c r="D7" s="1924" t="e">
        <f ca="1">IF('数据-取费表'!E3="否",结果表!I102,'结果表 (1修多)'!I103)</f>
        <v>#REF!</v>
      </c>
      <c r="E7" s="1917"/>
    </row>
    <row r="8" spans="1:5" ht="14.25">
      <c r="A8" s="1917"/>
      <c r="B8" s="2831"/>
      <c r="C8" s="1925" t="s">
        <v>1177</v>
      </c>
      <c r="D8" s="1926" t="e">
        <f ca="1">IF('数据-取费表'!B3="万元",NUMBERSTRING(INT(D7*10000),2)&amp;"元整",NUMBERSTRING(INT(D7),2)&amp;"元整")</f>
        <v>#REF!</v>
      </c>
      <c r="E8" s="1917"/>
    </row>
    <row r="9" spans="1:5" ht="14.25">
      <c r="A9" s="1917"/>
      <c r="B9" s="2831"/>
      <c r="C9" s="1927" t="s">
        <v>1261</v>
      </c>
      <c r="D9" s="1924" t="e">
        <f ca="1">IF('数据-取费表'!E3="否",结果表!I103,'结果表 (1修多)'!I104)</f>
        <v>#REF!</v>
      </c>
      <c r="E9" s="1917"/>
    </row>
    <row r="10" spans="1:5" ht="14.25">
      <c r="A10" s="1917"/>
      <c r="B10" s="2838"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38"/>
      <c r="C11" s="1925" t="s">
        <v>1177</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38" t="str">
        <f>IF('数据-取费表'!E3="否",结果表!F110,'结果表 (1修多)'!F111)</f>
        <v>3.房地产抵押价值</v>
      </c>
      <c r="C15" s="1918" t="str">
        <f>C7</f>
        <v>总价（元）</v>
      </c>
      <c r="D15" s="1924" t="e">
        <f ca="1">IF('数据-取费表'!E3="否",结果表!I110,'结果表 (1修多)'!I111)</f>
        <v>#REF!</v>
      </c>
      <c r="E15" s="1917"/>
    </row>
    <row r="16" spans="1:5" ht="14.25">
      <c r="A16" s="1917"/>
      <c r="B16" s="2838"/>
      <c r="C16" s="1925" t="s">
        <v>1177</v>
      </c>
      <c r="D16" s="1924" t="e">
        <f ca="1">IF('数据-取费表'!B3="万元",NUMBERSTRING(INT(D15*10000),2)&amp;"元整",NUMBERSTRING(INT(D15),2)&amp;"元整")</f>
        <v>#REF!</v>
      </c>
      <c r="E16" s="1917"/>
    </row>
    <row r="17" spans="1:5" ht="14.25">
      <c r="A17" s="1917"/>
      <c r="B17" s="2838"/>
      <c r="C17" s="1927" t="s">
        <v>1261</v>
      </c>
      <c r="D17" s="1924" t="e">
        <f ca="1">IF('数据-取费表'!E3="否",结果表!I111,'结果表 (1修多)'!I112)</f>
        <v>#REF!</v>
      </c>
      <c r="E17" s="1917"/>
    </row>
    <row r="18" spans="1:5" ht="14.25">
      <c r="A18" s="1917"/>
      <c r="B18" s="2838" t="str">
        <f>IF('数据-取费表'!E3="否",结果表!F112,'结果表 (1修多)'!F113)</f>
        <v>——</v>
      </c>
      <c r="C18" s="1918" t="str">
        <f>C7</f>
        <v>总价（元）</v>
      </c>
      <c r="D18" s="1924" t="str">
        <f>IF('数据-取费表'!E3="否",结果表!I112,'结果表 (1修多)'!I113)</f>
        <v>——</v>
      </c>
      <c r="E18" s="1917"/>
    </row>
    <row r="19" spans="1:5" ht="14.25">
      <c r="A19" s="1917"/>
      <c r="B19" s="2838"/>
      <c r="C19" s="1925" t="s">
        <v>1177</v>
      </c>
      <c r="D19" s="1924" t="e">
        <f>IF('数据-取费表'!B3="万元",NUMBERSTRING(INT(D18*10000),2)&amp;"元整",NUMBERSTRING(INT(D18),2)&amp;"元整")</f>
        <v>#VALUE!</v>
      </c>
      <c r="E19" s="1917"/>
    </row>
    <row r="20" spans="1:5" ht="14.25">
      <c r="A20" s="1917"/>
      <c r="B20" s="2838"/>
      <c r="C20" s="1927" t="s">
        <v>1261</v>
      </c>
      <c r="D20" s="1924" t="str">
        <f>IF('数据-取费表'!E3="否",结果表!I113,'结果表 (1修多)'!I114)</f>
        <v>——</v>
      </c>
      <c r="E20" s="1917"/>
    </row>
    <row r="21" spans="1:5" ht="14.25">
      <c r="A21" s="1917"/>
      <c r="B21" s="2831" t="str">
        <f>IF('数据-取费表'!E3="否",结果表!F114,'结果表 (1修多)'!F115)</f>
        <v>——</v>
      </c>
      <c r="C21" s="1923" t="str">
        <f>C7</f>
        <v>总价（元）</v>
      </c>
      <c r="D21" s="1924" t="str">
        <f>IF('数据-取费表'!E3="否",结果表!I114,'结果表 (1修多)'!I115)</f>
        <v>——</v>
      </c>
      <c r="E21" s="1917"/>
    </row>
    <row r="22" spans="1:5" ht="14.25">
      <c r="A22" s="1917"/>
      <c r="B22" s="2831"/>
      <c r="C22" s="1925" t="s">
        <v>1177</v>
      </c>
      <c r="D22" s="1926" t="e">
        <f>IF('数据-取费表'!B3="万元",NUMBERSTRING(INT(D21*10000),2)&amp;"元整",NUMBERSTRING(INT(D21),2)&amp;"元整")</f>
        <v>#VALUE!</v>
      </c>
      <c r="E22" s="1917"/>
    </row>
    <row r="23" spans="1:5" ht="15" thickBot="1">
      <c r="A23" s="1917"/>
      <c r="B23" s="2832"/>
      <c r="C23" s="1932" t="s">
        <v>1261</v>
      </c>
      <c r="D23" s="1933" t="e">
        <f ca="1">IF('数据-取费表'!E3="否",结果表!I115,'结果表 (1修多)'!I116)</f>
        <v>#REF!</v>
      </c>
      <c r="E23" s="1917"/>
    </row>
    <row r="24" spans="1:5" ht="14.25" thickTop="1">
      <c r="A24" s="1917"/>
      <c r="B24" s="1917"/>
      <c r="C24" s="1917"/>
      <c r="D24" s="1917"/>
      <c r="E24" s="1917"/>
    </row>
    <row r="25" spans="1:5" ht="18.75" customHeight="1" thickBot="1">
      <c r="A25" s="1917"/>
      <c r="B25" s="2823" t="s">
        <v>1262</v>
      </c>
      <c r="C25" s="2823"/>
      <c r="D25" s="2823"/>
      <c r="E25" s="1917"/>
    </row>
    <row r="26" spans="1:5" ht="18.75" customHeight="1" thickTop="1">
      <c r="A26" s="1917"/>
      <c r="B26" s="2826" t="s">
        <v>1176</v>
      </c>
      <c r="C26" s="2827"/>
      <c r="D26" s="2824" t="s">
        <v>1175</v>
      </c>
      <c r="E26" s="1917"/>
    </row>
    <row r="27" spans="1:5" ht="18.75" customHeight="1">
      <c r="A27" s="1917"/>
      <c r="B27" s="2828"/>
      <c r="C27" s="2829"/>
      <c r="D27" s="2825"/>
      <c r="E27" s="1917"/>
    </row>
    <row r="28" spans="1:5" ht="14.25">
      <c r="A28" s="1917"/>
      <c r="B28" s="2816" t="s">
        <v>785</v>
      </c>
      <c r="C28" s="1934" t="s">
        <v>1178</v>
      </c>
      <c r="D28" s="1935" t="e">
        <f ca="1">IF('数据-取费表'!E3="否",结果表!I102,'结果表 (1修多)'!I103)</f>
        <v>#REF!</v>
      </c>
      <c r="E28" s="1917"/>
    </row>
    <row r="29" spans="1:5" ht="14.25">
      <c r="A29" s="1917"/>
      <c r="B29" s="2817"/>
      <c r="C29" s="1936" t="s">
        <v>1177</v>
      </c>
      <c r="D29" s="1937" t="e">
        <f ca="1">IF('数据-取费表'!B3="万元",NUMBERSTRING(INT(D28*10000),2)&amp;"元整",NUMBERSTRING(INT(D28),2)&amp;"元整")</f>
        <v>#REF!</v>
      </c>
      <c r="E29" s="1917"/>
    </row>
    <row r="30" spans="1:5" ht="14.25">
      <c r="A30" s="1917"/>
      <c r="B30" s="2818"/>
      <c r="C30" s="1927" t="s">
        <v>1180</v>
      </c>
      <c r="D30" s="1938" t="e">
        <f ca="1">IF('数据-取费表'!E3="否",结果表!I103,'结果表 (1修多)'!I104)</f>
        <v>#REF!</v>
      </c>
      <c r="E30" s="1917"/>
    </row>
    <row r="31" spans="1:5" ht="14.25">
      <c r="A31" s="1917"/>
      <c r="B31" s="2821" t="str">
        <f>B10</f>
        <v>2.估价师所知悉的法定优先受偿款</v>
      </c>
      <c r="C31" s="1939" t="s">
        <v>1179</v>
      </c>
      <c r="D31" s="1940">
        <f>IF('数据-取费表'!E3="否",结果表!I105,'结果表 (1修多)'!I106)</f>
        <v>0</v>
      </c>
      <c r="E31" s="1917"/>
    </row>
    <row r="32" spans="1:5" ht="14.25">
      <c r="A32" s="1917"/>
      <c r="B32" s="2830"/>
      <c r="C32" s="1936" t="s">
        <v>1177</v>
      </c>
      <c r="D32" s="1941" t="str">
        <f>IF('数据-取费表'!B3="万元",NUMBERSTRING(INT(D31*10000),2)&amp;"元整",NUMBERSTRING(INT(D31),2)&amp;"元整")</f>
        <v>零元整</v>
      </c>
      <c r="E32" s="1917"/>
    </row>
    <row r="33" spans="1:5" ht="14.25">
      <c r="A33" s="1917"/>
      <c r="B33" s="1925" t="s">
        <v>1160</v>
      </c>
      <c r="C33" s="1925" t="str">
        <f>C31</f>
        <v>总额</v>
      </c>
      <c r="D33" s="1938">
        <f>IF('数据-取费表'!E3="否",结果表!I106,'结果表 (1修多)'!I107)</f>
        <v>0</v>
      </c>
      <c r="E33" s="1917"/>
    </row>
    <row r="34" spans="1:5" ht="14.25">
      <c r="A34" s="1917"/>
      <c r="B34" s="1925" t="s">
        <v>1161</v>
      </c>
      <c r="C34" s="1925" t="str">
        <f>C31</f>
        <v>总额</v>
      </c>
      <c r="D34" s="1938">
        <f>IF('数据-取费表'!E3="否",结果表!I107,'结果表 (1修多)'!I108)</f>
        <v>0</v>
      </c>
      <c r="E34" s="1917"/>
    </row>
    <row r="35" spans="1:5" ht="14.25">
      <c r="A35" s="1917"/>
      <c r="B35" s="1925" t="s">
        <v>1162</v>
      </c>
      <c r="C35" s="1925" t="str">
        <f>C31</f>
        <v>总额</v>
      </c>
      <c r="D35" s="1938">
        <f>IF('数据-取费表'!E3="否",结果表!I108,'结果表 (1修多)'!I109)</f>
        <v>0</v>
      </c>
      <c r="E35" s="1917"/>
    </row>
    <row r="36" spans="1:5" ht="14.25">
      <c r="A36" s="1917"/>
      <c r="B36" s="2819" t="str">
        <f>B15</f>
        <v>3.房地产抵押价值</v>
      </c>
      <c r="C36" s="1939" t="str">
        <f>C28</f>
        <v>总价</v>
      </c>
      <c r="D36" s="1940" t="e">
        <f ca="1">IF('数据-取费表'!E3="否",结果表!I110,'结果表 (1修多)'!I111)</f>
        <v>#REF!</v>
      </c>
      <c r="E36" s="1917"/>
    </row>
    <row r="37" spans="1:5" ht="14.25">
      <c r="A37" s="1917"/>
      <c r="B37" s="2819"/>
      <c r="C37" s="1936" t="s">
        <v>1177</v>
      </c>
      <c r="D37" s="1941" t="e">
        <f ca="1">IF('数据-取费表'!B3="万元",NUMBERSTRING(INT(D36*10000),2)&amp;"元整",NUMBERSTRING(INT(D36),2)&amp;"元整")</f>
        <v>#REF!</v>
      </c>
      <c r="E37" s="1917"/>
    </row>
    <row r="38" spans="1:5" ht="14.25">
      <c r="A38" s="1917"/>
      <c r="B38" s="2819"/>
      <c r="C38" s="1927" t="s">
        <v>1181</v>
      </c>
      <c r="D38" s="1938" t="e">
        <f ca="1">IF('数据-取费表'!E3="否",结果表!D113,'结果表 (1修多)'!D116)</f>
        <v>#REF!</v>
      </c>
      <c r="E38" s="1917"/>
    </row>
    <row r="39" spans="1:5" ht="14.25">
      <c r="A39" s="1917"/>
      <c r="B39" s="2820" t="str">
        <f>B18</f>
        <v>——</v>
      </c>
      <c r="C39" s="1939" t="str">
        <f>C28</f>
        <v>总价</v>
      </c>
      <c r="D39" s="1940" t="str">
        <f>IF('数据-取费表'!E3="否",结果表!I112,'结果表 (1修多)'!I113)</f>
        <v>——</v>
      </c>
      <c r="E39" s="1917"/>
    </row>
    <row r="40" spans="1:5" ht="14.25">
      <c r="A40" s="1917"/>
      <c r="B40" s="2820"/>
      <c r="C40" s="1936" t="s">
        <v>1177</v>
      </c>
      <c r="D40" s="1941" t="e">
        <f>IF('数据-取费表'!B3="万元",NUMBERSTRING(INT(D39*10000),2)&amp;"元整",NUMBERSTRING(INT(D39),2)&amp;"元整")</f>
        <v>#VALUE!</v>
      </c>
      <c r="E40" s="1917"/>
    </row>
    <row r="41" spans="1:5" ht="14.25">
      <c r="A41" s="1917"/>
      <c r="B41" s="2820"/>
      <c r="C41" s="1927" t="s">
        <v>1181</v>
      </c>
      <c r="D41" s="1938" t="str">
        <f>IF('数据-取费表'!E3="否",结果表!D115,'结果表 (1修多)'!D118)</f>
        <v>——</v>
      </c>
      <c r="E41" s="1917"/>
    </row>
    <row r="42" spans="1:5" ht="14.25">
      <c r="A42" s="1917"/>
      <c r="B42" s="2819" t="str">
        <f>B21</f>
        <v>——</v>
      </c>
      <c r="C42" s="1939" t="str">
        <f>C28</f>
        <v>总价</v>
      </c>
      <c r="D42" s="1940" t="str">
        <f>IF('数据-取费表'!E3="否",结果表!I114,'结果表 (1修多)'!I115)</f>
        <v>——</v>
      </c>
      <c r="E42" s="1917"/>
    </row>
    <row r="43" spans="1:5" ht="14.25">
      <c r="A43" s="1917"/>
      <c r="B43" s="2821"/>
      <c r="C43" s="1936" t="s">
        <v>1177</v>
      </c>
      <c r="D43" s="1942" t="e">
        <f>IF('数据-取费表'!B3="万元",NUMBERSTRING(INT(D42*10000),2)&amp;"元整",NUMBERSTRING(INT(D42),2)&amp;"元整")</f>
        <v>#VALUE!</v>
      </c>
      <c r="E43" s="1917"/>
    </row>
    <row r="44" spans="1:5" ht="15" thickBot="1">
      <c r="A44" s="1917"/>
      <c r="B44" s="2822"/>
      <c r="C44" s="1932" t="s">
        <v>1181</v>
      </c>
      <c r="D44" s="1943" t="e">
        <f ca="1">IF('数据-取费表'!E3="否",结果表!D117,'结果表 (1修多)'!D120)</f>
        <v>#REF!</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45" t="str">
        <f>IF(项目基本情况!D5="房地产市场价值","估价结果一览表","结果表-2")</f>
        <v>估价结果一览表</v>
      </c>
      <c r="B1" s="2845"/>
      <c r="C1" s="2845"/>
      <c r="D1" s="2845"/>
      <c r="E1" s="2845"/>
      <c r="F1" s="2845"/>
      <c r="G1" s="2845"/>
      <c r="H1" s="2845"/>
      <c r="I1" s="2845"/>
    </row>
    <row r="2" spans="1:9" ht="30" customHeight="1" thickTop="1">
      <c r="A2" s="2846" t="s">
        <v>1263</v>
      </c>
      <c r="B2" s="2846" t="s">
        <v>1264</v>
      </c>
      <c r="C2" s="2846" t="s">
        <v>1265</v>
      </c>
      <c r="D2" s="2846" t="str">
        <f>IF('数据-取费表'!E3="否",结果表!D119,'结果表 (1修多)'!D122)</f>
        <v>出让国有建设用地使用权价值</v>
      </c>
      <c r="E2" s="2846"/>
      <c r="F2" s="2846" t="s">
        <v>1266</v>
      </c>
      <c r="G2" s="2846"/>
      <c r="H2" s="2846" t="s">
        <v>1267</v>
      </c>
      <c r="I2" s="2846"/>
    </row>
    <row r="3" spans="1:9" ht="15">
      <c r="A3" s="2839"/>
      <c r="B3" s="2839"/>
      <c r="C3" s="2839"/>
      <c r="D3" s="1049" t="s">
        <v>1268</v>
      </c>
      <c r="E3" s="1049" t="s">
        <v>1269</v>
      </c>
      <c r="F3" s="1049" t="s">
        <v>1268</v>
      </c>
      <c r="G3" s="1049" t="s">
        <v>1270</v>
      </c>
      <c r="H3" s="1049" t="s">
        <v>1268</v>
      </c>
      <c r="I3" s="1049" t="s">
        <v>1270</v>
      </c>
    </row>
    <row r="4" spans="1:9" ht="46.5" customHeight="1">
      <c r="A4" s="1049" t="str">
        <f>项目基本情况!I1</f>
        <v>北京市房地产</v>
      </c>
      <c r="B4" s="1049">
        <f>结果表!B121</f>
        <v>110</v>
      </c>
      <c r="C4" s="1049">
        <f>结果表!C121</f>
        <v>0</v>
      </c>
      <c r="D4" s="1049" t="e">
        <f ca="1">IF('数据-取费表'!E3="否",结果表!D121,'结果表 (1修多)'!D124)</f>
        <v>#REF!</v>
      </c>
      <c r="E4" s="1049" t="e">
        <f ca="1">IF('数据-取费表'!E3="否",结果表!E121,'结果表 (1修多)'!E124)</f>
        <v>#REF!</v>
      </c>
      <c r="F4" s="1049" t="e">
        <f ca="1">IF('数据-取费表'!E3="否",结果表!F121,'结果表 (1修多)'!F124)</f>
        <v>#REF!</v>
      </c>
      <c r="G4" s="1049" t="e">
        <f ca="1">IF('数据-取费表'!E3="否",结果表!G121,'结果表 (1修多)'!G124)</f>
        <v>#REF!</v>
      </c>
      <c r="H4" s="1049" t="e">
        <f ca="1">IF('数据-取费表'!E3="否",结果表!H121,'结果表 (1修多)'!H124)</f>
        <v>#REF!</v>
      </c>
      <c r="I4" s="1049" t="e">
        <f ca="1">IF('数据-取费表'!E3="否",结果表!I121,'结果表 (1修多)'!I124)</f>
        <v>#REF!</v>
      </c>
    </row>
    <row r="5" spans="1:9" ht="15">
      <c r="A5" s="2839" t="s">
        <v>1271</v>
      </c>
      <c r="B5" s="2839"/>
      <c r="C5" s="2839"/>
      <c r="D5" s="2840" t="e">
        <f ca="1">IF('数据-取费表'!E3="否",结果表!D122,'结果表 (1修多)'!D125)</f>
        <v>#REF!</v>
      </c>
      <c r="E5" s="2840"/>
      <c r="F5" s="2840" t="e">
        <f ca="1">IF('数据-取费表'!E3="否",结果表!F122,'结果表 (1修多)'!F125)</f>
        <v>#REF!</v>
      </c>
      <c r="G5" s="2840"/>
      <c r="H5" s="2840" t="e">
        <f ca="1">IF('数据-取费表'!E3="否",结果表!H122,'结果表 (1修多)'!H125)</f>
        <v>#REF!</v>
      </c>
      <c r="I5" s="2840"/>
    </row>
    <row r="6" spans="1:9" ht="15.75">
      <c r="A6" s="2841" t="str">
        <f>IF('数据-取费表'!E3="否",结果表!A123,'结果表 (1修多)'!A126)</f>
        <v>——</v>
      </c>
      <c r="B6" s="2841"/>
      <c r="C6" s="2841"/>
      <c r="D6" s="2841">
        <f>IF('数据-取费表'!E3="否",结果表!D123,'结果表 (1修多)'!D126)</f>
        <v>0</v>
      </c>
      <c r="E6" s="2841"/>
      <c r="F6" s="2841"/>
      <c r="G6" s="2841"/>
      <c r="H6" s="2841"/>
      <c r="I6" s="2841"/>
    </row>
    <row r="7" spans="1:9" ht="15">
      <c r="A7" s="2839" t="s">
        <v>1271</v>
      </c>
      <c r="B7" s="2839"/>
      <c r="C7" s="2839"/>
      <c r="D7" s="2847">
        <f>IF('数据-取费表'!E3="否",结果表!D124,'结果表 (1修多)'!D127)</f>
        <v>0</v>
      </c>
      <c r="E7" s="2848"/>
      <c r="F7" s="2848"/>
      <c r="G7" s="2848"/>
      <c r="H7" s="2848"/>
      <c r="I7" s="2849"/>
    </row>
    <row r="8" spans="1:9" ht="15.75">
      <c r="A8" s="2841" t="str">
        <f>IF('数据-取费表'!E3="否",结果表!A125,'结果表 (1修多)'!A128)</f>
        <v>——</v>
      </c>
      <c r="B8" s="2841"/>
      <c r="C8" s="2841"/>
      <c r="D8" s="2841" t="e">
        <f ca="1">IF('数据-取费表'!E3="否",结果表!D125,'结果表 (1修多)'!D128)</f>
        <v>#REF!</v>
      </c>
      <c r="E8" s="2841"/>
      <c r="F8" s="2841"/>
      <c r="G8" s="2841"/>
      <c r="H8" s="2841"/>
      <c r="I8" s="2841"/>
    </row>
    <row r="9" spans="1:9" ht="15">
      <c r="A9" s="2839" t="s">
        <v>1271</v>
      </c>
      <c r="B9" s="2839"/>
      <c r="C9" s="2839"/>
      <c r="D9" s="2840" t="e">
        <f ca="1">IF('数据-取费表'!E3="否",结果表!D126,'结果表 (1修多)'!D129)</f>
        <v>#REF!</v>
      </c>
      <c r="E9" s="2840"/>
      <c r="F9" s="2840"/>
      <c r="G9" s="2840"/>
      <c r="H9" s="2840"/>
      <c r="I9" s="2840"/>
    </row>
    <row r="10" spans="1:9" ht="15.75">
      <c r="A10" s="2841" t="str">
        <f>IF('数据-取费表'!E3="否",结果表!A127,'结果表 (1修多)'!A130)</f>
        <v>——</v>
      </c>
      <c r="B10" s="2841"/>
      <c r="C10" s="2841"/>
      <c r="D10" s="2841" t="str">
        <f>IF('数据-取费表'!E3="否",结果表!D127,'结果表 (1修多)'!D129)</f>
        <v>——</v>
      </c>
      <c r="E10" s="2841"/>
      <c r="F10" s="2841"/>
      <c r="G10" s="2841"/>
      <c r="H10" s="2841"/>
      <c r="I10" s="2841"/>
    </row>
    <row r="11" spans="1:9" ht="15">
      <c r="A11" s="2839" t="s">
        <v>1271</v>
      </c>
      <c r="B11" s="2839"/>
      <c r="C11" s="2839"/>
      <c r="D11" s="2840" t="str">
        <f>IF('数据-取费表'!E3="否",结果表!D128,'结果表 (1修多)'!D131)</f>
        <v>——</v>
      </c>
      <c r="E11" s="2840"/>
      <c r="F11" s="2840"/>
      <c r="G11" s="2840"/>
      <c r="H11" s="2840"/>
      <c r="I11" s="2840"/>
    </row>
    <row r="12" spans="1:9" ht="15.75">
      <c r="A12" s="2841" t="str">
        <f>IF('数据-取费表'!E3="否",结果表!A129,'结果表 (1修多)'!A132)</f>
        <v>——</v>
      </c>
      <c r="B12" s="2841"/>
      <c r="C12" s="2841"/>
      <c r="D12" s="2841" t="str">
        <f>IF('数据-取费表'!E3="否",结果表!D129,'结果表 (1修多)'!D132)</f>
        <v>——</v>
      </c>
      <c r="E12" s="2841"/>
      <c r="F12" s="2841"/>
      <c r="G12" s="2841"/>
      <c r="H12" s="2841"/>
      <c r="I12" s="2841"/>
    </row>
    <row r="13" spans="1:9" ht="15.75" thickBot="1">
      <c r="A13" s="2842" t="s">
        <v>1271</v>
      </c>
      <c r="B13" s="2842"/>
      <c r="C13" s="2842"/>
      <c r="D13" s="2843">
        <f>IF('数据-取费表'!E3="否",结果表!D130,'结果表 (1修多)'!D133)</f>
        <v>0</v>
      </c>
      <c r="E13" s="2843"/>
      <c r="F13" s="2843"/>
      <c r="G13" s="2843"/>
      <c r="H13" s="2843"/>
      <c r="I13" s="2843"/>
    </row>
    <row r="14" spans="1:9" ht="15" thickTop="1">
      <c r="A14" s="2844" t="str">
        <f>IF('数据-取费表'!E3="否",结果表!A131,'结果表 (1修多)'!A134)</f>
        <v>单位：平方米、元、元/平方米（币种：人民币）</v>
      </c>
      <c r="B14" s="2844"/>
      <c r="C14" s="2844"/>
      <c r="D14" s="2844"/>
      <c r="E14" s="2844"/>
      <c r="F14" s="2844"/>
      <c r="G14" s="2844"/>
      <c r="H14" s="2844"/>
      <c r="I14" s="2844"/>
    </row>
    <row r="15" spans="1:9">
      <c r="A15" s="715"/>
      <c r="B15" s="715"/>
      <c r="C15" s="715"/>
      <c r="D15" s="715"/>
      <c r="E15" s="715"/>
      <c r="F15" s="715"/>
      <c r="G15" s="715"/>
      <c r="H15" s="715"/>
      <c r="I15" s="715"/>
    </row>
    <row r="16" spans="1:9" ht="18.75">
      <c r="A16" s="1945" t="s">
        <v>1272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51" t="s">
        <v>1285</v>
      </c>
      <c r="B1" s="2851"/>
      <c r="C1" s="2851"/>
      <c r="D1" s="2851"/>
    </row>
    <row r="2" spans="1:4" ht="18">
      <c r="A2" s="2850" t="s">
        <v>1273</v>
      </c>
      <c r="B2" s="2850"/>
      <c r="C2" s="2850"/>
      <c r="D2" s="2850"/>
    </row>
    <row r="3" spans="1:4" ht="18.75">
      <c r="A3" s="1946" t="s">
        <v>1274</v>
      </c>
      <c r="B3" s="1946" t="s">
        <v>1275</v>
      </c>
      <c r="C3" s="1946" t="s">
        <v>1276</v>
      </c>
      <c r="D3" s="1946" t="s">
        <v>1277</v>
      </c>
    </row>
    <row r="4" spans="1:4" ht="56.25" customHeight="1">
      <c r="A4" s="1947" t="str">
        <f>项目基本情况!B3</f>
        <v>陈颖</v>
      </c>
      <c r="B4" s="1948">
        <f ca="1">项目基本情况!C3</f>
        <v>1120060040</v>
      </c>
      <c r="C4" s="1949"/>
      <c r="D4" s="1950" t="s">
        <v>1286</v>
      </c>
    </row>
    <row r="5" spans="1:4" ht="56.25" customHeight="1">
      <c r="A5" s="1947" t="str">
        <f>项目基本情况!D3</f>
        <v>叶凌</v>
      </c>
      <c r="B5" s="1948">
        <f ca="1">项目基本情况!E3</f>
        <v>1119970111</v>
      </c>
      <c r="C5" s="1951"/>
      <c r="D5" s="1950" t="s">
        <v>1286</v>
      </c>
    </row>
    <row r="6" spans="1:4" ht="12" customHeight="1">
      <c r="A6" s="1947"/>
      <c r="B6" s="1948"/>
      <c r="C6" s="1952"/>
      <c r="D6" s="1950"/>
    </row>
    <row r="7" spans="1:4" ht="18">
      <c r="A7" s="2850" t="s">
        <v>1278</v>
      </c>
      <c r="B7" s="2850"/>
      <c r="C7" s="2850"/>
      <c r="D7" s="2850"/>
    </row>
    <row r="8" spans="1:4" ht="18.75">
      <c r="A8" s="1946" t="s">
        <v>1274</v>
      </c>
      <c r="B8" s="1948" t="s">
        <v>1279</v>
      </c>
      <c r="C8" s="1946" t="s">
        <v>1276</v>
      </c>
      <c r="D8" s="1946" t="s">
        <v>1277</v>
      </c>
    </row>
    <row r="9" spans="1:4" ht="56.25" customHeight="1">
      <c r="A9" s="1953" t="s">
        <v>786</v>
      </c>
      <c r="B9" s="1953" t="s">
        <v>787</v>
      </c>
      <c r="C9" s="1949"/>
      <c r="D9" s="1950" t="s">
        <v>1286</v>
      </c>
    </row>
    <row r="11" spans="1:4" ht="18.75">
      <c r="A11" s="1954" t="s">
        <v>1280</v>
      </c>
    </row>
    <row r="12" spans="1:4" ht="30" customHeight="1">
      <c r="A12" s="2852" t="s">
        <v>1287</v>
      </c>
      <c r="B12" s="2853"/>
      <c r="C12" s="2853"/>
      <c r="D12" s="2853"/>
    </row>
    <row r="13" spans="1:4" ht="15.75">
      <c r="A13" s="28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53"/>
      <c r="C13" s="2853"/>
      <c r="D13" s="2853"/>
    </row>
    <row r="14" spans="1:4" ht="30" customHeight="1">
      <c r="A14" s="2852" t="str">
        <f>IF(项目基本情况!D4="抵押","3.抵押双方在办理抵押登记手续时，应使用本公司出具的正式《房地产评估报告》，特提醒报告使用者注意。","——")</f>
        <v>——</v>
      </c>
      <c r="B14" s="2853"/>
      <c r="C14" s="2853"/>
      <c r="D14" s="2853"/>
    </row>
    <row r="15" spans="1:4" ht="15.75" customHeight="1">
      <c r="A15" s="2852" t="str">
        <f>IF(项目基本情况!D4="抵押","4.本次评估估价师所知悉的法定优先受偿款情况说明如下：","——")</f>
        <v>——</v>
      </c>
      <c r="B15" s="2853"/>
      <c r="C15" s="2853"/>
      <c r="D15" s="2853"/>
    </row>
    <row r="16" spans="1:4" ht="75" customHeight="1">
      <c r="A16" s="2852" t="str">
        <f>IF(项目基本情况!D4="抵押",CONCATENATE(项目基本情况!J13,项目基本情况!J14,项目基本情况!J15),"——")</f>
        <v>——</v>
      </c>
      <c r="B16" s="2852"/>
      <c r="C16" s="2852"/>
      <c r="D16" s="2852"/>
    </row>
    <row r="17" spans="1:4" ht="63.75" customHeight="1">
      <c r="A17" s="2854" t="s">
        <v>1288</v>
      </c>
      <c r="B17" s="2854"/>
      <c r="C17" s="2854"/>
      <c r="D17" s="2854"/>
    </row>
    <row r="18" spans="1:4" ht="15.75" customHeight="1">
      <c r="A18" s="2852" t="str">
        <f>IF(项目基本情况!D4="抵押",结果表!K106,"——")</f>
        <v>——</v>
      </c>
      <c r="B18" s="2852"/>
      <c r="C18" s="2852"/>
      <c r="D18" s="2852"/>
    </row>
    <row r="19" spans="1:4" ht="46.5" customHeight="1">
      <c r="A19" s="28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2"/>
      <c r="C19" s="2852"/>
      <c r="D19" s="2852"/>
    </row>
    <row r="20" spans="1:4" ht="15">
      <c r="A20" s="2854" t="s">
        <v>1281</v>
      </c>
      <c r="B20" s="2854"/>
      <c r="C20" s="2854"/>
      <c r="D20" s="2854"/>
    </row>
    <row r="21" spans="1:4">
      <c r="A21" s="1955"/>
      <c r="B21" s="1290"/>
      <c r="C21" s="1290"/>
      <c r="D21" s="1290"/>
    </row>
    <row r="22" spans="1:4">
      <c r="A22" s="1955"/>
      <c r="B22" s="1290"/>
      <c r="C22" s="1290"/>
      <c r="D22" s="1290"/>
    </row>
    <row r="23" spans="1:4" ht="18.75">
      <c r="A23" s="1916" t="s">
        <v>1282</v>
      </c>
    </row>
    <row r="24" spans="1:4" ht="18">
      <c r="A24" s="1916"/>
    </row>
    <row r="25" spans="1:4" ht="18.75">
      <c r="A25" s="1916" t="s">
        <v>1283</v>
      </c>
    </row>
    <row r="28" spans="1:4" ht="21" customHeight="1">
      <c r="D28" s="1956" t="s">
        <v>1284</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4" customWidth="1"/>
    <col min="2" max="16384" width="14.5" style="715"/>
  </cols>
  <sheetData>
    <row r="1" spans="1:7" s="1945" customFormat="1" ht="18.75">
      <c r="A1" s="713" t="s">
        <v>1355</v>
      </c>
    </row>
    <row r="3" spans="1:7" ht="14.25">
      <c r="A3" s="1962" t="s">
        <v>1356</v>
      </c>
      <c r="B3" s="715" t="s">
        <v>1357</v>
      </c>
      <c r="G3" s="1963"/>
    </row>
    <row r="4" spans="1:7">
      <c r="G4" s="1963"/>
    </row>
    <row r="5" spans="1:7" ht="14.25">
      <c r="A5" s="1965" t="s">
        <v>1358</v>
      </c>
      <c r="B5" s="715" t="s">
        <v>1359</v>
      </c>
      <c r="G5" s="1963"/>
    </row>
    <row r="6" spans="1:7">
      <c r="G6" s="1963"/>
    </row>
    <row r="7" spans="1:7" ht="14.25">
      <c r="A7" s="1966" t="s">
        <v>1360</v>
      </c>
      <c r="B7" s="715" t="s">
        <v>1361</v>
      </c>
      <c r="G7" s="1963"/>
    </row>
    <row r="8" spans="1:7">
      <c r="G8" s="1963"/>
    </row>
    <row r="9" spans="1:7">
      <c r="A9" s="1967" t="s">
        <v>1362</v>
      </c>
      <c r="B9" s="715" t="s">
        <v>1363</v>
      </c>
    </row>
    <row r="11" spans="1:7">
      <c r="A11" s="1968" t="s">
        <v>1364</v>
      </c>
      <c r="B11" s="1969" t="s">
        <v>1365</v>
      </c>
    </row>
    <row r="13" spans="1:7">
      <c r="A13" s="1682" t="s">
        <v>1366</v>
      </c>
    </row>
    <row r="15" spans="1:7" ht="14.25">
      <c r="A15" s="2860" t="s">
        <v>1367</v>
      </c>
      <c r="B15" s="2855" t="s">
        <v>1368</v>
      </c>
      <c r="C15" s="2856"/>
    </row>
    <row r="16" spans="1:7" ht="14.25">
      <c r="A16" s="2861"/>
      <c r="B16" s="2855" t="s">
        <v>1369</v>
      </c>
      <c r="C16" s="2856"/>
    </row>
    <row r="17" spans="1:3" ht="14.25">
      <c r="A17" s="2861"/>
      <c r="B17" s="2855" t="s">
        <v>1370</v>
      </c>
      <c r="C17" s="2856"/>
    </row>
    <row r="18" spans="1:3" ht="14.25">
      <c r="A18" s="2862"/>
      <c r="B18" s="2857" t="s">
        <v>1371</v>
      </c>
      <c r="C18" s="2856"/>
    </row>
    <row r="19" spans="1:3" ht="14.25">
      <c r="A19" s="1970" t="s">
        <v>1372</v>
      </c>
      <c r="B19" s="1971"/>
      <c r="C19" s="1972"/>
    </row>
    <row r="20" spans="1:3" ht="14.25">
      <c r="A20" s="2858" t="s">
        <v>1373</v>
      </c>
      <c r="B20" s="2857" t="s">
        <v>1374</v>
      </c>
      <c r="C20" s="2856"/>
    </row>
    <row r="21" spans="1:3" ht="14.25">
      <c r="A21" s="2858"/>
      <c r="B21" s="2857" t="s">
        <v>1375</v>
      </c>
      <c r="C21" s="2856"/>
    </row>
    <row r="22" spans="1:3" ht="14.25">
      <c r="A22" s="2858"/>
      <c r="B22" s="2857" t="s">
        <v>1376</v>
      </c>
      <c r="C22" s="2856"/>
    </row>
    <row r="23" spans="1:3" ht="14.25">
      <c r="A23" s="2858"/>
      <c r="B23" s="2859" t="s">
        <v>1377</v>
      </c>
      <c r="C23" s="1973" t="s">
        <v>1378</v>
      </c>
    </row>
    <row r="24" spans="1:3" ht="14.25">
      <c r="A24" s="2858"/>
      <c r="B24" s="2859"/>
      <c r="C24" s="1973" t="s">
        <v>1379</v>
      </c>
    </row>
    <row r="25" spans="1:3" ht="14.25">
      <c r="A25" s="2858"/>
      <c r="B25" s="2859"/>
      <c r="C25" s="1973" t="s">
        <v>1380</v>
      </c>
    </row>
    <row r="26" spans="1:3" ht="14.25">
      <c r="A26" s="2858"/>
      <c r="B26" s="2859"/>
      <c r="C26" s="1973" t="s">
        <v>1381</v>
      </c>
    </row>
    <row r="27" spans="1:3" ht="14.25">
      <c r="A27" s="2858"/>
      <c r="B27" s="2859"/>
      <c r="C27" s="1973" t="s">
        <v>1382</v>
      </c>
    </row>
    <row r="28" spans="1:3" ht="14.25">
      <c r="A28" s="2858"/>
      <c r="B28" s="2859"/>
      <c r="C28" s="1973" t="s">
        <v>1383</v>
      </c>
    </row>
    <row r="29" spans="1:3" ht="14.25">
      <c r="A29" s="2858"/>
      <c r="B29" s="2859"/>
      <c r="C29" s="1973" t="s">
        <v>1384</v>
      </c>
    </row>
    <row r="30" spans="1:3" ht="14.25">
      <c r="A30" s="2858"/>
      <c r="B30" s="2859"/>
      <c r="C30" s="1973" t="s">
        <v>1385</v>
      </c>
    </row>
    <row r="31" spans="1:3" ht="14.25">
      <c r="A31" s="2858"/>
      <c r="B31" s="2859"/>
      <c r="C31" s="1973" t="s">
        <v>1386</v>
      </c>
    </row>
    <row r="32" spans="1:3">
      <c r="A32" s="1974" t="s">
        <v>1387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63" t="s">
        <v>769</v>
      </c>
      <c r="B25" s="2863"/>
      <c r="C25" s="2863"/>
      <c r="D25" s="2863"/>
      <c r="E25" s="2863"/>
      <c r="F25" s="2863"/>
      <c r="G25" s="2863"/>
      <c r="H25" s="2863"/>
    </row>
    <row r="26" spans="1:8" s="1034" customFormat="1" ht="24" customHeight="1">
      <c r="A26" s="2864" t="s">
        <v>770</v>
      </c>
      <c r="B26" s="2864"/>
      <c r="C26" s="2864"/>
      <c r="D26" s="1062"/>
      <c r="E26" s="1062"/>
      <c r="F26" s="2864" t="s">
        <v>771</v>
      </c>
      <c r="G26" s="2864"/>
      <c r="H26" s="286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1246</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5" t="s">
        <v>1388</v>
      </c>
      <c r="B1" s="4" t="s">
        <v>1389</v>
      </c>
      <c r="C1" s="1976" t="s">
        <v>1390</v>
      </c>
      <c r="D1" s="5" t="s">
        <v>1391</v>
      </c>
      <c r="E1" s="5" t="s">
        <v>1392</v>
      </c>
      <c r="F1" s="5" t="s">
        <v>1393</v>
      </c>
      <c r="G1" s="5" t="s">
        <v>1394</v>
      </c>
      <c r="H1" s="5" t="s">
        <v>1395</v>
      </c>
      <c r="I1" s="5" t="s">
        <v>1396</v>
      </c>
      <c r="J1" s="5" t="s">
        <v>1397</v>
      </c>
      <c r="K1" s="5" t="s">
        <v>1398</v>
      </c>
      <c r="L1" s="5" t="s">
        <v>1399</v>
      </c>
      <c r="M1" s="5" t="s">
        <v>1400</v>
      </c>
      <c r="N1" s="5" t="s">
        <v>1401</v>
      </c>
      <c r="O1" s="5" t="s">
        <v>1402</v>
      </c>
      <c r="P1" s="1977" t="s">
        <v>1403</v>
      </c>
      <c r="Q1" s="1977" t="s">
        <v>1404</v>
      </c>
      <c r="R1" s="1977" t="s">
        <v>1405</v>
      </c>
      <c r="S1" s="5" t="s">
        <v>1406</v>
      </c>
      <c r="T1" s="6" t="s">
        <v>1407</v>
      </c>
      <c r="U1" s="5" t="s">
        <v>1408</v>
      </c>
      <c r="V1" s="5" t="s">
        <v>1409</v>
      </c>
      <c r="W1" s="5" t="s">
        <v>1410</v>
      </c>
      <c r="X1" s="5" t="s">
        <v>1411</v>
      </c>
      <c r="Y1" s="5" t="s">
        <v>1412</v>
      </c>
    </row>
    <row r="2" spans="1:25">
      <c r="A2" s="1978" t="s">
        <v>33</v>
      </c>
      <c r="B2" s="1978" t="s">
        <v>1413</v>
      </c>
      <c r="C2" s="1979" t="s">
        <v>1414</v>
      </c>
      <c r="D2" s="7" t="s">
        <v>1415</v>
      </c>
      <c r="E2" s="7" t="s">
        <v>1416</v>
      </c>
      <c r="F2" s="7" t="s">
        <v>1417</v>
      </c>
      <c r="G2" s="7">
        <v>40</v>
      </c>
      <c r="H2" s="7" t="s">
        <v>1417</v>
      </c>
      <c r="I2" s="7" t="s">
        <v>1418</v>
      </c>
      <c r="J2" s="7" t="s">
        <v>1419</v>
      </c>
      <c r="K2" s="7" t="s">
        <v>1420</v>
      </c>
      <c r="L2" s="7" t="s">
        <v>1420</v>
      </c>
      <c r="M2" s="7" t="s">
        <v>1420</v>
      </c>
      <c r="N2" s="7" t="s">
        <v>1420</v>
      </c>
      <c r="O2" s="7" t="s">
        <v>1420</v>
      </c>
      <c r="P2" s="7" t="s">
        <v>1420</v>
      </c>
      <c r="Q2" s="7" t="s">
        <v>1420</v>
      </c>
      <c r="R2" s="7" t="s">
        <v>1421</v>
      </c>
      <c r="S2" s="7" t="s">
        <v>1420</v>
      </c>
      <c r="T2" s="7" t="s">
        <v>1422</v>
      </c>
      <c r="U2" s="7" t="s">
        <v>1420</v>
      </c>
      <c r="V2" s="7" t="s">
        <v>1423</v>
      </c>
      <c r="W2" s="7" t="s">
        <v>1420</v>
      </c>
      <c r="X2" s="7" t="s">
        <v>1424</v>
      </c>
      <c r="Y2" s="7" t="s">
        <v>1425</v>
      </c>
    </row>
    <row r="3" spans="1:25">
      <c r="A3" s="1978" t="s">
        <v>1426</v>
      </c>
      <c r="B3" s="1980" t="s">
        <v>1427</v>
      </c>
      <c r="C3" s="1277" t="s">
        <v>1428</v>
      </c>
      <c r="D3" s="7" t="s">
        <v>1429</v>
      </c>
      <c r="E3" s="7" t="s">
        <v>13</v>
      </c>
      <c r="F3" s="7" t="s">
        <v>1430</v>
      </c>
      <c r="G3" s="7">
        <v>50</v>
      </c>
      <c r="H3" s="7" t="s">
        <v>1430</v>
      </c>
      <c r="I3" s="7" t="s">
        <v>1431</v>
      </c>
      <c r="J3" s="7" t="s">
        <v>1432</v>
      </c>
      <c r="K3" s="7" t="s">
        <v>1433</v>
      </c>
      <c r="L3" s="7" t="s">
        <v>1433</v>
      </c>
      <c r="M3" s="7" t="s">
        <v>1433</v>
      </c>
      <c r="N3" s="7" t="s">
        <v>1433</v>
      </c>
      <c r="O3" s="7" t="s">
        <v>1433</v>
      </c>
      <c r="P3" s="7" t="s">
        <v>1433</v>
      </c>
      <c r="Q3" s="7" t="s">
        <v>1433</v>
      </c>
      <c r="R3" s="7" t="s">
        <v>1434</v>
      </c>
      <c r="S3" s="7" t="s">
        <v>1433</v>
      </c>
      <c r="T3" s="7" t="s">
        <v>1435</v>
      </c>
      <c r="U3" s="7" t="s">
        <v>1433</v>
      </c>
      <c r="V3" s="7" t="s">
        <v>1436</v>
      </c>
      <c r="W3" s="7" t="s">
        <v>1433</v>
      </c>
      <c r="X3" s="7" t="s">
        <v>1437</v>
      </c>
      <c r="Y3" s="7" t="s">
        <v>1438</v>
      </c>
    </row>
    <row r="4" spans="1:25">
      <c r="A4" s="1978" t="s">
        <v>1439</v>
      </c>
      <c r="B4" s="1980" t="s">
        <v>1440</v>
      </c>
      <c r="C4" s="1979" t="s">
        <v>1441</v>
      </c>
      <c r="D4" s="7" t="s">
        <v>13</v>
      </c>
      <c r="E4" s="7" t="s">
        <v>1442</v>
      </c>
      <c r="F4" s="7" t="s">
        <v>1443</v>
      </c>
      <c r="G4" s="7">
        <v>70</v>
      </c>
      <c r="H4" s="7" t="s">
        <v>1443</v>
      </c>
      <c r="I4" s="7" t="s">
        <v>1444</v>
      </c>
      <c r="K4" s="7" t="s">
        <v>1445</v>
      </c>
      <c r="L4" s="7" t="s">
        <v>1445</v>
      </c>
      <c r="M4" s="7" t="s">
        <v>1445</v>
      </c>
      <c r="N4" s="7" t="s">
        <v>1445</v>
      </c>
      <c r="O4" s="7" t="s">
        <v>1445</v>
      </c>
      <c r="P4" s="7" t="s">
        <v>1445</v>
      </c>
      <c r="Q4" s="7" t="s">
        <v>1445</v>
      </c>
      <c r="R4" s="7" t="s">
        <v>1446</v>
      </c>
      <c r="S4" s="7" t="s">
        <v>1445</v>
      </c>
      <c r="T4" s="7" t="s">
        <v>1447</v>
      </c>
      <c r="U4" s="7" t="s">
        <v>1445</v>
      </c>
      <c r="W4" s="7" t="s">
        <v>1445</v>
      </c>
      <c r="X4" s="7" t="s">
        <v>1448</v>
      </c>
      <c r="Y4" s="7" t="s">
        <v>1449</v>
      </c>
    </row>
    <row r="5" spans="1:25">
      <c r="A5" s="1978" t="s">
        <v>1450</v>
      </c>
      <c r="B5" s="1978" t="s">
        <v>1451</v>
      </c>
      <c r="C5" s="1979" t="s">
        <v>1452</v>
      </c>
      <c r="F5" s="7" t="s">
        <v>1453</v>
      </c>
      <c r="H5" s="7" t="s">
        <v>1454</v>
      </c>
      <c r="I5" s="7" t="s">
        <v>1455</v>
      </c>
      <c r="K5" s="7" t="s">
        <v>1456</v>
      </c>
      <c r="L5" s="7" t="s">
        <v>1456</v>
      </c>
      <c r="M5" s="7" t="s">
        <v>1456</v>
      </c>
      <c r="N5" s="7" t="s">
        <v>1456</v>
      </c>
      <c r="O5" s="7" t="s">
        <v>1456</v>
      </c>
      <c r="P5" s="7" t="s">
        <v>1456</v>
      </c>
      <c r="Q5" s="7" t="s">
        <v>1456</v>
      </c>
      <c r="R5" s="7" t="s">
        <v>1457</v>
      </c>
      <c r="S5" s="7" t="s">
        <v>1456</v>
      </c>
      <c r="T5" s="7" t="s">
        <v>1458</v>
      </c>
      <c r="U5" s="7" t="s">
        <v>1456</v>
      </c>
      <c r="W5" s="7" t="s">
        <v>1456</v>
      </c>
      <c r="X5" s="1981"/>
    </row>
    <row r="6" spans="1:25">
      <c r="A6" s="1978" t="s">
        <v>1459</v>
      </c>
      <c r="B6" s="1978" t="s">
        <v>1460</v>
      </c>
      <c r="C6" s="1246" t="s">
        <v>1461</v>
      </c>
      <c r="F6" s="7" t="s">
        <v>1462</v>
      </c>
      <c r="H6" s="7" t="s">
        <v>1463</v>
      </c>
      <c r="I6" s="7" t="s">
        <v>1464</v>
      </c>
      <c r="K6" s="7" t="s">
        <v>1465</v>
      </c>
      <c r="L6" s="7" t="s">
        <v>1465</v>
      </c>
      <c r="M6" s="7" t="s">
        <v>1465</v>
      </c>
      <c r="N6" s="7" t="s">
        <v>1465</v>
      </c>
      <c r="O6" s="7" t="s">
        <v>1465</v>
      </c>
      <c r="P6" s="7" t="s">
        <v>1465</v>
      </c>
      <c r="Q6" s="7" t="s">
        <v>1465</v>
      </c>
      <c r="R6" s="7" t="s">
        <v>1466</v>
      </c>
      <c r="S6" s="7" t="s">
        <v>1465</v>
      </c>
      <c r="T6" s="7"/>
      <c r="U6" s="7" t="s">
        <v>1465</v>
      </c>
      <c r="W6" s="7" t="s">
        <v>1465</v>
      </c>
      <c r="X6" s="1981"/>
    </row>
    <row r="7" spans="1:25">
      <c r="A7" s="1978" t="s">
        <v>1467</v>
      </c>
      <c r="B7" s="1980" t="s">
        <v>1468</v>
      </c>
      <c r="C7" s="1979" t="s">
        <v>1469</v>
      </c>
      <c r="F7" s="7" t="s">
        <v>1470</v>
      </c>
      <c r="H7" s="7" t="s">
        <v>1471</v>
      </c>
      <c r="I7" s="7" t="s">
        <v>1472</v>
      </c>
      <c r="X7" s="1981"/>
    </row>
    <row r="8" spans="1:25">
      <c r="A8" s="1978" t="s">
        <v>1473</v>
      </c>
      <c r="B8" s="1980" t="s">
        <v>1474</v>
      </c>
      <c r="C8" s="1979" t="s">
        <v>1475</v>
      </c>
      <c r="F8" s="7" t="s">
        <v>1476</v>
      </c>
      <c r="H8" s="7" t="s">
        <v>1477</v>
      </c>
      <c r="I8" s="7" t="s">
        <v>1478</v>
      </c>
      <c r="X8" s="1981"/>
    </row>
    <row r="9" spans="1:25">
      <c r="A9" s="1978" t="s">
        <v>1479</v>
      </c>
      <c r="B9" s="1978" t="s">
        <v>1480</v>
      </c>
      <c r="C9" s="1979" t="s">
        <v>1481</v>
      </c>
      <c r="F9" s="7" t="s">
        <v>1482</v>
      </c>
      <c r="H9" s="7" t="s">
        <v>1483</v>
      </c>
    </row>
    <row r="10" spans="1:25">
      <c r="A10" s="1978" t="s">
        <v>1484</v>
      </c>
      <c r="B10" s="1978" t="s">
        <v>1485</v>
      </c>
      <c r="C10" s="1979" t="s">
        <v>1486</v>
      </c>
      <c r="F10" s="7" t="s">
        <v>13</v>
      </c>
    </row>
    <row r="11" spans="1:25">
      <c r="A11" s="1978" t="s">
        <v>1487</v>
      </c>
      <c r="B11" s="1978" t="s">
        <v>1488</v>
      </c>
      <c r="C11" s="1979" t="s">
        <v>1489</v>
      </c>
    </row>
    <row r="12" spans="1:25">
      <c r="A12" s="1978" t="s">
        <v>1490</v>
      </c>
      <c r="B12" s="1978" t="s">
        <v>1491</v>
      </c>
      <c r="C12" s="1979" t="s">
        <v>1492</v>
      </c>
    </row>
    <row r="13" spans="1:25">
      <c r="A13" s="1978" t="s">
        <v>1493</v>
      </c>
      <c r="B13" s="1978" t="s">
        <v>1494</v>
      </c>
      <c r="C13" s="1979" t="s">
        <v>1495</v>
      </c>
    </row>
    <row r="14" spans="1:25">
      <c r="A14" s="1978" t="s">
        <v>1496</v>
      </c>
      <c r="B14" s="1978" t="s">
        <v>1497</v>
      </c>
      <c r="C14" s="1979"/>
    </row>
    <row r="15" spans="1:25">
      <c r="A15" s="1978" t="s">
        <v>1498</v>
      </c>
      <c r="B15" s="1978" t="s">
        <v>1499</v>
      </c>
      <c r="C15" s="1979"/>
    </row>
    <row r="16" spans="1:25">
      <c r="A16" s="1978" t="s">
        <v>1500</v>
      </c>
      <c r="B16" s="1978" t="s">
        <v>1501</v>
      </c>
      <c r="C16" s="1979"/>
    </row>
    <row r="17" spans="1:3">
      <c r="A17" s="1978" t="s">
        <v>1502</v>
      </c>
      <c r="B17" s="1978" t="s">
        <v>1503</v>
      </c>
      <c r="C17" s="1979"/>
    </row>
    <row r="18" spans="1:3">
      <c r="A18" s="1978" t="s">
        <v>1504</v>
      </c>
      <c r="B18" s="1978" t="s">
        <v>1505</v>
      </c>
      <c r="C18" s="1979"/>
    </row>
    <row r="19" spans="1:3">
      <c r="A19" s="1978" t="s">
        <v>1506</v>
      </c>
      <c r="B19" s="1978" t="s">
        <v>1507</v>
      </c>
      <c r="C19" s="1979"/>
    </row>
    <row r="20" spans="1:3">
      <c r="A20" s="1978" t="s">
        <v>1508</v>
      </c>
      <c r="B20" s="1978" t="s">
        <v>740</v>
      </c>
      <c r="C20" s="1979"/>
    </row>
    <row r="21" spans="1:3">
      <c r="A21" s="1978" t="s">
        <v>1509</v>
      </c>
      <c r="B21" s="1978" t="s">
        <v>740</v>
      </c>
      <c r="C21" s="1979"/>
    </row>
    <row r="22" spans="1:3">
      <c r="A22" s="1978" t="s">
        <v>1510</v>
      </c>
      <c r="B22" s="1978" t="s">
        <v>740</v>
      </c>
      <c r="C22" s="1979"/>
    </row>
    <row r="23" spans="1:3">
      <c r="A23" s="1978" t="s">
        <v>1511</v>
      </c>
      <c r="B23" s="1978" t="s">
        <v>740</v>
      </c>
      <c r="C23" s="1979"/>
    </row>
    <row r="24" spans="1:3">
      <c r="A24" s="1978" t="s">
        <v>1512</v>
      </c>
      <c r="B24" s="1978" t="s">
        <v>740</v>
      </c>
      <c r="C24" s="1979"/>
    </row>
    <row r="25" spans="1:3">
      <c r="A25" s="1978" t="s">
        <v>1513</v>
      </c>
      <c r="B25" s="1978" t="s">
        <v>740</v>
      </c>
      <c r="C25" s="1979"/>
    </row>
    <row r="26" spans="1:3">
      <c r="A26" s="1978" t="s">
        <v>1514</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1515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1516</v>
      </c>
    </row>
    <row r="52" spans="1:4">
      <c r="A52" s="1982" t="s">
        <v>1517</v>
      </c>
      <c r="B52" s="1982" t="s">
        <v>1518</v>
      </c>
      <c r="C52" s="9" t="s">
        <v>1519</v>
      </c>
      <c r="D52" s="9" t="s">
        <v>1520</v>
      </c>
    </row>
    <row r="53" spans="1:4" ht="14.25" customHeight="1">
      <c r="A53" s="2865" t="s">
        <v>1521</v>
      </c>
      <c r="B53" s="9" t="s">
        <v>1522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本次估价的“房地产价值”是指在正常市场情况下，在价值时点2017年12月8日，估价对象规划用途为商业，假定未设立法定优先受偿款下的房地产市场价值。</v>
      </c>
    </row>
    <row r="54" spans="1:4">
      <c r="A54" s="2865"/>
      <c r="B54" s="9" t="s">
        <v>1523</v>
      </c>
      <c r="C54" s="9" t="s">
        <v>1524</v>
      </c>
    </row>
    <row r="55" spans="1:4">
      <c r="A55" s="2865"/>
      <c r="B55" s="9" t="s">
        <v>1525</v>
      </c>
      <c r="C55" s="9" t="s">
        <v>1526</v>
      </c>
    </row>
    <row r="56" spans="1:4">
      <c r="A56" s="2865"/>
      <c r="B56" s="9" t="s">
        <v>1527</v>
      </c>
      <c r="C56" s="9" t="s">
        <v>1528</v>
      </c>
    </row>
    <row r="57" spans="1:4">
      <c r="A57" s="2865"/>
      <c r="B57" s="9" t="s">
        <v>1529</v>
      </c>
      <c r="C57" s="9" t="s">
        <v>1530</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收益法（反）</vt:lpstr>
      <vt:lpstr>存贷款利率</vt:lpstr>
      <vt:lpstr>案例</vt:lpstr>
      <vt:lpstr>'收益法（反）'!Print_Area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2017-12-13T02:59:49Z</dcterms:modified>
</cp:coreProperties>
</file>