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4400" windowHeight="11760"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商业" sheetId="73" r:id="rId34"/>
    <sheet name="不动产收益法-车库"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4" i="66" l="1"/>
  <c r="B14" i="66"/>
  <c r="W27" i="1" l="1"/>
  <c r="Y21" i="1"/>
  <c r="Y22" i="1"/>
  <c r="Y23" i="1"/>
  <c r="Y24" i="1"/>
  <c r="Y25" i="1"/>
  <c r="Y26" i="1"/>
  <c r="Y20" i="1"/>
  <c r="V27" i="1"/>
  <c r="W25" i="1"/>
  <c r="W24" i="1"/>
  <c r="V25" i="1"/>
  <c r="V22" i="1"/>
  <c r="V21" i="1"/>
  <c r="V20" i="1"/>
  <c r="V24" i="1" s="1"/>
  <c r="E59" i="39"/>
  <c r="V23" i="1" l="1"/>
  <c r="W21" i="1"/>
  <c r="I40" i="39" l="1"/>
  <c r="G40" i="39"/>
  <c r="E40" i="39"/>
  <c r="C40" i="39"/>
  <c r="Q73" i="74"/>
  <c r="Q60" i="74"/>
  <c r="D60" i="74"/>
  <c r="Q59" i="74"/>
  <c r="K59" i="74"/>
  <c r="P75" i="74" s="1"/>
  <c r="F58" i="74"/>
  <c r="Q52" i="74"/>
  <c r="J50" i="74"/>
  <c r="M47" i="74"/>
  <c r="F34" i="74"/>
  <c r="F33" i="74"/>
  <c r="F60" i="74" s="1"/>
  <c r="F32" i="74"/>
  <c r="F59" i="74" s="1"/>
  <c r="F31" i="74"/>
  <c r="F28" i="74"/>
  <c r="F23" i="74"/>
  <c r="D24" i="74" s="1"/>
  <c r="F21" i="74"/>
  <c r="M20" i="74"/>
  <c r="F20" i="74"/>
  <c r="M19" i="74"/>
  <c r="M18" i="74"/>
  <c r="F18" i="74"/>
  <c r="M17" i="74"/>
  <c r="F17" i="74"/>
  <c r="F15" i="74"/>
  <c r="G1" i="74"/>
  <c r="Q73" i="73"/>
  <c r="Q60" i="73"/>
  <c r="D60" i="73"/>
  <c r="Q59" i="73"/>
  <c r="K59" i="73"/>
  <c r="P75" i="73" s="1"/>
  <c r="F58" i="73"/>
  <c r="Q52" i="73"/>
  <c r="J50" i="73"/>
  <c r="M47" i="73"/>
  <c r="F34" i="73"/>
  <c r="F33" i="73"/>
  <c r="F60" i="73" s="1"/>
  <c r="F32" i="73"/>
  <c r="F59" i="73" s="1"/>
  <c r="F31" i="73"/>
  <c r="F28" i="73"/>
  <c r="F23" i="73"/>
  <c r="D24" i="73" s="1"/>
  <c r="F21" i="73"/>
  <c r="M20" i="73"/>
  <c r="F20" i="73"/>
  <c r="M19" i="73"/>
  <c r="M18" i="73"/>
  <c r="F18" i="73"/>
  <c r="M17" i="73"/>
  <c r="F17" i="73"/>
  <c r="F15" i="73"/>
  <c r="G1" i="73"/>
  <c r="W26" i="1"/>
  <c r="W23" i="1"/>
  <c r="W22" i="1"/>
  <c r="F42" i="74"/>
  <c r="F36" i="74"/>
  <c r="M22" i="74"/>
  <c r="F38" i="74"/>
  <c r="F26" i="74"/>
  <c r="M9" i="74"/>
  <c r="M28" i="74"/>
  <c r="F7" i="74"/>
  <c r="F8" i="74"/>
  <c r="M23" i="74"/>
  <c r="F40" i="74"/>
  <c r="F9" i="74"/>
  <c r="J36" i="74"/>
  <c r="J15" i="74"/>
  <c r="F6" i="74"/>
  <c r="L47" i="74"/>
  <c r="D23" i="74" l="1"/>
  <c r="D22" i="74"/>
  <c r="F49" i="74"/>
  <c r="M7" i="74"/>
  <c r="C6" i="74"/>
  <c r="F63" i="74"/>
  <c r="Q72" i="74"/>
  <c r="F65" i="74"/>
  <c r="F67" i="74"/>
  <c r="F50" i="74"/>
  <c r="C27" i="74"/>
  <c r="P62" i="74"/>
  <c r="L46" i="74"/>
  <c r="F61" i="74"/>
  <c r="P62" i="73"/>
  <c r="D22" i="73"/>
  <c r="D23" i="73"/>
  <c r="L46" i="73"/>
  <c r="F61" i="73"/>
  <c r="F16" i="73"/>
  <c r="M9" i="73"/>
  <c r="M28" i="73"/>
  <c r="F37" i="73"/>
  <c r="F42" i="73"/>
  <c r="M8" i="74"/>
  <c r="M8" i="73"/>
  <c r="F16" i="74"/>
  <c r="L47" i="73"/>
  <c r="M22" i="73"/>
  <c r="M6" i="74"/>
  <c r="F36" i="73"/>
  <c r="M24" i="73"/>
  <c r="J36" i="73"/>
  <c r="M26" i="74"/>
  <c r="F26" i="73"/>
  <c r="M26" i="73"/>
  <c r="F9" i="73"/>
  <c r="F38" i="73"/>
  <c r="F40" i="73"/>
  <c r="F37" i="74"/>
  <c r="M6" i="73"/>
  <c r="M24" i="74"/>
  <c r="J15" i="73"/>
  <c r="F13" i="74"/>
  <c r="M23" i="73"/>
  <c r="F6" i="73"/>
  <c r="F8" i="73"/>
  <c r="F13" i="73"/>
  <c r="F64" i="74" l="1"/>
  <c r="F48" i="74"/>
  <c r="C48" i="74" s="1"/>
  <c r="J6" i="74"/>
  <c r="F64" i="73"/>
  <c r="F65" i="73"/>
  <c r="F63" i="73"/>
  <c r="F50" i="73"/>
  <c r="Q72" i="73"/>
  <c r="C27" i="73"/>
  <c r="F48" i="73"/>
  <c r="F67" i="73"/>
  <c r="G21" i="6" l="1"/>
  <c r="G20" i="6"/>
  <c r="V26" i="1" s="1"/>
  <c r="F20" i="6"/>
  <c r="F19" i="6"/>
  <c r="I9" i="39"/>
  <c r="G9" i="39"/>
  <c r="E9" i="39"/>
  <c r="I7" i="39"/>
  <c r="G7" i="39"/>
  <c r="E7" i="39"/>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L48" i="73"/>
  <c r="L58" i="73" l="1"/>
  <c r="S7" i="70"/>
  <c r="S6" i="70"/>
  <c r="S8" i="70"/>
  <c r="U8" i="70"/>
  <c r="U6" i="70"/>
  <c r="U7" i="70"/>
  <c r="P15" i="70"/>
  <c r="S26" i="70"/>
  <c r="S28" i="70"/>
  <c r="S27" i="70"/>
  <c r="U28" i="70"/>
  <c r="U27" i="70"/>
  <c r="U26" i="70"/>
  <c r="K3" i="70"/>
  <c r="R5" i="70"/>
  <c r="P5" i="70"/>
  <c r="T5" i="70"/>
  <c r="W5" i="70" s="1"/>
  <c r="O3" i="70"/>
  <c r="V5" i="70"/>
  <c r="R8" i="70"/>
  <c r="R7" i="70"/>
  <c r="R6" i="70"/>
  <c r="P9" i="70"/>
  <c r="T8" i="70"/>
  <c r="W8" i="70" s="1"/>
  <c r="T6" i="70"/>
  <c r="W6" i="70" s="1"/>
  <c r="T7" i="70"/>
  <c r="W7"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74" i="73" l="1"/>
  <c r="Q61" i="73"/>
  <c r="E25" i="69"/>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O39" i="59"/>
  <c r="Y39" i="59" s="1"/>
  <c r="Z39" i="59" s="1"/>
  <c r="N39" i="59"/>
  <c r="Q38" i="59"/>
  <c r="P38" i="59"/>
  <c r="O38" i="59"/>
  <c r="Y38" i="59" s="1"/>
  <c r="Z38" i="59" s="1"/>
  <c r="C39" i="59"/>
  <c r="C40" i="59" s="1"/>
  <c r="N38" i="59"/>
  <c r="B39" i="59"/>
  <c r="B40" i="59" s="1"/>
  <c r="B41" i="59" s="1"/>
  <c r="S41" i="59" s="1"/>
  <c r="D38" i="59"/>
  <c r="Q37" i="59"/>
  <c r="P37" i="59"/>
  <c r="AA37" i="59" s="1"/>
  <c r="O37" i="59"/>
  <c r="N37" i="59"/>
  <c r="X37" i="59" s="1"/>
  <c r="Q36" i="59"/>
  <c r="P36" i="59"/>
  <c r="AA36" i="59" s="1"/>
  <c r="O36" i="59"/>
  <c r="Y36" i="59" s="1"/>
  <c r="Z36" i="59" s="1"/>
  <c r="N36" i="59"/>
  <c r="X36" i="59" s="1"/>
  <c r="Q35" i="59"/>
  <c r="P35" i="59"/>
  <c r="AA35" i="59" s="1"/>
  <c r="O35" i="59"/>
  <c r="N35" i="59"/>
  <c r="X35" i="59" s="1"/>
  <c r="Q34" i="59"/>
  <c r="F35" i="59"/>
  <c r="P34" i="59"/>
  <c r="E35" i="59"/>
  <c r="E36" i="59" s="1"/>
  <c r="E37" i="59" s="1"/>
  <c r="U37" i="59" s="1"/>
  <c r="O34" i="59"/>
  <c r="N34" i="59"/>
  <c r="D34" i="59"/>
  <c r="Q33" i="59"/>
  <c r="P33" i="59"/>
  <c r="O33" i="59"/>
  <c r="N33" i="59"/>
  <c r="X33" i="59" s="1"/>
  <c r="Q32" i="59"/>
  <c r="AB32" i="59" s="1"/>
  <c r="P32" i="59"/>
  <c r="AA32" i="59" s="1"/>
  <c r="O32" i="59"/>
  <c r="N32" i="59"/>
  <c r="Q31" i="59"/>
  <c r="AB31" i="59" s="1"/>
  <c r="P31" i="59"/>
  <c r="O31" i="59"/>
  <c r="N31" i="59"/>
  <c r="X31" i="59" s="1"/>
  <c r="Q30" i="59"/>
  <c r="P30" i="59"/>
  <c r="AA30" i="59" s="1"/>
  <c r="O30" i="59"/>
  <c r="C31" i="59"/>
  <c r="C32" i="59" s="1"/>
  <c r="N30" i="59"/>
  <c r="B31" i="59"/>
  <c r="B32" i="59" s="1"/>
  <c r="D30" i="59"/>
  <c r="X3" i="59"/>
  <c r="X29" i="59"/>
  <c r="AA28" i="59"/>
  <c r="Y27" i="59"/>
  <c r="Z27" i="59" s="1"/>
  <c r="Y29" i="59"/>
  <c r="Z29" i="59" s="1"/>
  <c r="AB29" i="59"/>
  <c r="AB26" i="59"/>
  <c r="AB28" i="59"/>
  <c r="B33" i="59"/>
  <c r="S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C65" i="59" s="1"/>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7" i="59"/>
  <c r="C87" i="59"/>
  <c r="D87" i="59" s="1"/>
  <c r="D76" i="59"/>
  <c r="C75" i="59"/>
  <c r="D75" i="59"/>
  <c r="N67" i="59"/>
  <c r="D64" i="59"/>
  <c r="C61" i="59"/>
  <c r="T61" i="59" s="1"/>
  <c r="C57" i="59"/>
  <c r="D56" i="59"/>
  <c r="D52" i="59"/>
  <c r="C45" i="59"/>
  <c r="D44" i="59"/>
  <c r="C41" i="59"/>
  <c r="D40" i="59"/>
  <c r="C33" i="59"/>
  <c r="D32" i="59"/>
  <c r="D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I4" i="6" s="1"/>
  <c r="G3" i="46" s="1"/>
  <c r="Z7" i="4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U30" i="37"/>
  <c r="E103" i="37"/>
  <c r="F103" i="37" s="1"/>
  <c r="G103" i="37" s="1"/>
  <c r="F39" i="37"/>
  <c r="W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U28" i="33" s="1"/>
  <c r="F33" i="35"/>
  <c r="S33" i="35"/>
  <c r="J33" i="35"/>
  <c r="W33" i="35"/>
  <c r="F30" i="35"/>
  <c r="AA30"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G358" i="3"/>
  <c r="BA362" i="3"/>
  <c r="BL363" i="3"/>
  <c r="AZ363" i="3" s="1"/>
  <c r="G364" i="3"/>
  <c r="BA366" i="3"/>
  <c r="AZ366" i="3" s="1"/>
  <c r="BL367" i="3"/>
  <c r="AZ367" i="3" s="1"/>
  <c r="AZ341" i="3"/>
  <c r="G368" i="3"/>
  <c r="BA370" i="3"/>
  <c r="AZ370" i="3" s="1"/>
  <c r="BL371" i="3"/>
  <c r="G372" i="3"/>
  <c r="BA374" i="3"/>
  <c r="AZ374" i="3" s="1"/>
  <c r="BL375" i="3"/>
  <c r="G376" i="3"/>
  <c r="BA378" i="3"/>
  <c r="AZ378" i="3" s="1"/>
  <c r="BL379" i="3"/>
  <c r="AZ379" i="3" s="1"/>
  <c r="G380" i="3"/>
  <c r="BA382" i="3"/>
  <c r="AZ382" i="3" s="1"/>
  <c r="BL383" i="3"/>
  <c r="AZ383" i="3" s="1"/>
  <c r="G384" i="3"/>
  <c r="AZ311" i="3"/>
  <c r="AZ347" i="3"/>
  <c r="F37" i="46"/>
  <c r="AB16" i="35"/>
  <c r="AB15" i="37"/>
  <c r="U43" i="21"/>
  <c r="AA13" i="40"/>
  <c r="F77" i="40"/>
  <c r="G77" i="40" s="1"/>
  <c r="H77" i="40" s="1"/>
  <c r="I77" i="40" s="1"/>
  <c r="J77" i="40" s="1"/>
  <c r="K77" i="40" s="1"/>
  <c r="L77" i="40" s="1"/>
  <c r="M77" i="40" s="1"/>
  <c r="BH5" i="3"/>
  <c r="R16" i="4"/>
  <c r="D3" i="35"/>
  <c r="G4" i="4"/>
  <c r="S37" i="34"/>
  <c r="J16" i="35"/>
  <c r="W16" i="35"/>
  <c r="U42" i="21"/>
  <c r="AC26" i="36"/>
  <c r="AZ300" i="3"/>
  <c r="AZ354" i="3"/>
  <c r="AZ322" i="3"/>
  <c r="H11" i="37"/>
  <c r="AB11" i="37" s="1"/>
  <c r="W37" i="37"/>
  <c r="AA36" i="37"/>
  <c r="S42" i="33"/>
  <c r="U32" i="33"/>
  <c r="AZ488" i="3"/>
  <c r="AC29" i="33"/>
  <c r="AC11" i="36"/>
  <c r="AB45" i="34"/>
  <c r="AC14" i="37"/>
  <c r="W44" i="33"/>
  <c r="AC30" i="33"/>
  <c r="AC29" i="37"/>
  <c r="AC32" i="36"/>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S45" i="34"/>
  <c r="U31" i="34"/>
  <c r="AC40" i="37"/>
  <c r="W40" i="37"/>
  <c r="W27" i="33"/>
  <c r="AC45" i="21"/>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0" i="3"/>
  <c r="AZ56" i="3"/>
  <c r="AZ63" i="3"/>
  <c r="AZ91" i="3"/>
  <c r="AZ107" i="3"/>
  <c r="AZ112" i="3"/>
  <c r="J13" i="40"/>
  <c r="W13" i="40"/>
  <c r="AB14" i="40"/>
  <c r="W40" i="40"/>
  <c r="AC14" i="40"/>
  <c r="S47" i="39"/>
  <c r="AB25" i="39"/>
  <c r="U37" i="34"/>
  <c r="AB37" i="34"/>
  <c r="AC41" i="40"/>
  <c r="W41" i="40"/>
  <c r="U41" i="40"/>
  <c r="J23" i="40"/>
  <c r="AC23" i="40" s="1"/>
  <c r="G91" i="40"/>
  <c r="F23" i="40"/>
  <c r="S23" i="40" s="1"/>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AB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AB23" i="40"/>
  <c r="U27" i="39"/>
  <c r="H23" i="39"/>
  <c r="AB23" i="39" s="1"/>
  <c r="J23" i="39"/>
  <c r="W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S11" i="39"/>
  <c r="AB45" i="39"/>
  <c r="S27" i="39"/>
  <c r="AC38" i="39"/>
  <c r="S14" i="39"/>
  <c r="AB15" i="39"/>
  <c r="U11" i="39"/>
  <c r="U41" i="39"/>
  <c r="AB38" i="39"/>
  <c r="U31" i="39"/>
  <c r="AB31" i="39"/>
  <c r="S25" i="39"/>
  <c r="S38" i="39"/>
  <c r="S22" i="31"/>
  <c r="A18" i="64"/>
  <c r="B74" i="63"/>
  <c r="C53" i="10"/>
  <c r="A25" i="64" s="1"/>
  <c r="A18" i="51"/>
  <c r="B14" i="63" s="1"/>
  <c r="BA16" i="3"/>
  <c r="BA17" i="3"/>
  <c r="AZ17" i="3" s="1"/>
  <c r="F3" i="35"/>
  <c r="K1" i="43"/>
  <c r="K1" i="12"/>
  <c r="G1" i="44"/>
  <c r="AZ15" i="3"/>
  <c r="BK5" i="3"/>
  <c r="BO5" i="3"/>
  <c r="BP5" i="3"/>
  <c r="BN5" i="3"/>
  <c r="BL18" i="3"/>
  <c r="AZ18" i="3" s="1"/>
  <c r="BD5" i="3"/>
  <c r="BR5" i="3"/>
  <c r="BS5" i="3"/>
  <c r="BQ5" i="3"/>
  <c r="BL16" i="3"/>
  <c r="BM5" i="3"/>
  <c r="F29" i="6" s="1"/>
  <c r="G28" i="12"/>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O40" i="9"/>
  <c r="K31" i="9" s="1"/>
  <c r="K32"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B12" i="67"/>
  <c r="I3" i="65"/>
  <c r="J6" i="65"/>
  <c r="F10" i="67"/>
  <c r="M24" i="44"/>
  <c r="M10" i="44"/>
  <c r="J7" i="65"/>
  <c r="F43" i="73"/>
  <c r="F45" i="44"/>
  <c r="J3" i="65"/>
  <c r="M9" i="15"/>
  <c r="F7" i="73"/>
  <c r="F15" i="44"/>
  <c r="F9" i="44"/>
  <c r="M31" i="44"/>
  <c r="F9" i="15"/>
  <c r="M24" i="15"/>
  <c r="N3" i="65"/>
  <c r="M11" i="44"/>
  <c r="F9" i="67"/>
  <c r="F39" i="44"/>
  <c r="J4" i="65"/>
  <c r="F11" i="67"/>
  <c r="B14" i="67"/>
  <c r="B11" i="67"/>
  <c r="M29" i="15"/>
  <c r="M28" i="44"/>
  <c r="M23" i="15"/>
  <c r="L48" i="44"/>
  <c r="F43" i="44"/>
  <c r="I6" i="65"/>
  <c r="J5" i="65"/>
  <c r="B13" i="67"/>
  <c r="E13" i="67"/>
  <c r="E12" i="67"/>
  <c r="F37" i="15"/>
  <c r="E9" i="67"/>
  <c r="M8" i="44"/>
  <c r="F26" i="15"/>
  <c r="J17" i="44"/>
  <c r="M28" i="15"/>
  <c r="M8" i="15"/>
  <c r="M26" i="15"/>
  <c r="N7" i="65"/>
  <c r="I4" i="65"/>
  <c r="N5" i="65"/>
  <c r="F13" i="67"/>
  <c r="J36" i="15"/>
  <c r="E14" i="67"/>
  <c r="F11" i="44"/>
  <c r="M6" i="15"/>
  <c r="F12" i="67"/>
  <c r="M29" i="73"/>
  <c r="B10" i="67"/>
  <c r="B9" i="67"/>
  <c r="F43" i="15"/>
  <c r="M26" i="44"/>
  <c r="M30" i="44"/>
  <c r="E8" i="67"/>
  <c r="J15" i="15"/>
  <c r="F40" i="44"/>
  <c r="F10" i="44"/>
  <c r="F8" i="67"/>
  <c r="F18" i="44"/>
  <c r="L47" i="15"/>
  <c r="F38" i="44"/>
  <c r="N4" i="65"/>
  <c r="F6" i="15"/>
  <c r="F43" i="74"/>
  <c r="E10" i="67"/>
  <c r="F38" i="15"/>
  <c r="F8" i="15"/>
  <c r="F16" i="15"/>
  <c r="E11" i="67"/>
  <c r="N6" i="65"/>
  <c r="M25" i="44"/>
  <c r="F13" i="15"/>
  <c r="M29" i="74"/>
  <c r="F28" i="44"/>
  <c r="I7" i="65"/>
  <c r="B8" i="67"/>
  <c r="F8" i="44"/>
  <c r="M22" i="15"/>
  <c r="I5" i="65"/>
  <c r="F40" i="15"/>
  <c r="F7" i="15"/>
  <c r="L49" i="44"/>
  <c r="F42" i="15"/>
  <c r="F36" i="15"/>
  <c r="F14" i="67"/>
  <c r="D26" i="44" l="1"/>
  <c r="D24" i="44"/>
  <c r="F8" i="1"/>
  <c r="F6" i="1"/>
  <c r="C42" i="1"/>
  <c r="J51" i="73"/>
  <c r="J51" i="74"/>
  <c r="F70" i="73"/>
  <c r="F49" i="73"/>
  <c r="C48" i="73" s="1"/>
  <c r="C60" i="73" s="1"/>
  <c r="M7" i="73"/>
  <c r="J6" i="73" s="1"/>
  <c r="C6" i="73"/>
  <c r="F70" i="74"/>
  <c r="C9" i="12"/>
  <c r="M7" i="1"/>
  <c r="M8" i="1"/>
  <c r="M43" i="9"/>
  <c r="D18" i="9"/>
  <c r="M44" i="9" s="1"/>
  <c r="W40" i="39"/>
  <c r="F102" i="39"/>
  <c r="G102" i="39" s="1"/>
  <c r="F29" i="39"/>
  <c r="AA29" i="39" s="1"/>
  <c r="J29" i="39"/>
  <c r="AC29" i="39" s="1"/>
  <c r="H29" i="39"/>
  <c r="U29" i="39" s="1"/>
  <c r="S29" i="39"/>
  <c r="AC23" i="39"/>
  <c r="U23" i="39"/>
  <c r="S23" i="39"/>
  <c r="AC19" i="39"/>
  <c r="AC21" i="39"/>
  <c r="AA21" i="39"/>
  <c r="AB19" i="39"/>
  <c r="AA19" i="39"/>
  <c r="AC17" i="39"/>
  <c r="S17" i="39"/>
  <c r="AB17" i="39"/>
  <c r="P75" i="15"/>
  <c r="D96" i="9"/>
  <c r="B41" i="1"/>
  <c r="F24" i="43" s="1"/>
  <c r="C24" i="43" s="1"/>
  <c r="G29" i="6"/>
  <c r="G12" i="1"/>
  <c r="C20" i="59"/>
  <c r="T21" i="59"/>
  <c r="D21" i="59"/>
  <c r="AC36" i="35"/>
  <c r="W36" i="35"/>
  <c r="S21" i="59"/>
  <c r="S33" i="40"/>
  <c r="AZ365" i="3"/>
  <c r="AB31" i="37"/>
  <c r="U31" i="37"/>
  <c r="U43" i="33"/>
  <c r="AB43" i="33"/>
  <c r="AZ514" i="3"/>
  <c r="AZ502" i="3"/>
  <c r="AZ550" i="3"/>
  <c r="AZ556" i="3"/>
  <c r="AZ560" i="3"/>
  <c r="AZ569" i="3"/>
  <c r="S30" i="33"/>
  <c r="AA30" i="33"/>
  <c r="S45" i="33"/>
  <c r="AA45" i="33"/>
  <c r="G572" i="3"/>
  <c r="H5" i="3"/>
  <c r="BA572" i="3"/>
  <c r="AZ572" i="3" s="1"/>
  <c r="BA570" i="3"/>
  <c r="AZ570" i="3" s="1"/>
  <c r="BE5" i="3"/>
  <c r="F12" i="21"/>
  <c r="J12" i="21"/>
  <c r="H30" i="21"/>
  <c r="F30" i="21"/>
  <c r="J30" i="21"/>
  <c r="B79" i="46"/>
  <c r="B101" i="46"/>
  <c r="AB9" i="33"/>
  <c r="U9" i="33"/>
  <c r="AA33" i="33"/>
  <c r="S33" i="33"/>
  <c r="AB38" i="33"/>
  <c r="U38" i="33"/>
  <c r="U27" i="33"/>
  <c r="AB27" i="33"/>
  <c r="F28" i="33"/>
  <c r="J28" i="33"/>
  <c r="J26" i="33"/>
  <c r="F26" i="33"/>
  <c r="J9" i="34"/>
  <c r="H9" i="34"/>
  <c r="F9" i="34"/>
  <c r="F28" i="34"/>
  <c r="J28" i="34"/>
  <c r="H28" i="34"/>
  <c r="AC23" i="35"/>
  <c r="AB34" i="35"/>
  <c r="U34" i="35"/>
  <c r="F31" i="33"/>
  <c r="J31" i="33"/>
  <c r="H31" i="33"/>
  <c r="J25" i="35"/>
  <c r="F25" i="35"/>
  <c r="H25" i="35"/>
  <c r="J35" i="35"/>
  <c r="F35" i="35"/>
  <c r="H35" i="35"/>
  <c r="J25" i="36"/>
  <c r="F25" i="36"/>
  <c r="H25" i="36"/>
  <c r="AZ496" i="3"/>
  <c r="AZ504" i="3"/>
  <c r="AZ506" i="3"/>
  <c r="AZ523" i="3"/>
  <c r="AZ537" i="3"/>
  <c r="AZ548" i="3"/>
  <c r="AZ567" i="3"/>
  <c r="AA39" i="33"/>
  <c r="S39" i="33"/>
  <c r="U17" i="37"/>
  <c r="AB17" i="37"/>
  <c r="AZ493" i="3"/>
  <c r="AB30" i="33"/>
  <c r="U30" i="33"/>
  <c r="W45" i="33"/>
  <c r="AC45" i="33"/>
  <c r="AA46" i="21"/>
  <c r="S46" i="21"/>
  <c r="U44" i="21"/>
  <c r="AB44" i="21"/>
  <c r="W33" i="36"/>
  <c r="AC33" i="36"/>
  <c r="S39" i="37"/>
  <c r="AA39" i="37"/>
  <c r="U12" i="21"/>
  <c r="AB12" i="21"/>
  <c r="S43" i="21"/>
  <c r="AA43" i="21"/>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AZ362" i="3"/>
  <c r="AZ352" i="3"/>
  <c r="AZ344" i="3"/>
  <c r="AZ304" i="3"/>
  <c r="AZ359" i="3"/>
  <c r="AZ323" i="3"/>
  <c r="AZ343" i="3"/>
  <c r="AZ327" i="3"/>
  <c r="AZ492" i="3"/>
  <c r="AZ526" i="3"/>
  <c r="AZ534" i="3"/>
  <c r="AZ544" i="3"/>
  <c r="AZ542" i="3"/>
  <c r="AZ557" i="3"/>
  <c r="E5" i="6"/>
  <c r="D12" i="11" s="1"/>
  <c r="C12" i="11" s="1"/>
  <c r="BF5" i="3"/>
  <c r="B84" i="46"/>
  <c r="B94" i="46"/>
  <c r="A30" i="51"/>
  <c r="B22" i="63" s="1"/>
  <c r="A30" i="64"/>
  <c r="A2" i="55"/>
  <c r="B55" i="63" s="1"/>
  <c r="BA389" i="3"/>
  <c r="AZ389" i="3" s="1"/>
  <c r="BA391" i="3"/>
  <c r="AZ391" i="3" s="1"/>
  <c r="BL392" i="3"/>
  <c r="BA393" i="3"/>
  <c r="AZ393" i="3" s="1"/>
  <c r="AZ399" i="3"/>
  <c r="AZ402" i="3"/>
  <c r="F26" i="37"/>
  <c r="AZ392" i="3"/>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AZ403" i="3"/>
  <c r="AZ408" i="3"/>
  <c r="AZ415" i="3"/>
  <c r="AZ424" i="3"/>
  <c r="AZ433" i="3"/>
  <c r="AZ439" i="3"/>
  <c r="AZ459" i="3"/>
  <c r="AZ462" i="3"/>
  <c r="AZ463" i="3"/>
  <c r="AZ467" i="3"/>
  <c r="AZ470" i="3"/>
  <c r="AZ471" i="3"/>
  <c r="AZ475" i="3"/>
  <c r="AZ478" i="3"/>
  <c r="AZ479" i="3"/>
  <c r="AZ318" i="3"/>
  <c r="AZ334" i="3"/>
  <c r="AZ350" i="3"/>
  <c r="AZ360" i="3"/>
  <c r="AZ371" i="3"/>
  <c r="AZ376" i="3"/>
  <c r="AZ387" i="3"/>
  <c r="AZ388" i="3"/>
  <c r="AZ267" i="3"/>
  <c r="AZ275" i="3"/>
  <c r="AZ283" i="3"/>
  <c r="AZ113" i="3"/>
  <c r="AZ129" i="3"/>
  <c r="T53" i="59"/>
  <c r="D53" i="59"/>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Y34" i="59"/>
  <c r="Z34" i="59" s="1"/>
  <c r="C35" i="59"/>
  <c r="AA38" i="59"/>
  <c r="E39" i="59"/>
  <c r="E40" i="59" s="1"/>
  <c r="E41" i="59" s="1"/>
  <c r="U41" i="59" s="1"/>
  <c r="X5" i="59"/>
  <c r="X7" i="59"/>
  <c r="X6" i="59"/>
  <c r="X8" i="59"/>
  <c r="X11" i="59"/>
  <c r="X10" i="59"/>
  <c r="X40" i="59"/>
  <c r="AB7" i="59"/>
  <c r="AB8" i="59"/>
  <c r="AB6" i="59"/>
  <c r="AB5" i="59"/>
  <c r="AB10" i="59"/>
  <c r="AB40" i="59"/>
  <c r="T73" i="59"/>
  <c r="C72" i="59"/>
  <c r="T81" i="59"/>
  <c r="C80" i="59"/>
  <c r="X24" i="59"/>
  <c r="X25" i="59"/>
  <c r="B29" i="59"/>
  <c r="X26" i="59"/>
  <c r="X28" i="59"/>
  <c r="E29" i="59"/>
  <c r="AA3" i="59"/>
  <c r="AA27" i="59"/>
  <c r="AA29" i="59"/>
  <c r="AZ145" i="3"/>
  <c r="AZ156" i="3"/>
  <c r="AZ49" i="3"/>
  <c r="AZ58" i="3"/>
  <c r="AZ61" i="3"/>
  <c r="AZ67" i="3"/>
  <c r="E31" i="59"/>
  <c r="E32" i="59" s="1"/>
  <c r="E33" i="59" s="1"/>
  <c r="U33" i="59" s="1"/>
  <c r="Y28" i="59"/>
  <c r="Z28" i="59" s="1"/>
  <c r="Y26" i="59"/>
  <c r="Z26" i="59" s="1"/>
  <c r="AA26" i="59"/>
  <c r="X27" i="59"/>
  <c r="Y30" i="59"/>
  <c r="Z30" i="59" s="1"/>
  <c r="AB30" i="59"/>
  <c r="F31" i="59"/>
  <c r="F32" i="59" s="1"/>
  <c r="F33" i="59" s="1"/>
  <c r="V33" i="59" s="1"/>
  <c r="AB3" i="59"/>
  <c r="AB27" i="59"/>
  <c r="Y31" i="59"/>
  <c r="Z31" i="59" s="1"/>
  <c r="Y32" i="59"/>
  <c r="Z32" i="59" s="1"/>
  <c r="Y33" i="59"/>
  <c r="Z33" i="59" s="1"/>
  <c r="AB33" i="59"/>
  <c r="X34" i="59"/>
  <c r="B35" i="59"/>
  <c r="B36" i="59" s="1"/>
  <c r="B37" i="59" s="1"/>
  <c r="S37" i="59" s="1"/>
  <c r="AA34" i="59"/>
  <c r="AB35" i="59"/>
  <c r="AB37" i="59"/>
  <c r="AB38" i="59"/>
  <c r="F39" i="59"/>
  <c r="F40" i="59" s="1"/>
  <c r="F41" i="59" s="1"/>
  <c r="V41" i="59" s="1"/>
  <c r="AB39" i="59"/>
  <c r="AA5" i="59"/>
  <c r="AA7" i="59"/>
  <c r="AA6" i="59"/>
  <c r="AA8" i="59"/>
  <c r="AA10" i="59"/>
  <c r="AA11" i="59"/>
  <c r="C48" i="59"/>
  <c r="D48" i="59" s="1"/>
  <c r="D47" i="59"/>
  <c r="Q67" i="59"/>
  <c r="Q66" i="59"/>
  <c r="O69" i="59"/>
  <c r="C68" i="59"/>
  <c r="D85" i="59"/>
  <c r="C84" i="59"/>
  <c r="D28" i="59"/>
  <c r="C27" i="59"/>
  <c r="D27" i="59" s="1"/>
  <c r="F28" i="59"/>
  <c r="F27" i="59" s="1"/>
  <c r="V29" i="59"/>
  <c r="P16" i="4"/>
  <c r="X30" i="59"/>
  <c r="AA31" i="59"/>
  <c r="X32" i="59"/>
  <c r="AA33" i="59"/>
  <c r="AB34" i="59"/>
  <c r="Y35" i="59"/>
  <c r="Z35" i="59" s="1"/>
  <c r="AB36" i="59"/>
  <c r="Y37" i="59"/>
  <c r="Z37" i="59" s="1"/>
  <c r="X38" i="59"/>
  <c r="X39" i="59"/>
  <c r="AA39" i="59"/>
  <c r="Y7" i="59"/>
  <c r="Z7" i="59" s="1"/>
  <c r="Y8" i="59"/>
  <c r="Z8" i="59" s="1"/>
  <c r="Y5" i="59"/>
  <c r="Z5" i="59" s="1"/>
  <c r="Y6" i="59"/>
  <c r="Z6" i="59" s="1"/>
  <c r="Y10" i="59"/>
  <c r="Z10" i="59" s="1"/>
  <c r="Y11" i="59"/>
  <c r="Z11" i="59" s="1"/>
  <c r="T25" i="59"/>
  <c r="T29" i="59"/>
  <c r="D29" i="59"/>
  <c r="X22" i="59"/>
  <c r="Y25" i="59"/>
  <c r="Z25" i="59" s="1"/>
  <c r="AB25" i="59"/>
  <c r="X19" i="59"/>
  <c r="X18" i="59"/>
  <c r="Y18" i="59"/>
  <c r="Z18" i="59" s="1"/>
  <c r="AA13" i="59"/>
  <c r="AB18" i="59"/>
  <c r="X15" i="59"/>
  <c r="O76" i="9"/>
  <c r="K76" i="9"/>
  <c r="AA24" i="59"/>
  <c r="Y24" i="59"/>
  <c r="Z24" i="59" s="1"/>
  <c r="AB24" i="59"/>
  <c r="AA19" i="59"/>
  <c r="AA15" i="59"/>
  <c r="Y15" i="59"/>
  <c r="Z15" i="59" s="1"/>
  <c r="AB15" i="59"/>
  <c r="F25" i="59"/>
  <c r="E25" i="59"/>
  <c r="AA22" i="59"/>
  <c r="Y19" i="59"/>
  <c r="Z19" i="59" s="1"/>
  <c r="AB19" i="59"/>
  <c r="AA16" i="59"/>
  <c r="X17" i="59"/>
  <c r="AA14" i="59"/>
  <c r="X13" i="59"/>
  <c r="X12" i="59"/>
  <c r="AB12" i="59"/>
  <c r="AB14" i="59"/>
  <c r="Y13" i="59"/>
  <c r="Z13" i="59" s="1"/>
  <c r="Y14" i="59"/>
  <c r="Z14" i="59" s="1"/>
  <c r="AB16" i="59"/>
  <c r="AA18" i="59"/>
  <c r="AA12" i="59"/>
  <c r="X14" i="59"/>
  <c r="AB13" i="59"/>
  <c r="AB11" i="59"/>
  <c r="Y12" i="59"/>
  <c r="Z12" i="59" s="1"/>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C25" i="43"/>
  <c r="C2" i="65"/>
  <c r="I1" i="65" s="1"/>
  <c r="G20" i="43"/>
  <c r="G26" i="12"/>
  <c r="F66" i="9"/>
  <c r="P72" i="9" s="1"/>
  <c r="F28" i="15"/>
  <c r="F29" i="12"/>
  <c r="F32" i="15"/>
  <c r="F59" i="15" s="1"/>
  <c r="K15" i="1"/>
  <c r="O11" i="1"/>
  <c r="P11" i="1" s="1"/>
  <c r="D21" i="12"/>
  <c r="C21" i="12" s="1"/>
  <c r="O6" i="1"/>
  <c r="P6" i="1" s="1"/>
  <c r="C15" i="12" s="1"/>
  <c r="O7" i="1"/>
  <c r="P7" i="1" s="1"/>
  <c r="O12" i="1"/>
  <c r="P12" i="1" s="1"/>
  <c r="O10" i="1"/>
  <c r="P10" i="1" s="1"/>
  <c r="O9" i="1"/>
  <c r="P9" i="1" s="1"/>
  <c r="O13" i="1"/>
  <c r="P13" i="1" s="1"/>
  <c r="G6" i="1"/>
  <c r="A25" i="51"/>
  <c r="B18" i="63" s="1"/>
  <c r="G10" i="1"/>
  <c r="G13" i="1"/>
  <c r="C15" i="43"/>
  <c r="D23" i="15"/>
  <c r="L52" i="37"/>
  <c r="M52" i="37" s="1"/>
  <c r="N52" i="37" s="1"/>
  <c r="O52" i="37" s="1"/>
  <c r="D59" i="34"/>
  <c r="E59" i="34" s="1"/>
  <c r="F59" i="34" s="1"/>
  <c r="G59" i="34" s="1"/>
  <c r="H59" i="34" s="1"/>
  <c r="I59" i="34" s="1"/>
  <c r="J59" i="34" s="1"/>
  <c r="K59" i="34" s="1"/>
  <c r="L59" i="34" s="1"/>
  <c r="M59" i="34" s="1"/>
  <c r="N59" i="34" s="1"/>
  <c r="O59" i="34" s="1"/>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6" i="46"/>
  <c r="P28" i="46"/>
  <c r="B67" i="40" s="1"/>
  <c r="P25" i="46"/>
  <c r="Q73" i="44"/>
  <c r="C6" i="15"/>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6" i="15"/>
  <c r="L48" i="74"/>
  <c r="C16" i="73"/>
  <c r="L48" i="15"/>
  <c r="C16" i="74"/>
  <c r="C18" i="44"/>
  <c r="E2" i="65"/>
  <c r="E3" i="65"/>
  <c r="D64" i="40" l="1"/>
  <c r="P29" i="46"/>
  <c r="B72" i="39" s="1"/>
  <c r="C71" i="39"/>
  <c r="A1" i="70"/>
  <c r="P27" i="46"/>
  <c r="J53" i="15"/>
  <c r="Q53" i="15" s="1"/>
  <c r="I54" i="15"/>
  <c r="L56" i="15"/>
  <c r="L58" i="15"/>
  <c r="Q61" i="15" s="1"/>
  <c r="J57" i="15"/>
  <c r="J55" i="15" s="1"/>
  <c r="J58" i="15" s="1"/>
  <c r="Q51" i="15" s="1"/>
  <c r="L58" i="74"/>
  <c r="L56" i="74"/>
  <c r="L57" i="74"/>
  <c r="L60" i="74"/>
  <c r="J53" i="74"/>
  <c r="L59" i="73"/>
  <c r="I54" i="73"/>
  <c r="J60" i="73"/>
  <c r="Q49" i="73" s="1"/>
  <c r="J59" i="73"/>
  <c r="J57" i="73"/>
  <c r="J55" i="73" s="1"/>
  <c r="J58" i="73" s="1"/>
  <c r="Q51" i="73" s="1"/>
  <c r="L57" i="73"/>
  <c r="L56" i="73"/>
  <c r="J53" i="73"/>
  <c r="L60" i="73"/>
  <c r="C28" i="74"/>
  <c r="C28" i="73"/>
  <c r="C33" i="74"/>
  <c r="C32" i="74"/>
  <c r="C60" i="74"/>
  <c r="J18" i="74"/>
  <c r="J19" i="74"/>
  <c r="C25" i="12"/>
  <c r="AP6" i="1"/>
  <c r="AP16" i="1" s="1"/>
  <c r="F22" i="11" s="1"/>
  <c r="C95" i="9"/>
  <c r="C92" i="9" s="1"/>
  <c r="C28" i="15"/>
  <c r="J59" i="74"/>
  <c r="J57" i="74"/>
  <c r="J55" i="74" s="1"/>
  <c r="J58" i="74" s="1"/>
  <c r="Q51" i="74" s="1"/>
  <c r="L59" i="74"/>
  <c r="J60" i="74"/>
  <c r="Q49" i="74" s="1"/>
  <c r="I54" i="74"/>
  <c r="AP8" i="1"/>
  <c r="AZ13" i="3"/>
  <c r="J18" i="73"/>
  <c r="J19" i="73"/>
  <c r="C32" i="73"/>
  <c r="C33" i="73"/>
  <c r="O8" i="1"/>
  <c r="P8" i="1" s="1"/>
  <c r="AB29" i="39"/>
  <c r="W29" i="39"/>
  <c r="F11" i="74"/>
  <c r="M11" i="74"/>
  <c r="J10" i="74" s="1"/>
  <c r="J5" i="74" s="1"/>
  <c r="F11" i="73"/>
  <c r="M11" i="73"/>
  <c r="J10" i="73" s="1"/>
  <c r="J5" i="73" s="1"/>
  <c r="D86" i="9"/>
  <c r="F70" i="9"/>
  <c r="F71" i="9"/>
  <c r="F30" i="44"/>
  <c r="C30" i="44" s="1"/>
  <c r="J60" i="44" s="1"/>
  <c r="J61" i="44" s="1"/>
  <c r="Q50" i="44" s="1"/>
  <c r="C32" i="15"/>
  <c r="F72" i="9"/>
  <c r="M20" i="44"/>
  <c r="J20" i="44" s="1"/>
  <c r="M18" i="15"/>
  <c r="Q16" i="1"/>
  <c r="F33" i="12" s="1"/>
  <c r="H16" i="1"/>
  <c r="O23" i="46"/>
  <c r="U25" i="59"/>
  <c r="E24" i="59"/>
  <c r="E23" i="59" s="1"/>
  <c r="E22" i="59" s="1"/>
  <c r="E21" i="59" s="1"/>
  <c r="U29" i="59"/>
  <c r="E28" i="59"/>
  <c r="E27" i="59" s="1"/>
  <c r="C79" i="59"/>
  <c r="D79" i="59" s="1"/>
  <c r="D80" i="59"/>
  <c r="D72" i="59"/>
  <c r="C71" i="59"/>
  <c r="D71" i="59" s="1"/>
  <c r="AA26" i="37"/>
  <c r="S26" i="37"/>
  <c r="AA23" i="36"/>
  <c r="S23" i="36"/>
  <c r="AC23" i="36"/>
  <c r="W23" i="36"/>
  <c r="AC12" i="36"/>
  <c r="W12" i="36"/>
  <c r="U36" i="35"/>
  <c r="AB36" i="35"/>
  <c r="AC13" i="35"/>
  <c r="W13" i="35"/>
  <c r="AA25" i="36"/>
  <c r="S25" i="36"/>
  <c r="AB35" i="35"/>
  <c r="U35" i="35"/>
  <c r="W35" i="35"/>
  <c r="AC35" i="35"/>
  <c r="AA25" i="35"/>
  <c r="S25" i="35"/>
  <c r="AB31" i="33"/>
  <c r="U31" i="33"/>
  <c r="S31" i="33"/>
  <c r="AA31" i="33"/>
  <c r="AB28" i="34"/>
  <c r="U28" i="34"/>
  <c r="AA28" i="34"/>
  <c r="S28" i="34"/>
  <c r="U9" i="34"/>
  <c r="AB9" i="34"/>
  <c r="AA26" i="33"/>
  <c r="S26" i="33"/>
  <c r="AC28" i="33"/>
  <c r="W28" i="33"/>
  <c r="AC30" i="21"/>
  <c r="W30" i="21"/>
  <c r="AB30" i="21"/>
  <c r="U30" i="21"/>
  <c r="AA12" i="21"/>
  <c r="S12" i="21"/>
  <c r="B16" i="59"/>
  <c r="B15" i="59" s="1"/>
  <c r="B14" i="59" s="1"/>
  <c r="B13" i="59" s="1"/>
  <c r="S17" i="59"/>
  <c r="C34" i="44"/>
  <c r="J7" i="33"/>
  <c r="AC7" i="33" s="1"/>
  <c r="V48" i="33" s="1"/>
  <c r="I48" i="33" s="1"/>
  <c r="V25" i="59"/>
  <c r="F24" i="59"/>
  <c r="F23" i="59" s="1"/>
  <c r="F22" i="59" s="1"/>
  <c r="F21" i="59" s="1"/>
  <c r="D84" i="59"/>
  <c r="C83" i="59"/>
  <c r="D83" i="59" s="1"/>
  <c r="O68" i="59"/>
  <c r="D68" i="59"/>
  <c r="C67" i="59"/>
  <c r="S29" i="59"/>
  <c r="B28" i="59"/>
  <c r="B27" i="59" s="1"/>
  <c r="D35" i="59"/>
  <c r="C36" i="59"/>
  <c r="AB23" i="36"/>
  <c r="U23" i="36"/>
  <c r="U12" i="36"/>
  <c r="AB12" i="36"/>
  <c r="AA36" i="35"/>
  <c r="S36" i="35"/>
  <c r="AB13" i="35"/>
  <c r="U13" i="35"/>
  <c r="S13" i="35"/>
  <c r="AA13" i="35"/>
  <c r="AB25" i="36"/>
  <c r="U25" i="36"/>
  <c r="W25" i="36"/>
  <c r="AC25" i="36"/>
  <c r="S35" i="35"/>
  <c r="AA35" i="35"/>
  <c r="AB25" i="35"/>
  <c r="U25" i="35"/>
  <c r="W25" i="35"/>
  <c r="AC25" i="35"/>
  <c r="AC31" i="33"/>
  <c r="W31" i="33"/>
  <c r="AC28" i="34"/>
  <c r="W28" i="34"/>
  <c r="AA9" i="34"/>
  <c r="S9" i="34"/>
  <c r="AC9" i="34"/>
  <c r="W9" i="34"/>
  <c r="AC26" i="33"/>
  <c r="W26" i="33"/>
  <c r="S28" i="33"/>
  <c r="AA28" i="33"/>
  <c r="S30" i="21"/>
  <c r="AA30" i="21"/>
  <c r="AC12" i="21"/>
  <c r="W12" i="21"/>
  <c r="C19" i="59"/>
  <c r="D20" i="59"/>
  <c r="E83" i="46"/>
  <c r="B81" i="46" s="1"/>
  <c r="D26" i="46"/>
  <c r="C25" i="46" s="1"/>
  <c r="BA5" i="3"/>
  <c r="E12" i="6"/>
  <c r="E58" i="40"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F24" i="74" s="1"/>
  <c r="E64" i="40"/>
  <c r="D66" i="40"/>
  <c r="S7" i="34"/>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Q63" i="44"/>
  <c r="Q76" i="44"/>
  <c r="J6" i="15"/>
  <c r="AE12" i="1"/>
  <c r="AE9" i="1"/>
  <c r="AE10" i="1"/>
  <c r="AE11" i="1"/>
  <c r="F46" i="44"/>
  <c r="AC7" i="21" l="1"/>
  <c r="V48" i="21" s="1"/>
  <c r="I48" i="21" s="1"/>
  <c r="G53" i="21" s="1"/>
  <c r="H53" i="21" s="1"/>
  <c r="F1" i="15"/>
  <c r="Q74" i="15"/>
  <c r="W7" i="33"/>
  <c r="Q53" i="73"/>
  <c r="F1" i="73"/>
  <c r="Q53" i="74"/>
  <c r="F1" i="74"/>
  <c r="Q74" i="74"/>
  <c r="Q61" i="74"/>
  <c r="Q58" i="73"/>
  <c r="Q67" i="73"/>
  <c r="Q62" i="73"/>
  <c r="Q75" i="73"/>
  <c r="C34" i="12"/>
  <c r="D33" i="12" s="1"/>
  <c r="Q62" i="74"/>
  <c r="Q75" i="74"/>
  <c r="Q67" i="74"/>
  <c r="Q58" i="74"/>
  <c r="E63" i="39"/>
  <c r="C24" i="74"/>
  <c r="J24" i="74"/>
  <c r="J26" i="74"/>
  <c r="C52" i="74"/>
  <c r="C47" i="74" s="1"/>
  <c r="C10" i="74"/>
  <c r="C5" i="74" s="1"/>
  <c r="L36" i="46"/>
  <c r="Q36" i="46" s="1"/>
  <c r="F24" i="73"/>
  <c r="J26" i="73"/>
  <c r="J24" i="73"/>
  <c r="C52" i="73"/>
  <c r="C47" i="73" s="1"/>
  <c r="C10" i="73"/>
  <c r="C5" i="73" s="1"/>
  <c r="J18" i="15"/>
  <c r="AB7" i="34"/>
  <c r="T49" i="34" s="1"/>
  <c r="G49" i="34" s="1"/>
  <c r="G54" i="34" s="1"/>
  <c r="H54" i="34" s="1"/>
  <c r="C18" i="59"/>
  <c r="D19" i="59"/>
  <c r="F20" i="59"/>
  <c r="F19" i="59" s="1"/>
  <c r="F18" i="59" s="1"/>
  <c r="F17" i="59" s="1"/>
  <c r="V21" i="59"/>
  <c r="E20" i="59"/>
  <c r="E19" i="59" s="1"/>
  <c r="E18" i="59" s="1"/>
  <c r="E17" i="59" s="1"/>
  <c r="U21" i="59"/>
  <c r="C37" i="59"/>
  <c r="D36" i="59"/>
  <c r="O67" i="59"/>
  <c r="O66" i="59"/>
  <c r="D67" i="59"/>
  <c r="D46" i="9"/>
  <c r="C21" i="4"/>
  <c r="O5" i="54" s="1"/>
  <c r="B45" i="63" s="1"/>
  <c r="E6" i="6"/>
  <c r="D13" i="11" s="1"/>
  <c r="C13" i="11" s="1"/>
  <c r="AC7" i="34"/>
  <c r="V49" i="34" s="1"/>
  <c r="I49" i="34" s="1"/>
  <c r="I53" i="34" s="1"/>
  <c r="J53"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R50" i="34"/>
  <c r="E49" i="34"/>
  <c r="I52" i="33"/>
  <c r="J52" i="33" s="1"/>
  <c r="E66" i="40"/>
  <c r="F64" i="40"/>
  <c r="J26" i="44"/>
  <c r="C52" i="15"/>
  <c r="C47" i="15" s="1"/>
  <c r="C10" i="15"/>
  <c r="C5" i="15" s="1"/>
  <c r="C38" i="15" s="1"/>
  <c r="C20" i="11"/>
  <c r="C21" i="11" s="1"/>
  <c r="C22" i="11" s="1"/>
  <c r="C23" i="11" s="1"/>
  <c r="B2" i="11" s="1"/>
  <c r="M27" i="74"/>
  <c r="M27" i="15"/>
  <c r="AE6" i="1"/>
  <c r="AE8" i="1"/>
  <c r="M27" i="73"/>
  <c r="M29" i="44"/>
  <c r="AE7" i="1"/>
  <c r="G53" i="34" l="1"/>
  <c r="H53" i="34" s="1"/>
  <c r="N36" i="46"/>
  <c r="L37" i="46"/>
  <c r="Q37" i="46" s="1"/>
  <c r="O36" i="46"/>
  <c r="C65" i="74"/>
  <c r="C59" i="74"/>
  <c r="C38" i="74"/>
  <c r="M36" i="46"/>
  <c r="P36" i="46"/>
  <c r="C59" i="73"/>
  <c r="C65" i="73"/>
  <c r="C24" i="73"/>
  <c r="C38" i="73"/>
  <c r="D22" i="12"/>
  <c r="C22" i="12" s="1"/>
  <c r="C20" i="12" s="1"/>
  <c r="T37" i="59"/>
  <c r="D37" i="59"/>
  <c r="E16" i="59"/>
  <c r="E15" i="59" s="1"/>
  <c r="E14" i="59" s="1"/>
  <c r="E13" i="59" s="1"/>
  <c r="U17" i="59"/>
  <c r="F16" i="59"/>
  <c r="F15" i="59" s="1"/>
  <c r="F14" i="59" s="1"/>
  <c r="F13" i="59" s="1"/>
  <c r="V17" i="59"/>
  <c r="C17" i="59"/>
  <c r="D18"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73"/>
  <c r="F41" i="15"/>
  <c r="C17" i="15"/>
  <c r="C17" i="74"/>
  <c r="F7" i="67"/>
  <c r="F41" i="74"/>
  <c r="F68" i="73" l="1"/>
  <c r="J29" i="73"/>
  <c r="F68" i="15"/>
  <c r="F68" i="74"/>
  <c r="J29" i="74"/>
  <c r="M21" i="6"/>
  <c r="I21" i="6" s="1"/>
  <c r="S21" i="6" s="1"/>
  <c r="M37" i="46"/>
  <c r="N37" i="46"/>
  <c r="P37" i="46"/>
  <c r="O37" i="46"/>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7" i="73"/>
  <c r="H23" i="6" l="1"/>
  <c r="R23" i="6" s="1"/>
  <c r="R10" i="1" s="1"/>
  <c r="H22" i="6"/>
  <c r="R22" i="6" s="1"/>
  <c r="R9" i="1" s="1"/>
  <c r="S16" i="1"/>
  <c r="T10" i="1" s="1"/>
  <c r="D30" i="6"/>
  <c r="H24" i="6"/>
  <c r="R24" i="6" s="1"/>
  <c r="R11" i="1" s="1"/>
  <c r="H25" i="6"/>
  <c r="R25" i="6" s="1"/>
  <c r="R12" i="1" s="1"/>
  <c r="M27" i="6"/>
  <c r="D16" i="59"/>
  <c r="C15" i="59"/>
  <c r="C31" i="46"/>
  <c r="C30" i="46"/>
  <c r="B2" i="46" s="1"/>
  <c r="D4" i="46" s="1"/>
  <c r="T8" i="1"/>
  <c r="I27" i="6"/>
  <c r="S19" i="6"/>
  <c r="S27" i="6" s="1"/>
  <c r="H19" i="6"/>
  <c r="R19" i="6" s="1"/>
  <c r="R6" i="1" s="1"/>
  <c r="R26" i="6"/>
  <c r="F7" i="59"/>
  <c r="B8" i="59"/>
  <c r="E8" i="59"/>
  <c r="R21" i="6"/>
  <c r="R8" i="1" s="1"/>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5" i="73"/>
  <c r="F37" i="44"/>
  <c r="M21" i="15"/>
  <c r="C14" i="74"/>
  <c r="F35" i="74"/>
  <c r="M21" i="74"/>
  <c r="M21" i="73"/>
  <c r="M23" i="44"/>
  <c r="F35" i="15"/>
  <c r="D31" i="6" l="1"/>
  <c r="I6" i="6" s="1"/>
  <c r="C13" i="39" s="1"/>
  <c r="T9" i="1"/>
  <c r="T6" i="1"/>
  <c r="T16" i="1" s="1"/>
  <c r="T11" i="1"/>
  <c r="T7" i="1"/>
  <c r="T13" i="1"/>
  <c r="T12" i="1"/>
  <c r="C15" i="74"/>
  <c r="C18" i="74"/>
  <c r="J20" i="73"/>
  <c r="J17" i="73" s="1"/>
  <c r="C34" i="73"/>
  <c r="C31" i="73" s="1"/>
  <c r="F62" i="73"/>
  <c r="C61" i="73" s="1"/>
  <c r="C58" i="73" s="1"/>
  <c r="C34" i="74"/>
  <c r="C31" i="74" s="1"/>
  <c r="F62" i="74"/>
  <c r="C61" i="74" s="1"/>
  <c r="C58" i="74" s="1"/>
  <c r="J20" i="74"/>
  <c r="J17" i="74" s="1"/>
  <c r="D15" i="59"/>
  <c r="C14" i="59"/>
  <c r="B3" i="46"/>
  <c r="B4" i="46"/>
  <c r="C36" i="44"/>
  <c r="J20" i="15"/>
  <c r="C34" i="15"/>
  <c r="R27" i="6"/>
  <c r="H27" i="6"/>
  <c r="E7" i="59"/>
  <c r="B7" i="59"/>
  <c r="F6" i="59"/>
  <c r="I5" i="6"/>
  <c r="J22" i="44"/>
  <c r="F62" i="15"/>
  <c r="C61" i="15" s="1"/>
  <c r="R16" i="1"/>
  <c r="C18" i="43"/>
  <c r="C18" i="12"/>
  <c r="C23" i="12" s="1"/>
  <c r="O46" i="36"/>
  <c r="J7" i="36" s="1"/>
  <c r="F7" i="36"/>
  <c r="H7" i="36"/>
  <c r="J64" i="40"/>
  <c r="I66" i="40"/>
  <c r="J69" i="39"/>
  <c r="I71" i="39"/>
  <c r="B3" i="67"/>
  <c r="B4" i="67"/>
  <c r="C16" i="44"/>
  <c r="C14" i="73"/>
  <c r="C14" i="15"/>
  <c r="C17" i="44" l="1"/>
  <c r="C20" i="44"/>
  <c r="C18" i="73"/>
  <c r="C15" i="73"/>
  <c r="C15" i="15"/>
  <c r="C18" i="15"/>
  <c r="C19" i="74"/>
  <c r="H13" i="39"/>
  <c r="F13" i="39"/>
  <c r="J13" i="39"/>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9" i="73"/>
  <c r="C20" i="73" s="1"/>
  <c r="C23" i="73" s="1"/>
  <c r="C20" i="74"/>
  <c r="C23" i="74" s="1"/>
  <c r="S13" i="39"/>
  <c r="AA13" i="39"/>
  <c r="AC13" i="39"/>
  <c r="W13" i="39"/>
  <c r="AB13" i="39"/>
  <c r="U13" i="39"/>
  <c r="C12" i="59"/>
  <c r="D13" i="59"/>
  <c r="T13" i="59"/>
  <c r="E5" i="59"/>
  <c r="U5" i="59" s="1"/>
  <c r="B5" i="59"/>
  <c r="C21" i="43"/>
  <c r="R37" i="36"/>
  <c r="E36" i="36"/>
  <c r="I41" i="36" s="1"/>
  <c r="J41" i="36" s="1"/>
  <c r="K66" i="40"/>
  <c r="L64" i="40"/>
  <c r="G41" i="36"/>
  <c r="H41" i="36" s="1"/>
  <c r="G40" i="36"/>
  <c r="H40" i="36" s="1"/>
  <c r="I40" i="36"/>
  <c r="J40" i="36" s="1"/>
  <c r="L69" i="39"/>
  <c r="K71" i="39"/>
  <c r="C26" i="74" l="1"/>
  <c r="C29" i="74" s="1"/>
  <c r="C26" i="73"/>
  <c r="C29" i="73" s="1"/>
  <c r="C11" i="59"/>
  <c r="D12" i="59"/>
  <c r="S5" i="59"/>
  <c r="L71" i="39"/>
  <c r="M69" i="39"/>
  <c r="M64" i="40"/>
  <c r="L66" i="40"/>
  <c r="E40" i="36"/>
  <c r="F40" i="36" s="1"/>
  <c r="E41" i="36"/>
  <c r="F41" i="36" s="1"/>
  <c r="C37" i="36"/>
  <c r="B3" i="36" s="1"/>
  <c r="B2" i="36" s="1"/>
  <c r="C36" i="36"/>
  <c r="C36" i="73" l="1"/>
  <c r="Q50" i="73"/>
  <c r="J14" i="73"/>
  <c r="J13" i="73" s="1"/>
  <c r="J23" i="73" s="1"/>
  <c r="C56" i="73"/>
  <c r="C63" i="73" s="1"/>
  <c r="C13" i="73"/>
  <c r="Q71" i="73" s="1"/>
  <c r="C13" i="74"/>
  <c r="C56" i="74"/>
  <c r="C63" i="74" s="1"/>
  <c r="J14" i="74"/>
  <c r="C36" i="74"/>
  <c r="Q50" i="74"/>
  <c r="C10" i="59"/>
  <c r="D11" i="59"/>
  <c r="N64" i="40"/>
  <c r="N66" i="40" s="1"/>
  <c r="M66" i="40"/>
  <c r="N69" i="39"/>
  <c r="N71" i="39" s="1"/>
  <c r="M71" i="39"/>
  <c r="J22" i="73" l="1"/>
  <c r="J16" i="73" s="1"/>
  <c r="J25" i="73" s="1"/>
  <c r="C55" i="73"/>
  <c r="C64" i="73" s="1"/>
  <c r="C57" i="73" s="1"/>
  <c r="C66" i="73" s="1"/>
  <c r="C67" i="73" s="1"/>
  <c r="C70" i="73" s="1"/>
  <c r="C37" i="73"/>
  <c r="C30" i="73" s="1"/>
  <c r="C39" i="73" s="1"/>
  <c r="J35" i="73"/>
  <c r="J13" i="74"/>
  <c r="J23" i="74" s="1"/>
  <c r="J22" i="74"/>
  <c r="C37" i="74"/>
  <c r="C30" i="74" s="1"/>
  <c r="C39" i="74" s="1"/>
  <c r="C55" i="74"/>
  <c r="C64" i="74" s="1"/>
  <c r="C57" i="74" s="1"/>
  <c r="C66" i="74" s="1"/>
  <c r="C67" i="74" s="1"/>
  <c r="C70" i="74" s="1"/>
  <c r="J35" i="74"/>
  <c r="Q71" i="74"/>
  <c r="C9" i="59"/>
  <c r="D10" i="59"/>
  <c r="J9" i="40"/>
  <c r="H9" i="40"/>
  <c r="F9" i="40"/>
  <c r="J9" i="39"/>
  <c r="H9" i="39"/>
  <c r="F9" i="39"/>
  <c r="L51" i="73"/>
  <c r="L51" i="74"/>
  <c r="J39" i="73" l="1"/>
  <c r="J40" i="73" s="1"/>
  <c r="Q68" i="73"/>
  <c r="C40" i="73"/>
  <c r="Q48" i="73" s="1"/>
  <c r="Q54" i="73" s="1"/>
  <c r="Q70" i="73"/>
  <c r="Q69" i="73" s="1"/>
  <c r="J16" i="74"/>
  <c r="J25" i="74" s="1"/>
  <c r="Q68" i="74"/>
  <c r="C40" i="74"/>
  <c r="Q70" i="74"/>
  <c r="Q69" i="74" s="1"/>
  <c r="J39" i="74"/>
  <c r="J40" i="74"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Q66" i="73" l="1"/>
  <c r="Q76" i="73" s="1"/>
  <c r="C43" i="73"/>
  <c r="Q57" i="73"/>
  <c r="Q63" i="73" s="1"/>
  <c r="B2" i="73"/>
  <c r="D10" i="12" s="1"/>
  <c r="C46" i="73"/>
  <c r="J42" i="73"/>
  <c r="J43" i="73" s="1"/>
  <c r="C46" i="74"/>
  <c r="Q57" i="74"/>
  <c r="Q63" i="74" s="1"/>
  <c r="J42" i="74"/>
  <c r="J43" i="74" s="1"/>
  <c r="Q66" i="74"/>
  <c r="Q76" i="74" s="1"/>
  <c r="Q48" i="74"/>
  <c r="Q54" i="74" s="1"/>
  <c r="C43" i="74"/>
  <c r="B2" i="74"/>
  <c r="D8" i="59"/>
  <c r="C7" i="59"/>
  <c r="R45" i="40"/>
  <c r="E44" i="40"/>
  <c r="G53" i="39"/>
  <c r="H53" i="39" s="1"/>
  <c r="G54" i="39"/>
  <c r="H54" i="39" s="1"/>
  <c r="G48" i="40"/>
  <c r="H48" i="40" s="1"/>
  <c r="G49" i="40"/>
  <c r="H49" i="40" s="1"/>
  <c r="I53" i="39"/>
  <c r="J53" i="39" s="1"/>
  <c r="R50" i="39"/>
  <c r="E49" i="39"/>
  <c r="I54" i="39" s="1"/>
  <c r="J54" i="39" s="1"/>
  <c r="B3" i="73" l="1"/>
  <c r="D8" i="12" s="1"/>
  <c r="B3" i="74"/>
  <c r="E8" i="12" s="1"/>
  <c r="E10" i="12"/>
  <c r="C6" i="59"/>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0" i="9" l="1"/>
  <c r="G21" i="9"/>
  <c r="N43" i="9"/>
  <c r="C32" i="9"/>
  <c r="G22" i="9"/>
  <c r="C42" i="9" l="1"/>
  <c r="O38" i="9"/>
  <c r="D14" i="66" s="1"/>
  <c r="G14" i="66" s="1"/>
  <c r="B6" i="66" s="1"/>
  <c r="C33" i="9"/>
  <c r="O43" i="9"/>
  <c r="C35" i="9"/>
  <c r="F42" i="9" s="1"/>
  <c r="C34" i="9"/>
  <c r="C6" i="66" l="1"/>
  <c r="D6" i="66"/>
  <c r="E14" i="66"/>
  <c r="B5" i="66"/>
  <c r="F14" i="66"/>
  <c r="D42" i="9"/>
  <c r="Q5" i="54" s="1"/>
  <c r="B47" i="63" s="1"/>
  <c r="N38" i="9"/>
  <c r="K28" i="9" s="1"/>
  <c r="M38" i="9"/>
  <c r="K27" i="9" s="1"/>
  <c r="E42" i="9"/>
  <c r="P5" i="54" s="1"/>
  <c r="B46" i="63" s="1"/>
  <c r="K25" i="9"/>
  <c r="K26" i="9"/>
  <c r="C44" i="9"/>
  <c r="D63" i="9"/>
  <c r="R5" i="54"/>
  <c r="B48" i="63" s="1"/>
  <c r="N68" i="9"/>
  <c r="C5" i="66" l="1"/>
  <c r="D5" i="66"/>
  <c r="N69" i="9"/>
  <c r="O39" i="9"/>
  <c r="D44" i="9"/>
  <c r="F44" i="9"/>
  <c r="E44" i="9"/>
  <c r="C111" i="9"/>
  <c r="C104" i="9" s="1"/>
  <c r="D70" i="9"/>
  <c r="C96" i="9"/>
  <c r="C91" i="9" s="1"/>
  <c r="C90" i="9"/>
  <c r="C82" i="9"/>
  <c r="C81" i="9" s="1"/>
  <c r="C85" i="9" s="1"/>
  <c r="C86" i="9" s="1"/>
  <c r="D72" i="9" s="1"/>
  <c r="D71" i="9"/>
  <c r="D66" i="9" s="1"/>
  <c r="N72" i="9" s="1"/>
  <c r="D73" i="9"/>
  <c r="N73" i="9" s="1"/>
  <c r="C103" i="9"/>
  <c r="R6" i="54" l="1"/>
  <c r="B50" i="63" s="1"/>
  <c r="K29" i="9"/>
  <c r="K30" i="9" s="1"/>
  <c r="C113" i="9"/>
  <c r="C97" i="9"/>
  <c r="M86" i="9"/>
  <c r="N86" i="9" s="1"/>
  <c r="M87" i="9"/>
  <c r="N87" i="9" s="1"/>
  <c r="M85" i="9"/>
  <c r="N85" i="9" s="1"/>
  <c r="M88" i="9"/>
  <c r="N88" i="9" s="1"/>
  <c r="M83" i="9"/>
  <c r="N83" i="9" s="1"/>
  <c r="M84" i="9"/>
  <c r="N84" i="9" s="1"/>
  <c r="N89" i="9" l="1"/>
  <c r="O89" i="9" s="1"/>
  <c r="C98" i="9"/>
  <c r="E98" i="9" s="1"/>
  <c r="E99" i="9" s="1"/>
  <c r="C114" i="9"/>
  <c r="E114" i="9" s="1"/>
  <c r="E115"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<sst xmlns="http://schemas.openxmlformats.org/spreadsheetml/2006/main" count="8226" uniqueCount="3344">
  <si>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</si>
  <si>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</si>
  <si>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</si>
  <si>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</si>
  <si>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</si>
  <si>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</si>
  <si>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</si>
  <si>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</si>
  <si>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</si>
  <si>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</si>
  <si>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</si>
  <si>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</si>
  <si>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</si>
  <si>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</si>
  <si>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</si>
  <si>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</si>
  <si>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</si>
  <si>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</si>
  <si>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</si>
  <si>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</si>
  <si>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</si>
  <si>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</si>
  <si>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</si>
  <si>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</si>
  <si>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</si>
  <si>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</si>
  <si>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</si>
  <si>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</si>
  <si>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</si>
  <si>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</si>
  <si>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</si>
  <si>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</si>
  <si>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</si>
  <si>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</si>
  <si>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</si>
  <si>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</si>
  <si>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</si>
  <si>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</si>
  <si>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</si>
  <si>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</si>
  <si>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</si>
  <si>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</si>
  <si>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</si>
  <si>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</si>
  <si>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</si>
  <si>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</si>
  <si>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</si>
  <si>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</si>
  <si>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</si>
  <si>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</si>
  <si>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</si>
  <si>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</si>
  <si>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</si>
  <si>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</si>
  <si>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</si>
  <si>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</si>
  <si>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</si>
  <si>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</si>
  <si>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</si>
  <si>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</si>
  <si>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</si>
  <si>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</si>
  <si>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</si>
  <si>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</si>
  <si>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</si>
  <si>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</si>
  <si>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</si>
  <si>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</si>
  <si>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</si>
  <si>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</si>
  <si>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</si>
  <si>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</si>
  <si>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</si>
  <si>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</si>
  <si>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</si>
  <si>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</si>
  <si>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</si>
  <si>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</si>
  <si>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</si>
  <si>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</si>
  <si>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</si>
  <si>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</si>
  <si>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</si>
  <si>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</si>
  <si>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</si>
  <si>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</si>
  <si>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</si>
  <si>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</si>
  <si>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</si>
  <si>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</si>
  <si>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</si>
  <si>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</si>
  <si>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</si>
  <si>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</si>
  <si>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</si>
  <si>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</si>
  <si>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</si>
  <si>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</si>
  <si>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</si>
  <si>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</si>
  <si>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</si>
  <si>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</si>
  <si>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</si>
  <si>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</si>
  <si>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</si>
  <si>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</si>
  <si>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</si>
  <si>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</si>
  <si>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</si>
  <si>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</si>
  <si>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</si>
  <si>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</si>
  <si>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</si>
  <si>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</si>
  <si>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</si>
  <si>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</si>
  <si>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</si>
  <si>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</si>
  <si>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</si>
  <si>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</si>
  <si>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</si>
  <si>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</si>
  <si>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</si>
  <si>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</si>
  <si>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</si>
  <si>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</si>
  <si>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</si>
  <si>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</si>
  <si>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</si>
  <si>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</si>
  <si>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</si>
  <si>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</si>
  <si>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</si>
  <si>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</si>
  <si>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</si>
  <si>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</si>
  <si>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</si>
  <si>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</si>
  <si>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</si>
  <si>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</si>
  <si>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</si>
  <si>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</si>
  <si>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</si>
  <si>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</si>
  <si>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</si>
  <si>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</si>
  <si>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</si>
  <si>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</si>
  <si>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</si>
  <si>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</si>
  <si>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</si>
  <si>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</si>
  <si>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</si>
  <si>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</si>
  <si>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</si>
  <si>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</si>
  <si>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</si>
  <si>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</si>
  <si>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</si>
  <si>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</si>
  <si>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</si>
  <si>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</si>
  <si>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</si>
  <si>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</si>
  <si>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</si>
  <si>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</si>
  <si>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</si>
  <si>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</si>
  <si>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</si>
  <si>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</si>
  <si>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</si>
  <si>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</si>
  <si>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</si>
  <si>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</si>
  <si>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</si>
  <si>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</si>
  <si>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</si>
  <si>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</si>
  <si>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</si>
  <si>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</si>
  <si>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</si>
  <si>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</si>
  <si>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</si>
  <si>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</si>
  <si>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</si>
  <si>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</si>
  <si>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</si>
  <si>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</si>
  <si>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</si>
  <si>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</si>
  <si>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</si>
  <si>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</si>
  <si>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</si>
  <si>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</si>
  <si>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</si>
  <si>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</si>
  <si>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</si>
  <si>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</si>
  <si>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</si>
  <si>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</si>
  <si>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</si>
  <si>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</si>
  <si>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</si>
  <si>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</si>
  <si>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</si>
  <si>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</si>
  <si>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</si>
  <si>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</si>
  <si>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</si>
  <si>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</si>
  <si>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</si>
  <si>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</si>
  <si>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</si>
  <si>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</si>
  <si>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</si>
  <si>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</si>
  <si>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</si>
  <si>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</si>
  <si>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</si>
  <si>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</si>
  <si>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</si>
  <si>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</si>
  <si>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</si>
  <si>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</si>
  <si>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</si>
  <si>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</si>
  <si>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</si>
  <si>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</si>
  <si>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</si>
  <si>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</si>
  <si>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</si>
  <si>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</si>
  <si>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</si>
  <si>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</si>
  <si>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</si>
  <si>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</si>
  <si>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</si>
  <si>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</si>
  <si>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</si>
  <si>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</si>
  <si>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</si>
  <si>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</si>
  <si>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</si>
  <si>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</si>
  <si>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</si>
  <si>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</si>
  <si>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</si>
  <si>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</si>
  <si>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</si>
  <si>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</si>
  <si>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</si>
  <si>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</si>
  <si>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</si>
  <si>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</si>
  <si>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</si>
  <si>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</si>
  <si>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</si>
  <si>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</si>
  <si>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</si>
  <si>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</si>
  <si>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</si>
  <si>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</si>
  <si>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</si>
  <si>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</si>
  <si>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</si>
  <si>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</si>
  <si>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</si>
  <si>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</si>
  <si>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</si>
  <si>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</si>
  <si>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</si>
  <si>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</si>
  <si>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</si>
  <si>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</si>
  <si>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</si>
  <si>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</si>
  <si>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</si>
  <si>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</si>
  <si>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</si>
  <si>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</si>
  <si>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</si>
  <si>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</si>
  <si>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</si>
  <si>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</si>
  <si>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</si>
  <si>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</si>
  <si>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</si>
  <si>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</si>
  <si>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</si>
  <si>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</si>
  <si>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</si>
  <si>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</si>
  <si>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</si>
  <si>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</si>
  <si>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</si>
  <si>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</si>
  <si>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</si>
  <si>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</si>
  <si>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</si>
  <si>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</si>
  <si>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</si>
  <si>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</si>
  <si>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</si>
  <si>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</si>
  <si>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</si>
  <si>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</si>
  <si>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</si>
  <si>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</si>
  <si>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</si>
  <si>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</si>
  <si>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</si>
  <si>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</si>
  <si>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</si>
  <si>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</si>
  <si>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</si>
  <si>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</si>
  <si>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</si>
  <si>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</si>
  <si>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</si>
  <si>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</si>
  <si>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</si>
  <si>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</si>
  <si>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</si>
  <si>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</si>
  <si>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</si>
  <si>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</si>
  <si>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</si>
  <si>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</si>
  <si>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</si>
  <si>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</si>
  <si>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</si>
  <si>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</si>
  <si>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</si>
  <si>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</si>
  <si>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</si>
  <si>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</si>
  <si>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</si>
  <si>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</si>
  <si>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</si>
  <si>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</si>
  <si>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</si>
  <si>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</si>
  <si>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</si>
  <si>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</si>
  <si>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</si>
  <si>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</si>
  <si>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</si>
  <si>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</si>
  <si>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</si>
  <si>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</si>
  <si>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</si>
  <si>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</si>
  <si>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</si>
  <si>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</si>
  <si>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</si>
  <si>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</si>
  <si>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</si>
  <si>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</si>
  <si>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</si>
  <si>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</si>
  <si>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</si>
  <si>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</si>
  <si>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</si>
  <si>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</si>
  <si>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</si>
  <si>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</si>
  <si>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</si>
  <si>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</si>
  <si>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</si>
  <si>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</si>
  <si>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</si>
  <si>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</si>
  <si>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</si>
  <si>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</si>
  <si>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</si>
  <si>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</si>
  <si>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</si>
  <si>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</si>
  <si>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</si>
  <si>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</si>
  <si>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</si>
  <si>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</si>
  <si>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</si>
  <si>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</si>
  <si>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</si>
  <si>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</si>
  <si>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</si>
  <si>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</si>
  <si>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</si>
  <si>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</si>
  <si>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</si>
  <si>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</si>
  <si>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</si>
  <si>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</si>
  <si>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</si>
  <si>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</si>
  <si>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</si>
  <si>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</si>
  <si>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</si>
  <si>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</si>
  <si>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</si>
  <si>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</si>
  <si>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</si>
  <si>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</si>
  <si>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</si>
  <si>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</si>
  <si>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</si>
  <si>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</si>
  <si>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</si>
  <si>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</si>
  <si>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</si>
  <si>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</si>
  <si>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</si>
  <si>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</si>
  <si>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</si>
  <si>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</si>
  <si>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</si>
  <si>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</si>
  <si>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</si>
  <si>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</si>
  <si>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</si>
  <si>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</si>
  <si>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</si>
  <si>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</si>
  <si>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</si>
  <si>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</si>
  <si>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</si>
  <si>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</si>
  <si>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</si>
  <si>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</si>
  <si>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</si>
  <si>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</si>
  <si>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</si>
  <si>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</si>
  <si>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</si>
  <si>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</si>
  <si>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</si>
  <si>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</si>
  <si>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</si>
  <si>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</si>
  <si>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</si>
  <si>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</si>
  <si>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</si>
  <si>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</si>
  <si>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</si>
  <si>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</si>
  <si>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</si>
  <si>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</si>
  <si>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</si>
  <si>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</si>
  <si>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</si>
  <si>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</si>
  <si>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</si>
  <si>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</si>
  <si>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</si>
  <si>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</si>
  <si>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</si>
  <si>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</si>
  <si>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</si>
  <si>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</si>
  <si>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</si>
  <si>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</si>
  <si>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</si>
  <si>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</si>
  <si>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</si>
  <si>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</si>
  <si>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</si>
  <si>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</si>
  <si>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</si>
  <si>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</si>
  <si>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</si>
  <si>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</si>
  <si>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</si>
  <si>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</si>
  <si>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</si>
  <si>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</si>
  <si>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</si>
  <si>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</si>
  <si>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</si>
  <si>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</si>
  <si>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</si>
  <si>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</si>
  <si>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</si>
  <si>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</si>
  <si>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</si>
  <si>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</si>
  <si>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</si>
  <si>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</si>
  <si>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</si>
  <si>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</si>
  <si>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</si>
  <si>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</si>
  <si>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</si>
  <si>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</si>
  <si>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</si>
  <si>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</si>
  <si>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</si>
  <si>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</si>
  <si>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</si>
  <si>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</si>
  <si>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</si>
  <si>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</si>
  <si>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</si>
  <si>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</si>
  <si>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</si>
  <si>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</si>
  <si>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</si>
  <si>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</si>
  <si>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</si>
  <si>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</si>
  <si>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</si>
  <si>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</si>
  <si>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</si>
  <si>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</si>
  <si>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</si>
  <si>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</si>
  <si>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</si>
  <si>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</si>
  <si>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</si>
  <si>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</si>
  <si>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</si>
  <si>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</si>
  <si>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</si>
  <si>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</si>
  <si>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</si>
  <si>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</si>
  <si>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</si>
  <si>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</si>
  <si>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</si>
  <si>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</si>
  <si>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</si>
  <si>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</si>
  <si>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</si>
  <si>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</si>
  <si>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</si>
  <si>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</si>
  <si>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</si>
  <si>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</si>
  <si>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</si>
  <si>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</si>
  <si>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</si>
  <si>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</si>
  <si>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</si>
  <si>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</si>
  <si>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</si>
  <si>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</si>
  <si>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</si>
  <si>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</si>
  <si>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</si>
  <si>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</si>
  <si>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</si>
  <si>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</si>
  <si>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</si>
  <si>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</si>
  <si>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</si>
  <si>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</si>
  <si>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</si>
  <si>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</si>
  <si>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</si>
  <si>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</si>
  <si>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</si>
  <si>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</si>
  <si>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</si>
  <si>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</si>
  <si>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</si>
  <si>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</si>
  <si>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</si>
  <si>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</si>
  <si>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</si>
  <si>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</si>
  <si>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</si>
  <si>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</si>
  <si>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</si>
  <si>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</si>
  <si>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</si>
  <si>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</si>
  <si>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</si>
  <si>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</si>
  <si>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</si>
  <si>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</si>
  <si>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</si>
  <si>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</si>
  <si>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</si>
  <si>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</si>
  <si>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</si>
  <si>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</si>
  <si>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</si>
  <si>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</si>
  <si>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</si>
  <si>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</si>
  <si>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</si>
  <si>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</si>
  <si>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</si>
  <si>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</si>
  <si>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</si>
  <si>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</si>
  <si>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</si>
  <si>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</si>
  <si>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</si>
  <si>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</si>
  <si>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</si>
  <si>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</si>
  <si>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</si>
  <si>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</si>
  <si>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</si>
  <si>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</si>
  <si>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</si>
  <si>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</si>
  <si>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</si>
  <si>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</si>
  <si>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</si>
  <si>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</si>
  <si>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</si>
  <si>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</si>
  <si>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</si>
  <si>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</si>
  <si>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</si>
  <si>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</si>
  <si>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</si>
  <si>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</si>
  <si>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</si>
  <si>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</si>
  <si>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</si>
  <si>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</si>
  <si>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</si>
  <si>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</si>
  <si>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</si>
  <si>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</si>
  <si>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</si>
  <si>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</si>
  <si>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</si>
  <si>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</si>
  <si>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</si>
  <si>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</si>
  <si>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</si>
  <si>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</si>
  <si>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</si>
  <si>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</si>
  <si>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</si>
  <si>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</si>
  <si>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</si>
  <si>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</si>
  <si>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</si>
  <si>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</si>
  <si>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</si>
  <si>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</si>
  <si>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</si>
  <si>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</si>
  <si>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</si>
  <si>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</si>
  <si>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</si>
  <si>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</si>
  <si>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</si>
  <si>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</si>
  <si>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</si>
  <si>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</si>
  <si>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</si>
  <si>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</si>
  <si>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</si>
  <si>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</si>
  <si>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</si>
  <si>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</si>
  <si>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</si>
  <si>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</si>
  <si>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</si>
  <si>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</si>
  <si>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</si>
  <si>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</si>
  <si>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</si>
  <si>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</si>
  <si>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</si>
  <si>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</si>
  <si>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</si>
  <si>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</si>
  <si>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</si>
  <si>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</si>
  <si>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</si>
  <si>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</si>
  <si>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</si>
  <si>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</si>
  <si>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</si>
  <si>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</si>
  <si>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</si>
  <si>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</si>
  <si>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</si>
  <si>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</si>
  <si>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</si>
  <si>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</si>
  <si>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</si>
  <si>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</si>
  <si>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</si>
  <si>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</si>
  <si>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</si>
  <si>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</si>
  <si>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</si>
  <si>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</si>
  <si>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</si>
  <si>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</si>
  <si>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</si>
  <si>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</si>
  <si>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</si>
  <si>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</si>
  <si>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</si>
  <si>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</si>
  <si>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</si>
  <si>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</si>
  <si>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</si>
  <si>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</si>
  <si>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</si>
  <si>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</si>
  <si>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</si>
  <si>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</si>
  <si>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</si>
  <si>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</si>
  <si>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</si>
  <si>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</si>
  <si>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</si>
  <si>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</si>
  <si>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</si>
  <si>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</si>
  <si>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</si>
  <si>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</si>
  <si>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</si>
  <si>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</si>
  <si>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</si>
  <si>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</si>
  <si>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</si>
  <si>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</si>
  <si>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</si>
  <si>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</si>
  <si>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</si>
  <si>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</si>
  <si>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</si>
  <si>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</si>
  <si>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</si>
  <si>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</si>
  <si>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</si>
  <si>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</si>
  <si>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</si>
  <si>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</si>
  <si>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</si>
  <si>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</si>
  <si>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</si>
  <si>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</si>
  <si>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</si>
  <si>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</si>
  <si>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</si>
  <si>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</si>
  <si>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</si>
  <si>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</si>
  <si>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</si>
  <si>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</si>
  <si>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</si>
  <si>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</si>
  <si>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</si>
  <si>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</si>
  <si>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</si>
  <si>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</si>
  <si>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</si>
  <si>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</si>
  <si>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</si>
  <si>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</si>
  <si>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</si>
  <si>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</si>
  <si>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</si>
  <si>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</si>
  <si>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</si>
  <si>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</si>
  <si>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</si>
  <si>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</si>
  <si>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</si>
  <si>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</si>
  <si>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</si>
  <si>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</si>
  <si>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</si>
  <si>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</si>
  <si>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</si>
  <si>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</si>
  <si>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</si>
  <si>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</si>
  <si>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</si>
  <si>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</si>
  <si>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</si>
  <si>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</si>
  <si>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</si>
  <si>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</si>
  <si>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</si>
  <si>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</si>
  <si>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</si>
  <si>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</si>
  <si>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</si>
  <si>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</si>
  <si>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</si>
  <si>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</si>
  <si>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</si>
  <si>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</si>
  <si>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</si>
  <si>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</si>
  <si>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</si>
  <si>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</si>
  <si>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</si>
  <si>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</si>
  <si>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</si>
  <si>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</si>
  <si>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</si>
  <si>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</si>
  <si>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</si>
  <si>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</si>
  <si>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</si>
  <si>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</si>
  <si>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</si>
  <si>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</si>
  <si>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</si>
  <si>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</si>
  <si>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</si>
  <si>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</si>
  <si>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</si>
  <si>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</si>
  <si>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</si>
  <si>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</si>
  <si>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</si>
  <si>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</si>
  <si>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</si>
  <si>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</si>
  <si>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</si>
  <si>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</si>
  <si>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</si>
  <si>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</si>
  <si>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</si>
  <si>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</si>
  <si>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</si>
  <si>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</si>
  <si>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</si>
  <si>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</si>
  <si>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</si>
  <si>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</si>
  <si>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</si>
  <si>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</si>
  <si>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</si>
  <si>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</si>
  <si>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</si>
  <si>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</si>
  <si>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</si>
  <si>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</si>
  <si>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</si>
  <si>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</si>
  <si>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</si>
  <si>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</si>
  <si>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</si>
  <si>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</si>
  <si>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</si>
  <si>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</si>
  <si>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</si>
  <si>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</si>
  <si>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</si>
  <si>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</si>
  <si>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</si>
  <si>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</si>
  <si>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</si>
  <si>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</si>
  <si>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</si>
  <si>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</si>
  <si>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</si>
  <si>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</si>
  <si>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</si>
  <si>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</si>
  <si>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</si>
  <si>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</si>
  <si>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</si>
  <si>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</si>
  <si>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</si>
  <si>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</si>
  <si>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</si>
  <si>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</si>
  <si>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</si>
  <si>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</si>
  <si>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</si>
  <si>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</si>
  <si>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</si>
  <si>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</si>
  <si>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</si>
  <si>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</si>
  <si>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</si>
  <si>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</si>
  <si>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</si>
  <si>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</si>
  <si>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</si>
  <si>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</si>
  <si>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</si>
  <si>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</si>
  <si>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</si>
  <si>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</si>
  <si>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</si>
  <si>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</si>
  <si>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</si>
  <si>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</si>
  <si>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</si>
  <si>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</si>
  <si>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</si>
  <si>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</si>
  <si>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</si>
  <si>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</si>
  <si>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</si>
  <si>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</si>
  <si>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</si>
  <si>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</si>
  <si>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</si>
  <si>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</si>
  <si>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</si>
  <si>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</si>
  <si>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</si>
  <si>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</si>
  <si>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</si>
  <si>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</si>
  <si>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</si>
  <si>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</si>
  <si>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</si>
  <si>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</si>
  <si>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</si>
  <si>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</si>
  <si>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</si>
  <si>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</si>
  <si>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</si>
  <si>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</si>
  <si>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</si>
  <si>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</si>
  <si>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</si>
  <si>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</si>
  <si>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</si>
  <si>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</si>
  <si>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</si>
  <si>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</si>
  <si>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</si>
  <si>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</si>
  <si>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</si>
  <si>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</si>
  <si>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</si>
  <si>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</si>
  <si>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</si>
  <si>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</si>
  <si>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</si>
  <si>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</si>
  <si>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</si>
  <si>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</si>
  <si>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</si>
  <si>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</si>
  <si>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</si>
  <si>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</si>
  <si>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</si>
  <si>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</si>
  <si>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</si>
  <si>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</si>
  <si>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</si>
  <si>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</si>
  <si>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</si>
  <si>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</si>
  <si>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</si>
  <si>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</si>
  <si>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</si>
  <si>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</si>
  <si>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</si>
  <si>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</si>
  <si>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</si>
  <si>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</si>
  <si>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</si>
  <si>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</si>
  <si>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</si>
  <si>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</si>
  <si>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</si>
  <si>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</si>
  <si>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</si>
  <si>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</si>
  <si>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</si>
  <si>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</si>
  <si>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</si>
  <si>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</si>
  <si>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</si>
  <si>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</si>
  <si>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</si>
  <si>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</si>
  <si>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</si>
  <si>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</si>
  <si>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</si>
  <si>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</si>
  <si>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</si>
  <si>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</si>
  <si>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</si>
  <si>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</si>
  <si>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</si>
  <si>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</si>
  <si>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</si>
  <si>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</si>
  <si>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</si>
  <si>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</si>
  <si>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</si>
  <si>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</si>
  <si>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</si>
  <si>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</si>
  <si>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</si>
  <si>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</si>
  <si>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</si>
  <si>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</si>
  <si>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</si>
  <si>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</si>
  <si>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</si>
  <si>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</si>
  <si>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</si>
  <si>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</si>
  <si>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</si>
  <si>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</si>
  <si>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</si>
  <si>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</si>
  <si>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</si>
  <si>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</si>
  <si>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</si>
  <si>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</si>
  <si>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</si>
  <si>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</si>
  <si>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</si>
  <si>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</si>
  <si>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</si>
  <si>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</si>
  <si>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</si>
  <si>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</si>
  <si>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</si>
  <si>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</si>
  <si>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</si>
  <si>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</si>
  <si>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</si>
  <si>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</si>
  <si>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</si>
  <si>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</si>
  <si>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</si>
  <si>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</si>
  <si>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</si>
  <si>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</si>
  <si>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</si>
  <si>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</si>
  <si>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</si>
  <si>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</si>
  <si>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</si>
  <si>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</si>
  <si>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</si>
  <si>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</si>
  <si>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</si>
  <si>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</si>
  <si>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</si>
  <si>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</si>
  <si>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</si>
  <si>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</si>
  <si>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</si>
  <si>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</si>
  <si>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</si>
  <si>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</si>
  <si>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</si>
  <si>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</si>
  <si>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</si>
  <si>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</si>
  <si>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</si>
  <si>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</si>
  <si>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</si>
  <si>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</si>
  <si>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</si>
  <si>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</si>
  <si>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</si>
  <si>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</si>
  <si>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</si>
  <si>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</si>
  <si>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</si>
  <si>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</si>
  <si>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</si>
  <si>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</si>
  <si>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</si>
  <si>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</si>
  <si>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</si>
  <si>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</si>
  <si>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</si>
  <si>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</si>
  <si>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</si>
  <si>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</si>
  <si>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</si>
  <si>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</si>
  <si>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</si>
  <si>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</si>
  <si>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</si>
  <si>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</si>
  <si>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</si>
  <si>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</si>
  <si>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</si>
  <si>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</si>
  <si>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</si>
  <si>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</si>
  <si>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</si>
  <si>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</si>
  <si>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</si>
  <si>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</si>
  <si>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</si>
  <si>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</si>
  <si>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</si>
  <si>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</si>
  <si>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</si>
  <si>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</si>
  <si>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</si>
  <si>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</si>
  <si>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</si>
  <si>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</si>
  <si>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</si>
  <si>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</si>
  <si>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</si>
  <si>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</si>
  <si>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</si>
  <si>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</si>
  <si>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</si>
  <si>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</si>
  <si>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</si>
  <si>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</si>
  <si>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</si>
  <si>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</si>
  <si>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</si>
  <si>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</si>
  <si>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</si>
  <si>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</si>
  <si>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</si>
  <si>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</si>
  <si>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</si>
  <si>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</si>
  <si>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</si>
  <si>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</si>
  <si>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</si>
  <si>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</si>
  <si>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</si>
  <si>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</si>
  <si>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</si>
  <si>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</si>
  <si>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</si>
  <si>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</si>
  <si>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</si>
  <si>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</si>
  <si>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</si>
  <si>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</si>
  <si>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</si>
  <si>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</si>
  <si>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</si>
  <si>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</si>
  <si>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</si>
  <si>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</si>
  <si>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</si>
  <si>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</si>
  <si>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</si>
  <si>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</si>
  <si>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</si>
  <si>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</si>
  <si>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</si>
  <si>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</si>
  <si>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</si>
  <si>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</si>
  <si>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</si>
  <si>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</si>
  <si>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</si>
  <si>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</si>
  <si>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</si>
  <si>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</si>
  <si>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</si>
  <si>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</si>
  <si>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</si>
  <si>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</si>
  <si>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</si>
  <si>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</si>
  <si>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</si>
  <si>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</si>
  <si>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</si>
  <si>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</si>
  <si>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</si>
  <si>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</si>
  <si>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</si>
  <si>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</si>
  <si>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</si>
  <si>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</si>
  <si>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</si>
  <si>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</si>
  <si>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</si>
  <si>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</si>
  <si>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</si>
  <si>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</si>
  <si>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</si>
  <si>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</si>
  <si>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</si>
  <si>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</si>
  <si>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</si>
  <si>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</si>
  <si>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</si>
  <si>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</si>
  <si>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</si>
  <si>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</si>
  <si>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</si>
  <si>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</si>
  <si>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</si>
  <si>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</si>
  <si>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</si>
  <si>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</si>
  <si>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</si>
  <si>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</si>
  <si>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</si>
  <si>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</si>
  <si>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</si>
  <si>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</si>
  <si>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</si>
  <si>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</si>
  <si>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</si>
  <si>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</si>
  <si>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</si>
  <si>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</si>
  <si>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</si>
  <si>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</si>
  <si>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</si>
  <si>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</si>
  <si>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</si>
  <si>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</si>
  <si>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</si>
  <si>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</si>
  <si>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</si>
  <si>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</si>
  <si>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</si>
  <si>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</si>
  <si>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</si>
  <si>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</si>
  <si>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</si>
  <si>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</si>
  <si>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</si>
  <si>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</si>
  <si>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</si>
  <si>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</si>
  <si>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</si>
  <si>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</si>
  <si>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</si>
  <si>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</si>
  <si>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</si>
  <si>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</si>
  <si>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</si>
  <si>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</si>
  <si>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</si>
  <si>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</si>
  <si>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</si>
  <si>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</si>
  <si>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</si>
  <si>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</si>
  <si>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</si>
  <si>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</si>
  <si>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</si>
  <si>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</si>
  <si>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</si>
  <si>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</si>
  <si>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</si>
  <si>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</si>
  <si>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</si>
  <si>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</si>
  <si>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</si>
  <si>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</si>
  <si>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</si>
  <si>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</si>
  <si>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</si>
  <si>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</si>
  <si>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</si>
  <si>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</si>
  <si>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</si>
  <si>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</si>
  <si>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</si>
  <si>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</si>
  <si>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</si>
  <si>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</si>
  <si>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</si>
  <si>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</si>
  <si>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</si>
  <si>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</si>
  <si>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</si>
  <si>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</si>
  <si>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</si>
  <si>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</si>
  <si>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</si>
  <si>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</si>
  <si>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</si>
  <si>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</si>
  <si>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</si>
  <si>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</si>
  <si>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</si>
  <si>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</si>
  <si>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</si>
  <si>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</si>
  <si>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</si>
  <si>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</si>
  <si>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</si>
  <si>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</si>
  <si>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</si>
  <si>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</si>
  <si>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</si>
  <si>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</si>
  <si>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</si>
  <si>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</si>
  <si>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</si>
  <si>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</si>
  <si>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</si>
  <si>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</si>
  <si>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</si>
  <si>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</si>
  <si>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</si>
  <si>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</si>
  <si>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</si>
  <si>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</si>
  <si>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</si>
  <si>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</si>
  <si>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</si>
  <si>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</si>
  <si>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</si>
  <si>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</si>
  <si>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</si>
  <si>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</si>
  <si>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</si>
  <si>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</si>
  <si>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</si>
  <si>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</si>
  <si>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</si>
  <si>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</si>
  <si>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</si>
  <si>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</si>
  <si>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</si>
  <si>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</si>
  <si>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</si>
  <si>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</si>
  <si>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</si>
  <si>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</si>
  <si>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</si>
  <si>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</si>
  <si>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</si>
  <si>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</si>
  <si>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</si>
  <si>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</si>
  <si>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</si>
  <si>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</si>
  <si>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</si>
  <si>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</si>
  <si>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</si>
  <si>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</si>
  <si>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</si>
  <si>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</si>
  <si>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</si>
  <si>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</si>
  <si>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</si>
  <si>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</si>
  <si>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</si>
  <si>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</si>
  <si>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</si>
  <si>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</si>
  <si>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</si>
  <si>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</si>
  <si>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</si>
  <si>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</si>
  <si>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</si>
  <si>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</si>
  <si>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</si>
  <si>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</si>
  <si>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</si>
  <si>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</si>
  <si>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</si>
  <si>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</si>
  <si>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</si>
  <si>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</si>
  <si>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</si>
  <si>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</si>
  <si>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</si>
  <si>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</si>
  <si>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</si>
  <si>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</si>
  <si>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</si>
  <si>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</si>
  <si>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</si>
  <si>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</si>
  <si>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</si>
  <si>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</si>
  <si>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</si>
  <si>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</si>
  <si>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</si>
  <si>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</si>
  <si>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</si>
  <si>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</si>
  <si>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</si>
  <si>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</si>
  <si>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</si>
  <si>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</si>
  <si>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</si>
  <si>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</si>
  <si>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</si>
  <si>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</si>
  <si>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</si>
  <si>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</si>
  <si>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</si>
  <si>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</si>
  <si>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</si>
  <si>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</si>
  <si>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</si>
  <si>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</si>
  <si>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</si>
  <si>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</si>
  <si>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</si>
  <si>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</si>
  <si>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</si>
  <si>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</si>
  <si>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</si>
  <si>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</si>
  <si>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</si>
  <si>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</si>
  <si>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</si>
  <si>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</si>
  <si>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</si>
  <si>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</si>
  <si>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</si>
  <si>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</si>
  <si>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</si>
  <si>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</si>
  <si>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</si>
  <si>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</si>
  <si>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</si>
  <si>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</si>
  <si>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</si>
  <si>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</si>
  <si>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</si>
  <si>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</si>
  <si>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</si>
  <si>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</si>
  <si>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</si>
  <si>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</si>
  <si>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</si>
  <si>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</si>
  <si>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</si>
  <si>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</si>
  <si>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</si>
  <si>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</si>
  <si>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</si>
  <si>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</si>
  <si>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</si>
  <si>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</si>
  <si>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</si>
  <si>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</si>
  <si>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</si>
  <si>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</si>
  <si>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</si>
  <si>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</si>
  <si>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</si>
  <si>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</si>
  <si>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</si>
  <si>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</si>
  <si>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</si>
  <si>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</si>
  <si>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</si>
  <si>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</si>
  <si>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</si>
  <si>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</si>
  <si>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</si>
  <si>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</si>
  <si>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</si>
  <si>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</si>
  <si>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</si>
  <si>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</si>
  <si>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</si>
  <si>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</si>
  <si>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</si>
  <si>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</si>
  <si>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</si>
  <si>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</si>
  <si>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</si>
  <si>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</si>
  <si>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</si>
  <si>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</si>
  <si>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</si>
  <si>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</si>
  <si>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</si>
  <si>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</si>
  <si>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</si>
  <si>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</si>
  <si>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</si>
  <si>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</si>
  <si>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</si>
  <si>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</si>
  <si>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</si>
  <si>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</si>
  <si>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</si>
  <si>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</si>
  <si>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</si>
  <si>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</si>
  <si>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</si>
  <si>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</si>
  <si>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</si>
  <si>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</si>
  <si>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</si>
  <si>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</si>
  <si>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</si>
  <si>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</si>
  <si>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</si>
  <si>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</si>
  <si>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</si>
  <si>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</si>
  <si>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</si>
  <si>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</si>
  <si>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</si>
  <si>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</si>
  <si>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</si>
  <si>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</si>
  <si>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</si>
  <si>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</si>
  <si>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</si>
  <si>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</si>
  <si>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</si>
  <si>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</si>
  <si>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</si>
  <si>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</si>
  <si>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</si>
  <si>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</si>
  <si>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</si>
  <si>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</si>
  <si>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</si>
  <si>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</si>
  <si>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</si>
  <si>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</si>
  <si>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</si>
  <si>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</si>
  <si>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</si>
  <si>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</si>
  <si>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</si>
  <si>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</si>
  <si>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</si>
  <si>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</si>
  <si>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</si>
  <si>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</si>
  <si>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</si>
  <si>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</si>
  <si>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</si>
  <si>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</si>
  <si>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</si>
  <si>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</si>
  <si>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</si>
  <si>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</si>
  <si>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</si>
  <si>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</si>
  <si>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</si>
  <si>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</si>
  <si>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</si>
  <si>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</si>
  <si>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</si>
  <si>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</si>
  <si>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</si>
  <si>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</si>
  <si>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</si>
  <si>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</si>
  <si>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</si>
  <si>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</si>
  <si>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</si>
  <si>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</si>
  <si>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</si>
  <si>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</si>
  <si>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</si>
  <si>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</si>
  <si>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</si>
  <si>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</si>
  <si>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</si>
  <si>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</si>
  <si>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</si>
  <si>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</si>
  <si>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</si>
  <si>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</si>
  <si>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</si>
  <si>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</si>
  <si>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</si>
  <si>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</si>
  <si>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</si>
  <si>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</si>
  <si>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</si>
  <si>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</si>
  <si>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</si>
  <si>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</si>
  <si>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</si>
  <si>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</si>
  <si>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</si>
  <si>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</si>
  <si>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</si>
  <si>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</si>
  <si>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</si>
  <si>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</si>
  <si>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</si>
  <si>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</si>
  <si>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</si>
  <si>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</si>
  <si>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</si>
  <si>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</si>
  <si>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</si>
  <si>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</si>
  <si>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</si>
  <si>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</si>
  <si>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</si>
  <si>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</si>
  <si>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</si>
  <si>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</si>
  <si>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</si>
  <si>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</si>
  <si>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</si>
  <si>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</si>
  <si>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</si>
  <si>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</si>
  <si>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</si>
  <si>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</si>
  <si>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</si>
  <si>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</si>
  <si>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</si>
  <si>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</si>
  <si>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</si>
  <si>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</si>
  <si>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</si>
  <si>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</si>
  <si>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</si>
  <si>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</si>
  <si>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</si>
  <si>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</si>
  <si>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</si>
  <si>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</si>
  <si>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</si>
  <si>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</si>
  <si>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</si>
  <si>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</si>
  <si>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</si>
  <si>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</si>
  <si>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</si>
  <si>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</si>
  <si>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</si>
  <si>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</si>
  <si>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</si>
  <si>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</si>
  <si>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</si>
  <si>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</si>
  <si>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</si>
  <si>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</si>
  <si>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</si>
  <si>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</si>
  <si>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</si>
  <si>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</si>
  <si>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</si>
  <si>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</si>
  <si>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</si>
  <si>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</si>
  <si>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</si>
  <si>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</si>
  <si>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</si>
  <si>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</si>
  <si>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</si>
  <si>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</si>
  <si>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</si>
  <si>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</si>
  <si>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</si>
  <si>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</si>
  <si>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</si>
  <si>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</si>
  <si>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</si>
  <si>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</si>
  <si>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</si>
  <si>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</si>
  <si>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</si>
  <si>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</si>
  <si>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</si>
  <si>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</si>
  <si>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</si>
  <si>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</si>
  <si>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</si>
  <si>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</si>
  <si>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</si>
  <si>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</si>
  <si>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</si>
  <si>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</si>
  <si>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</si>
  <si>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</si>
  <si>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</si>
  <si>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</si>
  <si>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</si>
  <si>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</si>
  <si>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</si>
  <si>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</si>
  <si>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</si>
  <si>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</si>
  <si>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</si>
  <si>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</si>
  <si>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</si>
  <si>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</si>
  <si>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</si>
  <si>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</si>
  <si>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</si>
  <si>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</si>
  <si>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</si>
  <si>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</si>
  <si>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</si>
  <si>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</si>
  <si>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</si>
  <si>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</si>
  <si>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</si>
  <si>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</si>
  <si>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</si>
  <si>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</si>
  <si>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</si>
  <si>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</si>
  <si>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</si>
  <si>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</si>
  <si>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</si>
  <si>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</si>
  <si>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</si>
  <si>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</si>
  <si>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</si>
  <si>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</si>
  <si>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</si>
  <si>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</si>
  <si>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</si>
  <si>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</si>
  <si>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</si>
  <si>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</si>
  <si>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</si>
  <si>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</si>
  <si>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</si>
  <si>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</si>
  <si>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</si>
  <si>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</si>
  <si>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</si>
  <si>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</si>
  <si>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</si>
  <si>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</si>
  <si>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</si>
  <si>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</si>
  <si>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</si>
  <si>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</si>
  <si>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</si>
  <si>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</si>
  <si>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</si>
  <si>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</si>
  <si>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</si>
  <si>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</si>
  <si>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</si>
  <si>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</si>
  <si>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</si>
  <si>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</si>
  <si>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</si>
  <si>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</si>
  <si>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</si>
  <si>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</si>
  <si>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</si>
  <si>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</si>
  <si>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</si>
  <si>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</si>
  <si>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</si>
  <si>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</si>
  <si>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</si>
  <si>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</si>
  <si>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</si>
  <si>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</si>
  <si>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</si>
  <si>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</si>
  <si>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</si>
  <si>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</si>
  <si>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</si>
  <si>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</si>
  <si>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</si>
  <si>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</si>
  <si>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</si>
  <si>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</si>
  <si>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</si>
  <si>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</si>
  <si>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</si>
  <si>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</si>
  <si>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</si>
  <si>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</si>
  <si>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</si>
  <si>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</si>
  <si>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</si>
  <si>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</si>
  <si>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</si>
  <si>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</si>
  <si>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</si>
  <si>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</si>
  <si>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</si>
  <si>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</si>
  <si>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</si>
  <si>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</si>
  <si>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</si>
  <si>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</si>
  <si>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</si>
  <si>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</si>
  <si>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</si>
  <si>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</si>
  <si>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</si>
  <si>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</si>
  <si>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</si>
  <si>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</si>
  <si>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</si>
  <si>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</si>
  <si>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</si>
  <si>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</si>
  <si>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</si>
  <si>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</si>
  <si>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</si>
  <si>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</si>
  <si>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</si>
  <si>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</si>
  <si>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</si>
  <si>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</si>
  <si>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</si>
  <si>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</si>
  <si>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</si>
  <si>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</si>
  <si>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</si>
  <si>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</si>
  <si>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</si>
  <si>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</si>
  <si>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</si>
  <si>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</si>
  <si>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</si>
  <si>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</si>
  <si>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</si>
  <si>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</si>
  <si>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</si>
  <si>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</si>
  <si>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</si>
  <si>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</si>
  <si>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</si>
  <si>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</si>
  <si>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</si>
  <si>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</si>
  <si>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</si>
  <si>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</si>
  <si>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</si>
  <si>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</si>
  <si>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</si>
  <si>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</si>
  <si>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</si>
  <si>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</si>
  <si>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</si>
  <si>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</si>
  <si>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</si>
  <si>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</si>
  <si>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</si>
  <si>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</si>
  <si>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</si>
  <si>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</si>
  <si>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</si>
  <si>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</si>
  <si>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</si>
  <si>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</si>
  <si>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</si>
  <si>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</si>
  <si>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</si>
  <si>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</si>
  <si>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</si>
  <si>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</si>
  <si>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</si>
  <si>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</si>
  <si>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</si>
  <si>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</si>
  <si>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</si>
  <si>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</si>
  <si>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</si>
  <si>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</si>
  <si>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</si>
  <si>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</si>
  <si>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</si>
  <si>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</si>
  <si>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</si>
  <si>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</si>
  <si>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</si>
  <si>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</si>
  <si>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</si>
  <si>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</si>
  <si>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</si>
  <si>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</si>
  <si>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</si>
  <si>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</si>
  <si>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</si>
  <si>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</si>
  <si>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</si>
  <si>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</si>
  <si>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</si>
  <si>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</si>
  <si>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</si>
  <si>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</si>
  <si>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</si>
  <si>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</si>
  <si>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</si>
  <si>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</si>
  <si>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</si>
  <si>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</si>
  <si>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</si>
  <si>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</si>
  <si>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</si>
  <si>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</si>
  <si>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</si>
  <si>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</si>
  <si>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</si>
  <si>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</si>
  <si>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</si>
  <si>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</si>
  <si>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</si>
  <si>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</si>
  <si>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</si>
  <si>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</si>
  <si>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</si>
  <si>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</si>
  <si>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</si>
  <si>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</si>
  <si>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</si>
  <si>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</si>
  <si>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</si>
  <si>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</si>
  <si>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</si>
  <si>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</si>
  <si>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</si>
  <si>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</si>
  <si>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</si>
  <si>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</si>
  <si>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</si>
  <si>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</si>
  <si>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</si>
  <si>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</si>
  <si>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</si>
  <si>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</si>
  <si>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</si>
  <si>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</si>
  <si>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</si>
  <si>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</si>
  <si>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</si>
  <si>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</si>
  <si>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</si>
  <si>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</si>
  <si>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</si>
  <si>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</si>
  <si>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</si>
  <si>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</si>
  <si>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</si>
  <si>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</si>
  <si>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</si>
  <si>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</si>
  <si>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</si>
  <si>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</si>
  <si>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</si>
  <si>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</si>
  <si>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</si>
  <si>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</si>
  <si>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</si>
  <si>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</si>
  <si>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</si>
  <si>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</si>
  <si>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</si>
  <si>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</si>
  <si>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</si>
  <si>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</si>
  <si>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</si>
  <si>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</si>
  <si>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</si>
  <si>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</si>
  <si>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</si>
  <si>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</si>
  <si>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</si>
  <si>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</si>
  <si>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</si>
  <si>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</si>
  <si>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</si>
  <si>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</si>
  <si>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</si>
  <si>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</si>
  <si>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</si>
  <si>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</si>
  <si>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</si>
  <si>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</si>
  <si>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</si>
  <si>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</si>
  <si>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</si>
  <si>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</si>
  <si>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</si>
  <si>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</si>
  <si>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</si>
  <si>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</si>
  <si>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</si>
  <si>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</si>
  <si>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</si>
  <si>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</si>
  <si>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</si>
  <si>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</si>
  <si>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</si>
  <si>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</si>
  <si>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</si>
  <si>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</si>
  <si>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</si>
  <si>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</si>
  <si>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</si>
  <si>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</si>
  <si>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</si>
  <si>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</si>
  <si>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</si>
  <si>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</si>
  <si>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</si>
  <si>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</si>
  <si>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</si>
  <si>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</si>
  <si>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</si>
  <si>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</si>
  <si>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</si>
  <si>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</si>
  <si>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</si>
  <si>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</si>
  <si>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</si>
  <si>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</si>
  <si>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</si>
  <si>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</si>
  <si>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</si>
  <si>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</si>
  <si>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</si>
  <si>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</si>
  <si>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</si>
  <si>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</si>
  <si>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</si>
  <si>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</si>
  <si>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</si>
  <si>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</si>
  <si>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</si>
  <si>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</si>
  <si>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</si>
  <si>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</si>
  <si>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</si>
  <si>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</si>
  <si>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</si>
  <si>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</si>
  <si>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</si>
  <si>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</si>
  <si>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</si>
  <si>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</si>
  <si>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</si>
  <si>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</si>
  <si>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</si>
  <si>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</si>
  <si>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</si>
  <si>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</si>
  <si>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</si>
  <si>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</si>
  <si>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</si>
  <si>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</si>
  <si>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</si>
  <si>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</si>
  <si>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</si>
  <si>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</si>
  <si>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</si>
  <si>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</si>
  <si>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</si>
  <si>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</si>
  <si>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</si>
  <si>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</si>
  <si>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</si>
  <si>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</si>
  <si>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</si>
  <si>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</si>
  <si>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</si>
  <si>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</si>
  <si>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</si>
  <si>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</si>
  <si>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</si>
  <si>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</si>
  <si>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</si>
  <si>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</si>
  <si>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</si>
  <si>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</si>
  <si>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</si>
  <si>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</si>
  <si>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</si>
  <si>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</si>
  <si>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</si>
  <si>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</si>
  <si>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</si>
  <si>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</si>
  <si>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</si>
  <si>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</si>
  <si>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</si>
  <si>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</si>
  <si>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</si>
  <si>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</si>
  <si>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</si>
  <si>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</si>
  <si>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</si>
  <si>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</si>
  <si>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</si>
  <si>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</si>
  <si>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</si>
  <si>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</si>
  <si>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</si>
  <si>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</si>
  <si>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</si>
  <si>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</si>
  <si>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</si>
  <si>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</si>
  <si>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</si>
  <si>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</si>
  <si>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</si>
  <si>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</si>
  <si>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</si>
  <si>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</si>
  <si>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</si>
  <si>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</si>
  <si>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</si>
  <si>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</si>
  <si>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</si>
  <si>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</si>
  <si>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</si>
  <si>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</si>
  <si>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</si>
  <si>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</si>
  <si>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</si>
  <si>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</si>
  <si>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</si>
  <si>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</si>
  <si>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</si>
  <si>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</si>
  <si>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</si>
  <si>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</si>
  <si>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</si>
  <si>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</si>
  <si>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</si>
  <si>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</si>
  <si>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</si>
  <si>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</si>
  <si>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</si>
  <si>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</si>
  <si>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</si>
  <si>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</si>
  <si>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</si>
  <si>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</si>
  <si>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</si>
  <si>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</si>
  <si>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</si>
  <si>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</si>
  <si>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</si>
  <si>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</si>
  <si>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</si>
  <si>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</si>
  <si>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</si>
  <si>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</si>
  <si>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</si>
  <si>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</si>
  <si>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</si>
  <si>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</si>
  <si>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</si>
  <si>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</si>
  <si>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</si>
  <si>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</si>
  <si>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</si>
  <si>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</si>
  <si>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</si>
  <si>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</si>
  <si>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</si>
  <si>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</si>
  <si>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</si>
  <si>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</si>
  <si>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</si>
  <si>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</si>
  <si>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</si>
  <si>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</si>
  <si>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</si>
  <si>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</si>
  <si>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</si>
  <si>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</si>
  <si>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</si>
  <si>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</si>
  <si>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</si>
  <si>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</si>
  <si>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</si>
  <si>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</si>
  <si>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</si>
  <si>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</si>
  <si>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</si>
  <si>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</si>
  <si>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</si>
  <si>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</si>
  <si>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</si>
  <si>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</si>
  <si>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</si>
  <si>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</si>
  <si>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</si>
  <si>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</si>
  <si>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</si>
  <si>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</si>
  <si>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</si>
  <si>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</si>
  <si>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</si>
  <si>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</si>
  <si>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</si>
  <si>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</si>
  <si>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</si>
  <si>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</si>
  <si>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</si>
  <si>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</si>
  <si>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</si>
  <si>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</si>
  <si>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</si>
  <si>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</si>
  <si>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</si>
  <si>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</si>
  <si>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</si>
  <si>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</si>
  <si>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</si>
  <si>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</si>
  <si>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</si>
  <si>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</si>
  <si>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</si>
  <si>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</si>
  <si>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</si>
  <si>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</si>
  <si>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</si>
  <si>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</si>
  <si>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</si>
  <si>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</si>
  <si>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</si>
  <si>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</si>
  <si>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</si>
  <si>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</si>
  <si>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</si>
  <si>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</si>
  <si>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</si>
  <si>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</si>
  <si>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</si>
  <si>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</si>
  <si>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</si>
  <si>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</si>
  <si>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</si>
  <si>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</si>
  <si>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</si>
  <si>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</si>
  <si>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</si>
  <si>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</si>
  <si>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</si>
  <si>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</si>
  <si>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</si>
  <si>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</si>
  <si>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</si>
  <si>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</si>
  <si>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</si>
  <si>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</si>
  <si>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</si>
  <si>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</si>
  <si>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</si>
  <si>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</si>
  <si>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</si>
  <si>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</si>
  <si>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</si>
  <si>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</si>
  <si>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</si>
  <si>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</si>
  <si>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</si>
  <si>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</si>
  <si>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</si>
  <si>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</si>
  <si>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</si>
  <si>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</si>
  <si>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</si>
  <si>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</si>
  <si>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</si>
  <si>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</si>
  <si>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</si>
  <si>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</si>
  <si>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</si>
  <si>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</si>
  <si>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</si>
  <si>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</si>
  <si>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</si>
  <si>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</si>
  <si>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</si>
  <si>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</si>
  <si>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</si>
  <si>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</si>
  <si>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</si>
  <si>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</si>
  <si>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</si>
  <si>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</si>
  <si>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</si>
  <si>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</si>
  <si>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</si>
  <si>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</si>
  <si>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</si>
  <si>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</si>
  <si>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</si>
  <si>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</si>
  <si>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</si>
  <si>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</si>
  <si>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</si>
  <si>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</si>
  <si>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</si>
  <si>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</si>
  <si>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</si>
  <si>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</si>
  <si>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</si>
  <si>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</si>
  <si>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</si>
  <si>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</si>
  <si>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</si>
  <si>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</si>
  <si>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</si>
  <si>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</si>
  <si>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</si>
  <si>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</si>
  <si>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</si>
  <si>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</si>
  <si>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</si>
  <si>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</si>
  <si>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</si>
  <si>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</si>
  <si>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</si>
  <si>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</si>
  <si>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</si>
  <si>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</si>
  <si>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</si>
  <si>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</si>
  <si>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</si>
  <si>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</si>
  <si>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</si>
  <si>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</si>
  <si>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</si>
  <si>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</si>
  <si>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</si>
  <si>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</si>
  <si>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</si>
  <si>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</si>
  <si>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</si>
  <si>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</si>
  <si>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</si>
  <si>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</si>
  <si>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</si>
  <si>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</si>
  <si>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</si>
  <si>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</si>
  <si>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</si>
  <si>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</si>
  <si>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</si>
  <si>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</si>
  <si>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</si>
  <si>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</si>
  <si>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</si>
  <si>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</si>
  <si>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</si>
  <si>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</si>
  <si>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</si>
  <si>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</si>
  <si>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</si>
  <si>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</si>
  <si>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</si>
  <si>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</si>
  <si>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</si>
  <si>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</si>
  <si>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</si>
  <si>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</si>
  <si>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</si>
  <si>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</si>
  <si>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</si>
  <si>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</si>
  <si>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</si>
  <si>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</si>
  <si>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</si>
  <si>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</si>
  <si>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</si>
  <si>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</si>
  <si>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</si>
  <si>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</si>
  <si>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</si>
  <si>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</si>
  <si>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</si>
  <si>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</si>
  <si>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</si>
  <si>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</si>
  <si>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</si>
  <si>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</si>
  <si>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</si>
  <si>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</si>
  <si>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</si>
  <si>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</si>
  <si>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</si>
  <si>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</si>
  <si>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</si>
  <si>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</si>
  <si>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</si>
  <si>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</si>
  <si>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</si>
  <si>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</si>
  <si>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</si>
  <si>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</si>
  <si>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</si>
  <si>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</si>
  <si>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</si>
  <si>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</si>
  <si>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</si>
  <si>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</si>
  <si>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</si>
  <si>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</si>
  <si>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</si>
  <si>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</si>
  <si>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</si>
  <si>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</si>
  <si>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</si>
  <si>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</si>
  <si>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</si>
  <si>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</si>
  <si>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</si>
  <si>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</si>
  <si>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</si>
  <si>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</si>
  <si>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</si>
  <si>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</si>
  <si>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</si>
  <si>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</si>
  <si>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</si>
  <si>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</si>
  <si>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</si>
  <si>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</si>
  <si>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</si>
  <si>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</si>
  <si>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</si>
  <si>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</si>
  <si>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</si>
  <si>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</si>
  <si>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</si>
  <si>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</si>
  <si>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</si>
  <si>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</si>
  <si>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</si>
  <si>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</si>
  <si>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</si>
  <si>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</si>
  <si>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</si>
  <si>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</si>
  <si>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</si>
  <si>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</si>
  <si>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</si>
  <si>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</si>
  <si>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</si>
  <si>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</si>
  <si>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</si>
  <si>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</si>
  <si>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</si>
  <si>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</si>
  <si>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</si>
  <si>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</si>
  <si>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</si>
  <si>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</si>
  <si>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</si>
  <si>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</si>
  <si>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</si>
  <si>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</si>
  <si>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</si>
  <si>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</si>
  <si>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</si>
  <si>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</si>
  <si>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</si>
  <si>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</si>
  <si>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</si>
  <si>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</si>
  <si>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</si>
  <si>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</si>
  <si>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</si>
  <si>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</si>
  <si>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</si>
  <si>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</si>
  <si>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</si>
  <si>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</si>
  <si>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</si>
  <si>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</si>
  <si>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</si>
  <si>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</si>
  <si>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</si>
  <si>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</si>
  <si>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</si>
  <si>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</si>
  <si>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</si>
  <si>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</si>
  <si>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</si>
  <si>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</si>
  <si>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</si>
  <si>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</si>
  <si>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</si>
  <si>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</si>
  <si>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</si>
  <si>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</si>
  <si>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</si>
  <si>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</si>
  <si>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</si>
  <si>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</si>
  <si>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</si>
  <si>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</si>
  <si>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</si>
  <si>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</si>
  <si>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</si>
  <si>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</si>
  <si>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</si>
  <si>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</si>
  <si>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</si>
  <si>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</si>
  <si>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</si>
  <si>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</si>
  <si>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</si>
  <si>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</si>
  <si>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</si>
  <si>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</si>
  <si>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</si>
  <si>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</si>
  <si>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</si>
  <si>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</si>
  <si>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</si>
  <si>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</si>
  <si>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</si>
  <si>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</si>
  <si>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</si>
  <si>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</si>
  <si>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</si>
  <si>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</si>
  <si>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</si>
  <si>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</si>
  <si>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</si>
  <si>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</si>
  <si>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</si>
  <si>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</si>
  <si>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</si>
  <si>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</si>
  <si>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</si>
  <si>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</si>
  <si>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</si>
  <si>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</si>
  <si>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</si>
  <si>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</si>
  <si>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</si>
  <si>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</si>
  <si>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</si>
  <si>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</si>
  <si>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</si>
  <si>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</si>
  <si>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</si>
  <si>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</si>
  <si>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</si>
  <si>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</si>
  <si>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</si>
  <si>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</si>
  <si>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</si>
  <si>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</si>
  <si>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</si>
  <si>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</si>
  <si>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</si>
  <si>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</si>
  <si>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</si>
  <si>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</si>
  <si>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</si>
  <si>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</si>
  <si>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</si>
  <si>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</si>
  <si>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</si>
  <si>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</si>
  <si>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</si>
  <si>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</si>
  <si>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</si>
  <si>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</si>
  <si>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</si>
  <si>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</si>
  <si>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</si>
  <si>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</si>
  <si>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</si>
  <si>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</si>
  <si>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</si>
  <si>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</si>
  <si>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</si>
  <si>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</si>
  <si>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</si>
  <si>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</si>
  <si>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</si>
  <si>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</si>
  <si>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</si>
  <si>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</si>
  <si>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</si>
  <si>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</si>
  <si>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</si>
  <si>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</si>
  <si>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</si>
  <si>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</si>
  <si>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</si>
  <si>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</si>
  <si>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</si>
  <si>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</si>
  <si>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</si>
  <si>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</si>
  <si>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</si>
  <si>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</si>
  <si>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</si>
  <si>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</si>
  <si>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</si>
  <si>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</si>
  <si>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</si>
  <si>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</si>
  <si>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</si>
  <si>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</si>
  <si>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</si>
  <si>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</si>
  <si>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</si>
  <si>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</si>
  <si>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</si>
  <si>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</si>
  <si>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</si>
  <si>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</si>
  <si>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</si>
  <si>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</si>
  <si>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</si>
  <si>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</si>
  <si>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</si>
  <si>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</si>
  <si>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</si>
  <si>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</si>
  <si>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</si>
  <si>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</si>
  <si>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</si>
  <si>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</si>
  <si>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</si>
  <si>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</si>
  <si>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</si>
  <si>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</si>
  <si>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</si>
  <si>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</si>
  <si>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</si>
  <si>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</si>
  <si>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</si>
  <si>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</si>
  <si>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</si>
  <si>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</si>
  <si>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</si>
  <si>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</si>
  <si>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</si>
  <si>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</si>
  <si>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</si>
  <si>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</si>
  <si>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</si>
  <si>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</si>
  <si>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</si>
  <si>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</si>
  <si>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</si>
  <si>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</si>
  <si>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</si>
  <si>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</si>
  <si>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</si>
  <si>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</si>
  <si>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</si>
  <si>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</si>
  <si>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</si>
  <si>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</si>
  <si>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</si>
  <si>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</si>
  <si>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</si>
  <si>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</si>
  <si>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</si>
  <si>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</si>
  <si>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</si>
  <si>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</si>
  <si>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</si>
  <si>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</si>
  <si>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</si>
  <si>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</si>
  <si>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</si>
  <si>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</si>
  <si>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</si>
  <si>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</si>
  <si>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</si>
  <si>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</si>
  <si>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</si>
  <si>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</si>
  <si>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</si>
  <si>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</si>
  <si>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</si>
  <si>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</si>
  <si>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</si>
  <si>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</si>
  <si>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</si>
  <si>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</si>
  <si>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</si>
  <si>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</si>
  <si>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</si>
  <si>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</si>
  <si>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</si>
  <si>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</si>
  <si>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</si>
  <si>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</si>
  <si>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</si>
  <si>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</si>
  <si>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</si>
  <si>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</si>
  <si>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</si>
  <si>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</si>
  <si>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</si>
  <si>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</si>
  <si>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</si>
  <si>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</si>
  <si>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</si>
  <si>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</si>
  <si>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</si>
  <si>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</si>
  <si>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</si>
  <si>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</si>
  <si>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</si>
  <si>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</si>
  <si>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</si>
  <si>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</si>
  <si>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</si>
  <si>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</si>
  <si>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</si>
  <si>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</si>
  <si>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</si>
  <si>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</si>
  <si>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</si>
  <si>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</si>
  <si>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</si>
  <si>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</si>
  <si>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</si>
  <si>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</si>
  <si>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</si>
  <si>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</si>
  <si>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</si>
  <si>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</si>
  <si>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</si>
  <si>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</si>
  <si>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</si>
  <si>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</si>
  <si>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</si>
  <si>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</si>
  <si>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</si>
  <si>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</si>
  <si>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</si>
  <si>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</si>
  <si>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</si>
  <si>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</si>
  <si>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</si>
  <si>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</si>
  <si>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</si>
  <si>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</si>
  <si>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</si>
  <si>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</si>
  <si>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</si>
  <si>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</si>
  <si>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</si>
  <si>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</si>
  <si>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</si>
  <si>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</si>
  <si>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</si>
  <si>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</si>
  <si>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</si>
  <si>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</si>
  <si>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</si>
  <si>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</si>
  <si>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</si>
  <si>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</si>
  <si>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</si>
  <si>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</si>
  <si>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</si>
  <si>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</si>
  <si>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</si>
  <si>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</si>
  <si>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</si>
  <si>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</si>
  <si>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</si>
  <si>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</si>
  <si>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</si>
  <si>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</si>
  <si>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</si>
  <si>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</si>
  <si>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</si>
  <si>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</si>
  <si>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</si>
  <si>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</si>
  <si>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</si>
  <si>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</si>
  <si>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</si>
  <si>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</si>
  <si>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</si>
  <si>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</si>
  <si>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</si>
  <si>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</si>
  <si>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</si>
  <si>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</si>
  <si>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</si>
  <si>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</si>
  <si>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</si>
  <si>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</si>
  <si>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</si>
  <si>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</si>
  <si>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</si>
  <si>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</si>
  <si>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</si>
  <si>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</si>
  <si>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</si>
  <si>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</si>
  <si>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</si>
  <si>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</si>
  <si>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</si>
  <si>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</si>
  <si>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</si>
  <si>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</si>
  <si>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</si>
  <si>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</si>
  <si>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</si>
  <si>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</si>
  <si>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</si>
  <si>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</si>
  <si>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</si>
  <si>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</si>
  <si>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</si>
  <si>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</si>
  <si>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</si>
  <si>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</si>
  <si>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</si>
  <si>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</si>
  <si>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</si>
  <si>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</si>
  <si>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</si>
  <si>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</si>
  <si>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</si>
  <si>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</si>
  <si>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</si>
  <si>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</si>
  <si>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</si>
  <si>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</si>
  <si>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</si>
  <si>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</si>
  <si>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</si>
  <si>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</si>
  <si>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</si>
  <si>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</si>
  <si>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</si>
  <si>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</si>
  <si>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</si>
  <si>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</si>
  <si>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</si>
  <si>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</si>
  <si>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</si>
  <si>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</si>
  <si>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</si>
  <si>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</si>
  <si>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</si>
  <si>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</si>
  <si>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</si>
  <si>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</si>
  <si>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</si>
  <si>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</si>
  <si>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</si>
  <si>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</si>
  <si>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</si>
  <si>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</si>
  <si>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</si>
  <si>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</si>
  <si>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</si>
  <si>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</si>
  <si>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</si>
  <si>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</si>
  <si>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</si>
  <si>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</si>
  <si>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</si>
  <si>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</si>
  <si>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</si>
  <si>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</si>
  <si>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</si>
  <si>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</si>
  <si>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</si>
  <si>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</si>
  <si>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</si>
  <si>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</si>
  <si>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</si>
  <si>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</si>
  <si>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</si>
  <si>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</si>
  <si>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</si>
  <si>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</si>
  <si>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</si>
  <si>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</si>
  <si>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</si>
  <si>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</si>
  <si>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</si>
  <si>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</si>
  <si>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</si>
  <si>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</si>
  <si>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</si>
  <si>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</si>
  <si>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</si>
  <si>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</si>
  <si>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</si>
  <si>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</si>
  <si>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</si>
  <si>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</si>
  <si>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</si>
  <si>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</si>
  <si>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</si>
  <si>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</si>
  <si>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</si>
  <si>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</si>
  <si>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</si>
  <si>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</si>
  <si>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</si>
  <si>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</si>
  <si>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</si>
  <si>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</si>
  <si>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</si>
  <si>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</si>
  <si>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</si>
  <si>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</si>
  <si>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</si>
  <si>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</si>
  <si>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</si>
  <si>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</si>
  <si>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</si>
  <si>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</si>
  <si>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</si>
  <si>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</si>
  <si>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</si>
  <si>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</si>
  <si>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</si>
  <si>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</si>
  <si>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</si>
  <si>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</si>
  <si>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</si>
  <si>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</si>
  <si>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</si>
  <si>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</si>
  <si>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</si>
  <si>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</si>
  <si>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</si>
  <si>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</si>
  <si>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</si>
  <si>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</si>
  <si>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</si>
  <si>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</si>
  <si>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</si>
  <si>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</si>
  <si>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</si>
  <si>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</si>
  <si>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</si>
  <si>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</si>
  <si>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</si>
  <si>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</si>
  <si>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</si>
  <si>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</si>
  <si>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</si>
  <si>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</si>
  <si>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</si>
  <si>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</si>
  <si>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</si>
  <si>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</si>
  <si>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</si>
  <si>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</si>
  <si>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</si>
  <si>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</si>
  <si>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</si>
  <si>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</si>
  <si>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</si>
  <si>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</si>
  <si>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</si>
  <si>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</si>
  <si>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</si>
  <si>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</si>
  <si>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</si>
  <si>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</si>
  <si>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</si>
  <si>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</si>
  <si>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</si>
  <si>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</si>
  <si>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</si>
  <si>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</si>
  <si>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</si>
  <si>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</si>
  <si>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</si>
  <si>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</si>
  <si>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</si>
  <si>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</si>
  <si>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</si>
  <si>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</si>
  <si>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</si>
  <si>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</si>
  <si>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</si>
  <si>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</si>
  <si>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</si>
  <si>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</si>
  <si>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</si>
  <si>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</si>
  <si>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</si>
  <si>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</si>
  <si>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</si>
  <si>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</si>
  <si>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</si>
  <si>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</si>
  <si>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</si>
  <si>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</si>
  <si>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</si>
  <si>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</si>
  <si>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</si>
  <si>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</si>
  <si>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</si>
  <si>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</si>
  <si>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</si>
  <si>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</si>
  <si>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</si>
  <si>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</si>
  <si>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</si>
  <si>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</si>
  <si>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</si>
  <si>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</si>
  <si>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</si>
  <si>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</si>
  <si>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</si>
  <si>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</si>
  <si>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</si>
  <si>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</si>
  <si>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</si>
  <si>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</si>
  <si>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</si>
  <si>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</si>
  <si>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</si>
  <si>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</si>
  <si>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</si>
  <si>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</si>
  <si>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</si>
  <si>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</si>
  <si>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</si>
  <si>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</si>
  <si>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</si>
  <si>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</si>
  <si>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</si>
  <si>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</si>
  <si>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</si>
  <si>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</si>
  <si>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</si>
  <si>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</si>
  <si>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</si>
  <si>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</si>
  <si>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</si>
  <si>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</si>
  <si>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</si>
  <si>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</si>
  <si>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</si>
  <si>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</si>
  <si>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</si>
  <si>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</si>
  <si>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</si>
  <si>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</si>
  <si>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</si>
  <si>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</si>
  <si>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</si>
  <si>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</si>
  <si>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</si>
  <si>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</si>
  <si>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</si>
  <si>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</si>
  <si>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</si>
  <si>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</si>
  <si>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</si>
  <si>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</si>
  <si>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</si>
  <si>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</si>
  <si>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</si>
  <si>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</si>
  <si>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</si>
  <si>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</si>
  <si>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</si>
  <si>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</si>
  <si>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</si>
  <si>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</si>
  <si>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</si>
  <si>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</si>
  <si>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</si>
  <si>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</si>
  <si>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</si>
  <si>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</si>
  <si>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</si>
  <si>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</si>
  <si>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</si>
  <si>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</si>
  <si>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</si>
  <si>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</si>
  <si>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</si>
  <si>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</si>
  <si>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</si>
  <si>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</si>
  <si>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</si>
  <si>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</si>
  <si>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</si>
  <si>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</si>
  <si>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</si>
  <si>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</si>
  <si>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</si>
  <si>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</si>
  <si>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</si>
  <si>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</si>
  <si>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</si>
  <si>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</si>
  <si>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</si>
  <si>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</si>
  <si>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</si>
  <si>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</si>
  <si>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</si>
  <si>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</si>
  <si>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</si>
  <si>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</si>
  <si>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</si>
  <si>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</si>
  <si>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</si>
  <si>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</si>
  <si>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</si>
  <si>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</si>
  <si>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</si>
  <si>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</si>
  <si>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</si>
  <si>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</si>
  <si>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</si>
  <si>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</si>
  <si>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</si>
  <si>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</si>
  <si>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</si>
  <si>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</si>
  <si>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</si>
  <si>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</si>
  <si>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</si>
  <si>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</si>
  <si>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</si>
  <si>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</si>
  <si>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</si>
  <si>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</si>
  <si>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</si>
  <si>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</si>
  <si>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</si>
  <si>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</si>
  <si>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</si>
  <si>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</si>
  <si>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</si>
  <si>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</si>
  <si>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</si>
  <si>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</si>
  <si>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</si>
  <si>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</si>
  <si>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</si>
  <si>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</si>
  <si>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</si>
  <si>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</si>
  <si>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</si>
  <si>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</si>
  <si>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</si>
  <si>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</si>
  <si>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</si>
  <si>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</si>
  <si>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</si>
  <si>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</si>
  <si>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</si>
  <si>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</si>
  <si>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</si>
  <si>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</si>
  <si>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</si>
  <si>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</si>
  <si>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</si>
  <si>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</si>
  <si>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</si>
  <si>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</si>
  <si>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</si>
  <si>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</si>
  <si>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</si>
  <si>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</si>
  <si>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</si>
  <si>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</si>
  <si>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</si>
  <si>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</si>
  <si>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</si>
  <si>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</si>
  <si>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</si>
  <si>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</si>
  <si>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</si>
  <si>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</si>
  <si>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</si>
  <si>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</si>
  <si>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</si>
  <si>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</si>
  <si>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</si>
  <si>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</si>
  <si>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</si>
  <si>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</si>
  <si>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</si>
  <si>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</si>
  <si>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</si>
  <si>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</si>
  <si>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</si>
  <si>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</si>
  <si>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</si>
  <si>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</si>
  <si>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</si>
  <si>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</si>
  <si>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</si>
  <si>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</si>
  <si>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</si>
  <si>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</si>
  <si>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</si>
  <si>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</si>
  <si>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</si>
  <si>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</si>
  <si>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</si>
  <si>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</si>
  <si>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</si>
  <si>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</si>
  <si>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</si>
  <si>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</si>
  <si>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</si>
  <si>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</si>
  <si>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</si>
  <si>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</si>
  <si>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</si>
  <si>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</si>
  <si>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</si>
  <si>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</si>
  <si>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</si>
  <si>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</si>
  <si>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</si>
  <si>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</si>
  <si>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</si>
  <si>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</si>
  <si>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</si>
  <si>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</si>
  <si>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</si>
  <si>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</si>
  <si>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</si>
  <si>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</si>
  <si>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</si>
  <si>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</si>
  <si>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</si>
  <si>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</si>
  <si>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</si>
  <si>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</si>
  <si>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</si>
  <si>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</si>
  <si>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</si>
  <si>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</si>
  <si>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</si>
  <si>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</si>
  <si>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</si>
  <si>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</si>
  <si>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</si>
  <si>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</si>
  <si>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</si>
  <si>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</si>
  <si>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</si>
  <si>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</si>
  <si>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</si>
  <si>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</si>
  <si>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</si>
  <si>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</si>
  <si>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</si>
  <si>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</si>
  <si>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</si>
  <si>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</si>
  <si>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</si>
  <si>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</si>
  <si>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</si>
  <si>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</si>
  <si>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</si>
  <si>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</si>
  <si>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</si>
  <si>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</si>
  <si>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</si>
  <si>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</si>
  <si>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</si>
  <si>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</si>
  <si>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</si>
  <si>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</si>
  <si>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</si>
  <si>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</si>
  <si>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</si>
  <si>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</si>
  <si>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</si>
  <si>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</si>
  <si>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</si>
  <si>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</si>
  <si>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</si>
  <si>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</si>
  <si>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</si>
  <si>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</si>
  <si>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</si>
  <si>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</si>
  <si>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</si>
  <si>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</si>
  <si>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</si>
  <si>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</si>
  <si>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</si>
  <si>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</si>
  <si>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</si>
  <si>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</si>
  <si>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</si>
  <si>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</si>
  <si>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</si>
  <si>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</si>
  <si>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</si>
  <si>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</si>
  <si>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</si>
  <si>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</si>
  <si>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</si>
  <si>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</si>
  <si>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</si>
  <si>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</si>
  <si>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</si>
  <si>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</si>
  <si>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</si>
  <si>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</si>
  <si>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</si>
  <si>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26" type="noConversion"/>
  </si>
  <si>
    <t>一致</t>
  </si>
  <si>
    <t>符合</t>
  </si>
  <si>
    <t>抵押价格</t>
  </si>
  <si>
    <t>企业</t>
  </si>
  <si>
    <t>是</t>
  </si>
  <si>
    <t>地上</t>
  </si>
  <si>
    <t>地下</t>
  </si>
  <si>
    <t>车库—办公</t>
  </si>
  <si>
    <t>否</t>
  </si>
  <si>
    <t>办公</t>
    <phoneticPr fontId="7" type="noConversion"/>
  </si>
  <si>
    <t>商业</t>
    <phoneticPr fontId="7" type="noConversion"/>
  </si>
  <si>
    <t>车库</t>
    <phoneticPr fontId="7" type="noConversion"/>
  </si>
  <si>
    <t>利息：取LPR加浮动点数</t>
  </si>
  <si>
    <t>面积</t>
    <phoneticPr fontId="3" type="noConversion"/>
  </si>
  <si>
    <t>租金</t>
    <phoneticPr fontId="3" type="noConversion"/>
  </si>
  <si>
    <t>楼层系数</t>
    <phoneticPr fontId="3" type="noConversion"/>
  </si>
  <si>
    <t>楼层占比</t>
    <phoneticPr fontId="3" type="noConversion"/>
  </si>
  <si>
    <t>土地（套用方法）</t>
  </si>
  <si>
    <t>押一</t>
  </si>
  <si>
    <t>钢混</t>
  </si>
  <si>
    <t>自定义</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</si>
  <si>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</si>
  <si>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</si>
  <si>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t>
  </si>
  <si>
    <t>不动产收益法-商业</t>
  </si>
  <si>
    <t>不动产收益法-车库</t>
  </si>
  <si>
    <t>较好</t>
    <phoneticPr fontId="26" type="noConversion"/>
  </si>
  <si>
    <t>一般</t>
    <phoneticPr fontId="26" type="noConversion"/>
  </si>
  <si>
    <t>一般</t>
    <phoneticPr fontId="26" type="noConversion"/>
  </si>
  <si>
    <t>比较法-住宅、综合</t>
  </si>
  <si>
    <t>剩余法-待开发</t>
  </si>
  <si>
    <t>楼面地价</t>
  </si>
  <si>
    <t>郑燚</t>
  </si>
  <si>
    <t>崔锴</t>
  </si>
  <si>
    <t>较差</t>
    <phoneticPr fontId="26" type="noConversion"/>
  </si>
  <si>
    <t>较差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</si>
</sst>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2" fillId="0" borderId="0" xfId="18"/>
    <xf numFmtId="0" fontId="82" fillId="17" borderId="0" xfId="18" applyFill="1"/>
    <xf numFmtId="0" fontId="0" fillId="17" borderId="0" xfId="0" applyFill="1">
      <alignment vertical="center"/>
    </xf>
    <xf numFmtId="49" fontId="77" fillId="2" borderId="33"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140" fillId="2" borderId="18" xfId="0" applyNumberFormat="1" applyFont="1" applyFill="1" applyBorder="1" applyAlignment="1" applyProtection="1">
      <alignment horizontal="center" vertical="center" wrapText="1"/>
      <protection locked="0"/>
    </xf>
    <xf numFmtId="49" fontId="140" fillId="2" borderId="24" xfId="0" applyNumberFormat="1" applyFont="1" applyFill="1" applyBorder="1" applyAlignment="1" applyProtection="1">
      <alignment horizontal="center" vertical="center" wrapText="1"/>
      <protection locked="0"/>
    </xf>
    <xf numFmtId="49" fontId="140" fillId="2" borderId="18" xfId="0" applyNumberFormat="1" applyFont="1" applyFill="1" applyBorder="1" applyAlignment="1" applyProtection="1">
      <alignment horizontal="center" vertical="center" wrapText="1"/>
      <protection locked="0"/>
    </xf>
    <xf numFmtId="0" fontId="140" fillId="2" borderId="20" xfId="0" applyNumberFormat="1" applyFont="1" applyFill="1" applyBorder="1" applyAlignment="1" applyProtection="1">
      <alignment horizontal="center" vertical="center" wrapText="1"/>
      <protection locked="0"/>
    </xf>
    <xf numFmtId="49" fontId="140" fillId="2" borderId="50" xfId="0" applyNumberFormat="1" applyFont="1" applyFill="1" applyBorder="1" applyAlignment="1" applyProtection="1">
      <alignment horizontal="center" vertical="center" wrapText="1"/>
      <protection locked="0"/>
    </xf>
    <xf numFmtId="49" fontId="140" fillId="2" borderId="20"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郑燚、崔锴</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2023年4月12日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根据《国有土地使用证》[]，估价对象（分摊）出让国有建设用地使用权面积为9448.55平方米。根据《建设工程规划许可证》[]、《出让合同》[]，估价对象规划建筑面积为93643.76平方米。</v>
      </c>
    </row>
    <row r="16" spans="1:55" s="2356" customFormat="1">
      <c r="A16" s="2357" t="s">
        <v>1951</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估价期日：2023年4月12日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9448.5499999999993</v>
      </c>
    </row>
    <row r="44" spans="1:2">
      <c r="A44" s="2357" t="s">
        <v>2022</v>
      </c>
      <c r="B44" s="2358" t="str">
        <f>'预评函-2'!O3</f>
        <v>规划建筑面积/㎡</v>
      </c>
    </row>
    <row r="45" spans="1:2">
      <c r="A45" s="2357" t="s">
        <v>2004</v>
      </c>
      <c r="B45" s="2358">
        <f>'预评函-2'!O5</f>
        <v>93643.760000000009</v>
      </c>
    </row>
    <row r="46" spans="1:2">
      <c r="A46" s="2357" t="s">
        <v>2005</v>
      </c>
      <c r="B46" s="2358">
        <f ca="1">'预评函-2'!P5</f>
        <v>97343</v>
      </c>
    </row>
    <row r="47" spans="1:2">
      <c r="A47" s="2357" t="s">
        <v>2006</v>
      </c>
      <c r="B47" s="2358">
        <f ca="1">'预评函-2'!Q5</f>
        <v>9822</v>
      </c>
    </row>
    <row r="48" spans="1:2">
      <c r="A48" s="2357" t="s">
        <v>2007</v>
      </c>
      <c r="B48" s="2358">
        <f ca="1">'预评函-2'!R5</f>
        <v>91975</v>
      </c>
    </row>
    <row r="49" spans="1:2">
      <c r="A49" s="2357" t="s">
        <v>2023</v>
      </c>
      <c r="B49" s="2358" t="str">
        <f>'预评函-2'!A6</f>
        <v>抵押价格</v>
      </c>
    </row>
    <row r="50" spans="1:2">
      <c r="A50" s="2357" t="s">
        <v>2008</v>
      </c>
      <c r="B50" s="2358">
        <f ca="1">'预评函-2'!R6</f>
        <v>91975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郑燚</v>
      </c>
    </row>
    <row r="70" spans="1:2">
      <c r="A70" s="2357" t="s">
        <v>1972</v>
      </c>
      <c r="B70" s="2364">
        <f ca="1">'预评函-3'!B20</f>
        <v>2014110011</v>
      </c>
    </row>
    <row r="71" spans="1:2">
      <c r="A71" s="2357" t="s">
        <v>1973</v>
      </c>
      <c r="B71" s="2358" t="str">
        <f>'预评函-3'!A21</f>
        <v>崔锴</v>
      </c>
    </row>
    <row r="72" spans="1:2" s="2372" customFormat="1" ht="15" thickBot="1">
      <c r="A72" s="2379" t="s">
        <v>1973</v>
      </c>
      <c r="B72" s="2385">
        <f ca="1">'预评函-3'!B21</f>
        <v>2010110070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45028</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-123.36</v>
      </c>
      <c r="D5" s="3295">
        <f>IF(ISERROR(ROUND(POWER(1+E5,A5-C5)*(POWER(1+E5,C5)-1)/(POWER(1+E5,A5)-1),3)),0,ROUND(POWER(1+E5,A5-C5)*(POWER(1+E5,C5)-1)/(POWER(1+E5,A5)-1),4))</f>
        <v>0</v>
      </c>
      <c r="E5" s="3296"/>
      <c r="F5" s="3289"/>
    </row>
    <row r="6" spans="1:6">
      <c r="A6" s="3294"/>
      <c r="B6" s="3291"/>
      <c r="C6" s="3293">
        <f>ROUNDDOWN(MIN((B6-B3)/365,A6),2)</f>
        <v>-123.36</v>
      </c>
      <c r="D6" s="3295">
        <f>IF(ISERROR(ROUND(POWER(1+E6,A6-C6)*(POWER(1+E6,C6)-1)/(POWER(1+E6,A6)-1),3)),0,ROUND(POWER(1+E6,A6-C6)*(POWER(1+E6,C6)-1)/(POWER(1+E6,A6)-1),4))</f>
        <v>0</v>
      </c>
      <c r="E6" s="3296"/>
      <c r="F6" s="3289"/>
    </row>
    <row r="7" spans="1:6">
      <c r="A7" s="3294"/>
      <c r="B7" s="3291"/>
      <c r="C7" s="3293">
        <f>ROUNDDOWN(MIN((B7-B3)/365,A7),2)</f>
        <v>-123.36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6" sqref="E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5" t="str">
        <f>IF(B10="北京市","北京市",C10)&amp;F10&amp;A17&amp;"国有建设用地使用权"&amp;B9&amp;"预评估"</f>
        <v>北京市出让国有建设用地使用权抵押价格预评估</v>
      </c>
      <c r="C1" s="3716"/>
      <c r="D1" s="3716"/>
      <c r="E1" s="3716"/>
      <c r="F1" s="3716"/>
      <c r="G1" s="3716"/>
      <c r="H1" s="3716"/>
      <c r="I1" s="3717"/>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45028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3340</v>
      </c>
      <c r="C4" s="1630">
        <f ca="1">SUMIF(土地估价师,B4,估价师及机构信息!E3:E17)</f>
        <v>2014110011</v>
      </c>
      <c r="D4" s="1627" t="s">
        <v>3341</v>
      </c>
      <c r="E4" s="1630">
        <f ca="1">SUMIF(土地估价师,D4,估价师及机构信息!E3:E17)</f>
        <v>2010110070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郑燚、崔锴</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21" t="s">
        <v>1464</v>
      </c>
      <c r="E8" s="1628" t="s">
        <v>3310</v>
      </c>
      <c r="F8" s="1475"/>
      <c r="G8" s="2817"/>
      <c r="H8" s="2817"/>
      <c r="I8" s="2820"/>
      <c r="J8" s="2816"/>
      <c r="K8" s="2799"/>
      <c r="L8" s="2795"/>
      <c r="M8" s="2795"/>
      <c r="N8" s="2796"/>
      <c r="O8" s="2797"/>
      <c r="P8" s="2796"/>
      <c r="Q8" s="2796"/>
      <c r="R8" s="2796"/>
      <c r="S8" s="2796"/>
      <c r="T8" s="2796"/>
      <c r="U8" s="2796"/>
    </row>
    <row r="9" spans="1:21" ht="15" thickBot="1">
      <c r="A9" s="2741" t="s">
        <v>1463</v>
      </c>
      <c r="B9" s="1476" t="s">
        <v>3310</v>
      </c>
      <c r="C9" s="1477"/>
      <c r="D9" s="3722"/>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8"/>
      <c r="C12" s="3719"/>
      <c r="D12" s="3720"/>
      <c r="E12" s="1494" t="s">
        <v>1579</v>
      </c>
      <c r="F12" s="3736" t="s">
        <v>2162</v>
      </c>
      <c r="G12" s="3737"/>
      <c r="H12" s="3737"/>
      <c r="I12" s="3738"/>
      <c r="J12" s="2816"/>
      <c r="K12" s="2799"/>
      <c r="L12" s="2795"/>
      <c r="M12" s="2795"/>
      <c r="N12" s="2796"/>
      <c r="O12" s="2797"/>
      <c r="P12" s="2796"/>
      <c r="Q12" s="2796"/>
      <c r="R12" s="2796"/>
      <c r="S12" s="2796"/>
      <c r="T12" s="2796"/>
      <c r="U12" s="2796"/>
    </row>
    <row r="13" spans="1:21">
      <c r="A13" s="1485" t="s">
        <v>1577</v>
      </c>
      <c r="B13" s="3718"/>
      <c r="C13" s="3719"/>
      <c r="D13" s="3720"/>
      <c r="E13" s="1494" t="s">
        <v>1579</v>
      </c>
      <c r="F13" s="3736" t="s">
        <v>2163</v>
      </c>
      <c r="G13" s="3737"/>
      <c r="H13" s="3737"/>
      <c r="I13" s="3738"/>
      <c r="J13" s="2816"/>
      <c r="K13" s="2799"/>
      <c r="L13" s="2795"/>
      <c r="M13" s="2795"/>
      <c r="N13" s="2796"/>
      <c r="O13" s="2797"/>
      <c r="P13" s="2796"/>
      <c r="Q13" s="2796"/>
      <c r="R13" s="2796"/>
      <c r="S13" s="2796"/>
      <c r="T13" s="2796"/>
      <c r="U13" s="2796"/>
    </row>
    <row r="14" spans="1:21">
      <c r="A14" s="1464" t="s">
        <v>1580</v>
      </c>
      <c r="B14" s="1494"/>
      <c r="C14" s="1629" t="s">
        <v>3308</v>
      </c>
      <c r="D14" s="1527" t="str">
        <f>IF(C14="不一致","是否符合证载地类范围","")</f>
        <v/>
      </c>
      <c r="E14" s="1494"/>
      <c r="F14" s="1576" t="s">
        <v>3309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55827</v>
      </c>
      <c r="E17" s="3335">
        <v>59479</v>
      </c>
      <c r="F17" s="3335">
        <v>59479</v>
      </c>
      <c r="G17" s="3335"/>
      <c r="H17" s="3335"/>
      <c r="I17" s="3335"/>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29.58</v>
      </c>
      <c r="E19" s="1483">
        <f>IF(A17="出让",IF(E17="","",ROUNDDOWN(MIN((E17-$D$3)/365,E18),2)),E18)</f>
        <v>39.590000000000003</v>
      </c>
      <c r="F19" s="1483">
        <f>IF(A17="出让",IF(F17="","",ROUNDDOWN(MIN((F17-$D$3)/365,F18),2)),F18)</f>
        <v>39.590000000000003</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3"/>
      <c r="E20" s="3734"/>
      <c r="F20" s="3734"/>
      <c r="G20" s="3734"/>
      <c r="H20" s="3734"/>
      <c r="I20" s="3735"/>
      <c r="J20" s="2816"/>
      <c r="K20" s="2799"/>
      <c r="L20" s="2795"/>
      <c r="M20" s="2795"/>
      <c r="N20" s="2796"/>
      <c r="O20" s="2797"/>
      <c r="P20" s="2796"/>
      <c r="Q20" s="2796"/>
      <c r="R20" s="2796"/>
      <c r="S20" s="2796"/>
      <c r="T20" s="2796"/>
      <c r="U20" s="2796"/>
    </row>
    <row r="21" spans="1:21">
      <c r="A21" s="1552" t="s">
        <v>1476</v>
      </c>
      <c r="B21" s="1553" t="s">
        <v>1477</v>
      </c>
      <c r="C21" s="1548">
        <f>'数据-汇总表'!E3</f>
        <v>93643.760000000009</v>
      </c>
      <c r="D21" s="1549" t="s">
        <v>1478</v>
      </c>
      <c r="E21" s="3723" t="s">
        <v>1516</v>
      </c>
      <c r="F21" s="3724"/>
      <c r="G21" s="3724"/>
      <c r="H21" s="3724"/>
      <c r="I21" s="3725"/>
      <c r="J21" s="2816"/>
      <c r="K21" s="2799"/>
      <c r="L21" s="2795"/>
      <c r="M21" s="2795"/>
      <c r="N21" s="2796"/>
      <c r="O21" s="2797"/>
      <c r="P21" s="2796"/>
      <c r="Q21" s="2796"/>
      <c r="R21" s="2796"/>
      <c r="S21" s="2796"/>
      <c r="T21" s="2796"/>
      <c r="U21" s="2796"/>
    </row>
    <row r="22" spans="1:21">
      <c r="A22" s="2556" t="s">
        <v>877</v>
      </c>
      <c r="B22" s="1464" t="s">
        <v>1479</v>
      </c>
      <c r="C22" s="1484">
        <f>'数据-汇总表'!D3</f>
        <v>9448.5499999999993</v>
      </c>
      <c r="D22" s="1485" t="s">
        <v>1478</v>
      </c>
      <c r="E22" s="3723" t="s">
        <v>2164</v>
      </c>
      <c r="F22" s="3724"/>
      <c r="G22" s="3724"/>
      <c r="H22" s="3724"/>
      <c r="I22" s="372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6" t="s">
        <v>1484</v>
      </c>
      <c r="C24" s="3727"/>
      <c r="D24" s="3728" t="s">
        <v>1485</v>
      </c>
      <c r="E24" s="3729"/>
      <c r="F24" s="1502" t="s">
        <v>1486</v>
      </c>
      <c r="G24" s="2816"/>
      <c r="H24" s="2816"/>
      <c r="I24" s="2820"/>
      <c r="J24" s="2816"/>
      <c r="K24" s="371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1" t="s">
        <v>1519</v>
      </c>
      <c r="B31" s="1553" t="s">
        <v>1520</v>
      </c>
      <c r="C31" s="3739"/>
      <c r="D31" s="3740"/>
      <c r="E31" s="2816"/>
      <c r="F31" s="2816"/>
      <c r="G31" s="2816"/>
      <c r="H31" s="2816"/>
      <c r="I31" s="2820"/>
      <c r="J31" s="2816"/>
      <c r="K31" s="2802"/>
      <c r="L31" s="2796"/>
      <c r="M31" s="2796"/>
      <c r="N31" s="2796"/>
      <c r="O31" s="2796"/>
      <c r="P31" s="2796"/>
      <c r="Q31" s="2796"/>
      <c r="R31" s="2796"/>
      <c r="S31" s="2796"/>
      <c r="T31" s="2796"/>
      <c r="U31" s="2796"/>
    </row>
    <row r="32" spans="1:21">
      <c r="A32" s="374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2"/>
      <c r="B34" s="1464" t="s">
        <v>1523</v>
      </c>
      <c r="C34" s="3743"/>
      <c r="D34" s="3744"/>
      <c r="E34" s="2816"/>
      <c r="F34" s="2816"/>
      <c r="G34" s="2816"/>
      <c r="H34" s="2816"/>
      <c r="I34" s="2820"/>
      <c r="J34" s="2816"/>
      <c r="K34" s="2802"/>
      <c r="L34" s="2796"/>
      <c r="M34" s="2796"/>
      <c r="N34" s="2796"/>
      <c r="O34" s="2796"/>
      <c r="P34" s="2796"/>
      <c r="Q34" s="2796"/>
      <c r="R34" s="2796"/>
      <c r="S34" s="2796"/>
      <c r="T34" s="2796"/>
      <c r="U34" s="2796"/>
    </row>
    <row r="35" spans="1:28">
      <c r="A35" s="3745" t="s">
        <v>785</v>
      </c>
      <c r="B35" s="1516"/>
      <c r="C35" s="1562" t="str">
        <f>IF(B35="场地平整","——","具体情况：")</f>
        <v>具体情况：</v>
      </c>
      <c r="D35" s="3747"/>
      <c r="E35" s="3748"/>
      <c r="F35" s="3748"/>
      <c r="G35" s="3748"/>
      <c r="H35" s="3748"/>
      <c r="I35" s="3749"/>
      <c r="J35" s="2816"/>
      <c r="K35" s="2803"/>
      <c r="L35" s="2795"/>
      <c r="M35" s="2795"/>
      <c r="N35" s="2796"/>
      <c r="O35" s="2797"/>
      <c r="P35" s="2796"/>
      <c r="Q35" s="2796"/>
      <c r="R35" s="2796"/>
      <c r="S35" s="2796"/>
      <c r="T35" s="2796"/>
      <c r="U35" s="2796"/>
    </row>
    <row r="36" spans="1:28">
      <c r="A36" s="3741"/>
      <c r="B36" s="3750" t="s">
        <v>1572</v>
      </c>
      <c r="C36" s="3751"/>
      <c r="D36" s="1578"/>
      <c r="E36" s="3752"/>
      <c r="F36" s="3752"/>
      <c r="G36" s="1485" t="str">
        <f>IF(B35="场地未平整","估价结果处理","")</f>
        <v/>
      </c>
      <c r="H36" s="3753"/>
      <c r="I36" s="3753"/>
      <c r="J36" s="2816"/>
      <c r="K36" s="2803"/>
      <c r="L36" s="2795"/>
      <c r="M36" s="2795"/>
      <c r="N36" s="2796"/>
      <c r="O36" s="2797"/>
      <c r="P36" s="2796"/>
      <c r="Q36" s="2796"/>
      <c r="R36" s="2796"/>
      <c r="S36" s="2796"/>
      <c r="T36" s="2796"/>
      <c r="U36" s="2796"/>
    </row>
    <row r="37" spans="1:28" ht="28.5">
      <c r="A37" s="3741"/>
      <c r="B37" s="373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1"/>
      <c r="B38" s="3731"/>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42"/>
      <c r="B39" s="3732"/>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3" t="s">
        <v>1503</v>
      </c>
      <c r="T40" s="1525" t="str">
        <f>NUMBERSTRING(7-K40,1)&amp;"通"</f>
        <v>七通</v>
      </c>
      <c r="U40" s="2796"/>
    </row>
    <row r="41" spans="1:28">
      <c r="A41" s="1466"/>
      <c r="B41" s="3746" t="s">
        <v>1250</v>
      </c>
      <c r="C41" s="3746"/>
      <c r="D41" s="3746"/>
      <c r="E41" s="374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3"/>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2843</v>
      </c>
      <c r="C44" s="1531" t="s">
        <v>2843</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U17" sqref="AU1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10956</v>
      </c>
      <c r="B3" s="20">
        <f>IF(C3="否",G5-AT5,G5)</f>
        <v>93643.760000000009</v>
      </c>
      <c r="C3" s="21" t="s">
        <v>3316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9448.5499999999993</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108584.00000000001</v>
      </c>
      <c r="H5" s="25">
        <f t="shared" ref="H5:AT5" si="0">SUM(H13:H641)</f>
        <v>86985.430000000008</v>
      </c>
      <c r="I5" s="25">
        <f t="shared" si="0"/>
        <v>27997.13</v>
      </c>
      <c r="J5" s="25">
        <f t="shared" si="0"/>
        <v>0</v>
      </c>
      <c r="K5" s="25">
        <f t="shared" si="0"/>
        <v>39706.410000000003</v>
      </c>
      <c r="L5" s="25">
        <f t="shared" si="0"/>
        <v>0</v>
      </c>
      <c r="M5" s="25">
        <f t="shared" si="0"/>
        <v>4712.08</v>
      </c>
      <c r="N5" s="25">
        <f t="shared" si="0"/>
        <v>0</v>
      </c>
      <c r="O5" s="25">
        <f t="shared" si="0"/>
        <v>14569.81</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6658.33</v>
      </c>
      <c r="AD5" s="25">
        <f t="shared" si="0"/>
        <v>0</v>
      </c>
      <c r="AE5" s="25">
        <f t="shared" si="0"/>
        <v>0</v>
      </c>
      <c r="AF5" s="25">
        <f t="shared" si="0"/>
        <v>0</v>
      </c>
      <c r="AG5" s="25">
        <f t="shared" si="0"/>
        <v>0</v>
      </c>
      <c r="AH5" s="25">
        <f t="shared" si="0"/>
        <v>0</v>
      </c>
      <c r="AI5" s="25">
        <f t="shared" si="0"/>
        <v>0</v>
      </c>
      <c r="AJ5" s="25">
        <f t="shared" si="0"/>
        <v>0</v>
      </c>
      <c r="AK5" s="25">
        <f t="shared" si="0"/>
        <v>0</v>
      </c>
      <c r="AL5" s="25">
        <f t="shared" si="0"/>
        <v>174.05</v>
      </c>
      <c r="AM5" s="25">
        <f t="shared" si="0"/>
        <v>0</v>
      </c>
      <c r="AN5" s="25">
        <f t="shared" si="0"/>
        <v>6484.28</v>
      </c>
      <c r="AO5" s="25">
        <f t="shared" si="0"/>
        <v>0</v>
      </c>
      <c r="AP5" s="25">
        <f t="shared" si="0"/>
        <v>0</v>
      </c>
      <c r="AQ5" s="25">
        <f t="shared" si="0"/>
        <v>0</v>
      </c>
      <c r="AR5" s="25">
        <f t="shared" si="0"/>
        <v>0</v>
      </c>
      <c r="AS5" s="25">
        <f t="shared" si="0"/>
        <v>0</v>
      </c>
      <c r="AT5" s="25">
        <f t="shared" si="0"/>
        <v>14940.24</v>
      </c>
      <c r="AU5" s="950"/>
      <c r="AV5" s="24" t="s">
        <v>134</v>
      </c>
      <c r="AW5" s="951"/>
      <c r="AX5" s="951"/>
      <c r="AY5" s="26" t="s">
        <v>2</v>
      </c>
      <c r="AZ5" s="27">
        <f t="shared" ref="AZ5:BT5" si="1">SUM(AZ13:AZ641)</f>
        <v>93643.760000000009</v>
      </c>
      <c r="BA5" s="27">
        <f t="shared" si="1"/>
        <v>86985.430000000008</v>
      </c>
      <c r="BB5" s="27">
        <f t="shared" si="1"/>
        <v>27997.13</v>
      </c>
      <c r="BC5" s="27">
        <f t="shared" si="1"/>
        <v>39706.410000000003</v>
      </c>
      <c r="BD5" s="27">
        <f t="shared" si="1"/>
        <v>4712.08</v>
      </c>
      <c r="BE5" s="27">
        <f t="shared" si="1"/>
        <v>14569.81</v>
      </c>
      <c r="BF5" s="27">
        <f t="shared" si="1"/>
        <v>0</v>
      </c>
      <c r="BG5" s="27">
        <f t="shared" si="1"/>
        <v>0</v>
      </c>
      <c r="BH5" s="27">
        <f t="shared" si="1"/>
        <v>0</v>
      </c>
      <c r="BI5" s="27">
        <f t="shared" si="1"/>
        <v>0</v>
      </c>
      <c r="BJ5" s="27">
        <f t="shared" si="1"/>
        <v>0</v>
      </c>
      <c r="BK5" s="27">
        <f t="shared" si="1"/>
        <v>0</v>
      </c>
      <c r="BL5" s="27">
        <f t="shared" si="1"/>
        <v>6658.33</v>
      </c>
      <c r="BM5" s="27">
        <f t="shared" si="1"/>
        <v>0</v>
      </c>
      <c r="BN5" s="27">
        <f t="shared" si="1"/>
        <v>0</v>
      </c>
      <c r="BO5" s="27">
        <f t="shared" si="1"/>
        <v>0</v>
      </c>
      <c r="BP5" s="27">
        <f t="shared" si="1"/>
        <v>0</v>
      </c>
      <c r="BQ5" s="27">
        <f t="shared" si="1"/>
        <v>174.05</v>
      </c>
      <c r="BR5" s="27">
        <f t="shared" si="1"/>
        <v>6484.28</v>
      </c>
      <c r="BS5" s="27">
        <f t="shared" si="1"/>
        <v>0</v>
      </c>
      <c r="BT5" s="28">
        <f t="shared" si="1"/>
        <v>0</v>
      </c>
    </row>
    <row r="6" spans="1:72" s="35" customFormat="1" ht="12.75">
      <c r="A6" s="24" t="s">
        <v>135</v>
      </c>
      <c r="B6" s="29"/>
      <c r="C6" s="29"/>
      <c r="D6" s="30"/>
      <c r="E6" s="25">
        <f>H6+AC6+AT6</f>
        <v>10956</v>
      </c>
      <c r="F6" s="25" t="s">
        <v>0</v>
      </c>
      <c r="G6" s="25" t="s">
        <v>1</v>
      </c>
      <c r="H6" s="31">
        <f>SUMIF(I$12:AB$12,"总值",I6:AB6)</f>
        <v>10177</v>
      </c>
      <c r="I6" s="25">
        <f t="shared" ref="I6:AB6" si="2">ROUND($A$3*I5/$B$3,2)</f>
        <v>3275.57</v>
      </c>
      <c r="J6" s="25">
        <f t="shared" si="2"/>
        <v>0</v>
      </c>
      <c r="K6" s="25">
        <f t="shared" si="2"/>
        <v>4645.51</v>
      </c>
      <c r="L6" s="25">
        <f t="shared" si="2"/>
        <v>0</v>
      </c>
      <c r="M6" s="25">
        <f t="shared" si="2"/>
        <v>551.29999999999995</v>
      </c>
      <c r="N6" s="25">
        <f t="shared" si="2"/>
        <v>0</v>
      </c>
      <c r="O6" s="25">
        <f t="shared" si="2"/>
        <v>1704.62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779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20.36</v>
      </c>
      <c r="AM6" s="25">
        <f t="shared" si="3"/>
        <v>0</v>
      </c>
      <c r="AN6" s="25">
        <f t="shared" si="3"/>
        <v>758.64</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9448.5499999999993</v>
      </c>
      <c r="AZ6" s="25" t="s">
        <v>2</v>
      </c>
      <c r="BA6" s="25">
        <f>ROUND($AY$6*BA5/$AZ$5,2)</f>
        <v>8776.73</v>
      </c>
      <c r="BB6" s="25">
        <f>ROUND($AY$6*BB5/$AZ$5,2)</f>
        <v>2824.88</v>
      </c>
      <c r="BC6" s="25">
        <f t="shared" ref="BC6:BH6" si="4">ROUND($AY$6*BC5/$AZ$5,2)</f>
        <v>4006.33</v>
      </c>
      <c r="BD6" s="25">
        <f t="shared" si="4"/>
        <v>475.44</v>
      </c>
      <c r="BE6" s="25">
        <f t="shared" si="4"/>
        <v>1470.08</v>
      </c>
      <c r="BF6" s="25">
        <f t="shared" si="4"/>
        <v>0</v>
      </c>
      <c r="BG6" s="25">
        <f t="shared" si="4"/>
        <v>0</v>
      </c>
      <c r="BH6" s="25">
        <f t="shared" si="4"/>
        <v>0</v>
      </c>
      <c r="BI6" s="25">
        <f t="shared" ref="BI6:BT6" si="5">ROUND($AY$6*BI5/$AZ$5,2)</f>
        <v>0</v>
      </c>
      <c r="BJ6" s="25">
        <f t="shared" si="5"/>
        <v>0</v>
      </c>
      <c r="BK6" s="25">
        <f t="shared" si="5"/>
        <v>0</v>
      </c>
      <c r="BL6" s="25">
        <f t="shared" si="5"/>
        <v>671.82</v>
      </c>
      <c r="BM6" s="25">
        <f t="shared" si="5"/>
        <v>0</v>
      </c>
      <c r="BN6" s="25">
        <f t="shared" si="5"/>
        <v>0</v>
      </c>
      <c r="BO6" s="25">
        <f t="shared" si="5"/>
        <v>0</v>
      </c>
      <c r="BP6" s="25">
        <f t="shared" si="5"/>
        <v>0</v>
      </c>
      <c r="BQ6" s="25">
        <f t="shared" si="5"/>
        <v>17.559999999999999</v>
      </c>
      <c r="BR6" s="25">
        <f t="shared" si="5"/>
        <v>654.26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3313</v>
      </c>
      <c r="J9" s="49"/>
      <c r="K9" s="2491" t="s">
        <v>3313</v>
      </c>
      <c r="L9" s="49"/>
      <c r="M9" s="2491" t="s">
        <v>3314</v>
      </c>
      <c r="N9" s="49"/>
      <c r="O9" s="57" t="s">
        <v>3314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2740</v>
      </c>
      <c r="L10" s="49"/>
      <c r="M10" s="2493" t="s">
        <v>2740</v>
      </c>
      <c r="N10" s="49"/>
      <c r="O10" s="64" t="s">
        <v>3315</v>
      </c>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3312</v>
      </c>
      <c r="E13" s="25">
        <f t="shared" ref="E13:E20" si="6">IF($C$3="是",ROUND($A$3*G13/$B$3,2),ROUND($A$3*(G13-AT13)/$B$3,2))</f>
        <v>10956</v>
      </c>
      <c r="F13" s="78"/>
      <c r="G13" s="79">
        <f t="shared" ref="G13:G20" si="7">H13+AC13+AT13</f>
        <v>108584.00000000001</v>
      </c>
      <c r="H13" s="31">
        <f t="shared" ref="H13:H20" si="8">SUMIF(I$12:AB$12,"总值",I13:AB13)</f>
        <v>86985.430000000008</v>
      </c>
      <c r="I13" s="2490">
        <v>27997.13</v>
      </c>
      <c r="J13" s="2490"/>
      <c r="K13" s="2490">
        <v>39706.410000000003</v>
      </c>
      <c r="L13" s="2490"/>
      <c r="M13" s="2490">
        <v>4712.08</v>
      </c>
      <c r="N13" s="80"/>
      <c r="O13" s="80">
        <v>14569.81</v>
      </c>
      <c r="P13" s="80"/>
      <c r="Q13" s="80"/>
      <c r="R13" s="80"/>
      <c r="S13" s="80"/>
      <c r="T13" s="80"/>
      <c r="U13" s="80"/>
      <c r="V13" s="80"/>
      <c r="W13" s="80"/>
      <c r="X13" s="80"/>
      <c r="Y13" s="80"/>
      <c r="Z13" s="80"/>
      <c r="AA13" s="80"/>
      <c r="AB13" s="80"/>
      <c r="AC13" s="25">
        <f t="shared" ref="AC13:AC20" si="9">SUMIF(AD$12:AS$12,"总值",AD13:AS13)</f>
        <v>6658.33</v>
      </c>
      <c r="AD13" s="2494"/>
      <c r="AE13" s="2494"/>
      <c r="AF13" s="2494"/>
      <c r="AG13" s="2494"/>
      <c r="AH13" s="2494"/>
      <c r="AI13" s="2494"/>
      <c r="AJ13" s="2494"/>
      <c r="AK13" s="2494"/>
      <c r="AL13" s="2494">
        <v>174.05</v>
      </c>
      <c r="AM13" s="2494"/>
      <c r="AN13" s="2494">
        <v>6484.28</v>
      </c>
      <c r="AO13" s="2494"/>
      <c r="AP13" s="2494"/>
      <c r="AQ13" s="2494"/>
      <c r="AR13" s="2494"/>
      <c r="AS13" s="2494"/>
      <c r="AT13" s="2495">
        <v>14940.24</v>
      </c>
      <c r="AU13" s="2496"/>
      <c r="AV13" s="15">
        <f t="shared" ref="AV13:AX20" si="10">A13</f>
        <v>0</v>
      </c>
      <c r="AW13" s="15">
        <f t="shared" si="10"/>
        <v>0</v>
      </c>
      <c r="AX13" s="15">
        <f t="shared" si="10"/>
        <v>0</v>
      </c>
      <c r="AY13" s="958">
        <f t="shared" ref="AY13:AY20" si="11">ROUND($AY$6*AZ13/$AZ$5,2)</f>
        <v>9448.5499999999993</v>
      </c>
      <c r="AZ13" s="25">
        <f t="shared" ref="AZ13:AZ20" si="12">BA13+BL13</f>
        <v>93643.760000000009</v>
      </c>
      <c r="BA13" s="25">
        <f t="shared" ref="BA13:BA20" si="13">SUM(BB13:BK13)</f>
        <v>86985.430000000008</v>
      </c>
      <c r="BB13" s="25">
        <f t="shared" ref="BB13:BB20" si="14">IF($D13="是",I13-J13,0)</f>
        <v>27997.13</v>
      </c>
      <c r="BC13" s="25">
        <f t="shared" ref="BC13:BC20" si="15">IF($D13="是",K13-L13,0)</f>
        <v>39706.410000000003</v>
      </c>
      <c r="BD13" s="25">
        <f t="shared" ref="BD13:BD20" si="16">IF($D13="是",M13-N13,0)</f>
        <v>4712.08</v>
      </c>
      <c r="BE13" s="25">
        <f t="shared" ref="BE13:BE20" si="17">IF($D13="是",O13-P13,0)</f>
        <v>14569.81</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6658.33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174.05</v>
      </c>
      <c r="BR13" s="25">
        <f t="shared" ref="BR13:BR20" si="30">IF($D13="是",AN13-AO13,0)</f>
        <v>6484.28</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35" sqref="I3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3" t="s">
        <v>169</v>
      </c>
      <c r="B2" s="3763"/>
      <c r="C2" s="3763"/>
      <c r="D2" s="1729" t="s">
        <v>170</v>
      </c>
      <c r="E2" s="102" t="s">
        <v>171</v>
      </c>
      <c r="F2" s="2825"/>
      <c r="G2" s="1096"/>
      <c r="H2" s="1097"/>
      <c r="I2" s="1098" t="s">
        <v>795</v>
      </c>
      <c r="J2" s="2825"/>
      <c r="K2" s="2825"/>
      <c r="L2" s="2825"/>
      <c r="M2" s="2825"/>
      <c r="N2" s="2825"/>
      <c r="O2" s="2825"/>
      <c r="P2" s="2825"/>
    </row>
    <row r="3" spans="1:16" ht="15.75" thickBot="1">
      <c r="A3" s="3764" t="s">
        <v>172</v>
      </c>
      <c r="B3" s="3764"/>
      <c r="C3" s="3764"/>
      <c r="D3" s="103">
        <f>'数据-基础表'!AY6</f>
        <v>9448.5499999999993</v>
      </c>
      <c r="E3" s="103">
        <f>'数据-基础表'!AZ5</f>
        <v>93643.760000000009</v>
      </c>
      <c r="F3" s="2825"/>
      <c r="G3" s="271" t="s">
        <v>796</v>
      </c>
      <c r="H3" s="266" t="s">
        <v>797</v>
      </c>
      <c r="I3" s="1730">
        <f>ROUND('数据-基础表'!B3/'数据-基础表'!A3,2)</f>
        <v>8.5500000000000007</v>
      </c>
      <c r="J3" s="2825"/>
      <c r="K3" s="2825"/>
      <c r="L3" s="2825"/>
      <c r="M3" s="2825"/>
      <c r="N3" s="2825"/>
      <c r="O3" s="2825"/>
      <c r="P3" s="2825"/>
    </row>
    <row r="4" spans="1:16" ht="15">
      <c r="A4" s="3765"/>
      <c r="B4" s="3766"/>
      <c r="C4" s="3767"/>
      <c r="D4" s="104" t="s">
        <v>170</v>
      </c>
      <c r="E4" s="105" t="s">
        <v>171</v>
      </c>
      <c r="F4" s="2825"/>
      <c r="G4" s="1099"/>
      <c r="H4" s="266" t="s">
        <v>798</v>
      </c>
      <c r="I4" s="1730">
        <f>ROUND(SUMIF('数据-基础表'!I9:AS9,"地上",'数据-基础表'!I5:AS5)/'数据-基础表'!A3,2)</f>
        <v>6.2</v>
      </c>
      <c r="J4" s="2825"/>
      <c r="K4" s="2825"/>
      <c r="L4" s="2825"/>
      <c r="M4" s="2825"/>
      <c r="N4" s="2825"/>
      <c r="O4" s="2825"/>
      <c r="P4" s="2825"/>
    </row>
    <row r="5" spans="1:16">
      <c r="A5" s="106" t="s">
        <v>173</v>
      </c>
      <c r="B5" s="3768" t="s">
        <v>196</v>
      </c>
      <c r="C5" s="3768"/>
      <c r="D5" s="107">
        <f>ROUND($D$3*E5/$E$3,2)</f>
        <v>0</v>
      </c>
      <c r="E5" s="108">
        <f>SUMIF('数据-基础表'!$11:$11,"住宅",'数据-基础表'!$5:$5)</f>
        <v>0</v>
      </c>
      <c r="F5" s="2825"/>
      <c r="G5" s="271" t="s">
        <v>799</v>
      </c>
      <c r="H5" s="266" t="s">
        <v>797</v>
      </c>
      <c r="I5" s="1730">
        <f>ROUND(E31/D31,2)</f>
        <v>9.91</v>
      </c>
      <c r="J5" s="2825"/>
      <c r="K5" s="2825"/>
      <c r="L5" s="2825"/>
      <c r="M5" s="2825"/>
      <c r="N5" s="2825"/>
      <c r="O5" s="2825"/>
      <c r="P5" s="2825"/>
    </row>
    <row r="6" spans="1:16" ht="15" thickBot="1">
      <c r="A6" s="109"/>
      <c r="B6" s="3768" t="s">
        <v>174</v>
      </c>
      <c r="C6" s="3768"/>
      <c r="D6" s="107">
        <f>ROUND($D$3*E6/$E$3,2)</f>
        <v>9448.5499999999993</v>
      </c>
      <c r="E6" s="108">
        <f>E3-E5</f>
        <v>93643.760000000009</v>
      </c>
      <c r="F6" s="2825"/>
      <c r="G6" s="1099"/>
      <c r="H6" s="266" t="s">
        <v>798</v>
      </c>
      <c r="I6" s="1730">
        <f>ROUND(F31/D31,2)</f>
        <v>7.18</v>
      </c>
      <c r="J6" s="2825"/>
      <c r="K6" s="2825"/>
      <c r="L6" s="2825"/>
      <c r="M6" s="2825"/>
      <c r="N6" s="2825"/>
      <c r="O6" s="2825"/>
      <c r="P6" s="2825"/>
    </row>
    <row r="7" spans="1:16" ht="15">
      <c r="A7" s="3760"/>
      <c r="B7" s="3761"/>
      <c r="C7" s="376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6831.21</v>
      </c>
      <c r="E8" s="112">
        <f>SUMIF('数据-基础表'!BB10:BK10,"地上",'数据-基础表'!BB5:BK5)</f>
        <v>67703.540000000008</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475.44</v>
      </c>
      <c r="E10" s="112">
        <f>SUMPRODUCT(('数据-基础表'!BB10:BK10="地下")*('数据-基础表'!BB11:BK11="商业")*('数据-基础表'!BB5:BK5))</f>
        <v>4712.08</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1470.08</v>
      </c>
      <c r="E15" s="112">
        <f>SUMPRODUCT(('数据-基础表'!BB10:BK10="地下")*('数据-基础表'!BB11:BK11="车库—办公")*('数据-基础表'!BB5:BK5))</f>
        <v>14569.81</v>
      </c>
      <c r="F15" s="2825"/>
      <c r="G15" s="2826"/>
      <c r="H15" s="2826"/>
      <c r="I15" s="2825"/>
      <c r="J15" s="2825"/>
      <c r="K15" s="2825"/>
      <c r="L15" s="2825"/>
      <c r="M15" s="2825"/>
      <c r="N15" s="2825"/>
      <c r="O15" s="2825"/>
      <c r="P15" s="2825"/>
    </row>
    <row r="16" spans="1:16" ht="15.75" thickBot="1">
      <c r="A16" s="109"/>
      <c r="B16" s="114"/>
      <c r="C16" s="111" t="s">
        <v>181</v>
      </c>
      <c r="D16" s="111">
        <f>SUM(D8:D15)</f>
        <v>8776.73</v>
      </c>
      <c r="E16" s="116">
        <f>SUM(E8:E15)</f>
        <v>86985.430000000008</v>
      </c>
      <c r="F16" s="2825"/>
      <c r="G16" s="2826"/>
      <c r="H16" s="930" t="s">
        <v>185</v>
      </c>
      <c r="I16" s="931"/>
      <c r="J16" s="1738"/>
      <c r="K16" s="3754" t="s">
        <v>1849</v>
      </c>
      <c r="L16" s="3755"/>
      <c r="M16" s="3755"/>
      <c r="N16" s="3755"/>
      <c r="O16" s="3755"/>
      <c r="P16" s="3756"/>
    </row>
    <row r="17" spans="1:19" ht="15">
      <c r="A17" s="117" t="s">
        <v>182</v>
      </c>
      <c r="B17" s="118" t="s">
        <v>183</v>
      </c>
      <c r="C17" s="2016" t="s">
        <v>1670</v>
      </c>
      <c r="D17" s="104" t="s">
        <v>170</v>
      </c>
      <c r="E17" s="120" t="s">
        <v>171</v>
      </c>
      <c r="F17" s="121"/>
      <c r="G17" s="1225"/>
      <c r="H17" s="932" t="s">
        <v>184</v>
      </c>
      <c r="I17" s="933" t="s">
        <v>1669</v>
      </c>
      <c r="J17" s="1738"/>
      <c r="K17" s="3757" t="s">
        <v>1850</v>
      </c>
      <c r="L17" s="3758"/>
      <c r="M17" s="3759"/>
      <c r="N17" s="3757" t="s">
        <v>1851</v>
      </c>
      <c r="O17" s="3758"/>
      <c r="P17" s="375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3317</v>
      </c>
      <c r="D19" s="107">
        <f t="shared" ref="D19:D26" si="1">ROUND($D$3*E19/$E$3,2)</f>
        <v>2824.88</v>
      </c>
      <c r="E19" s="130">
        <f t="shared" ref="E19:E26" si="2">SUM(F19:G19)</f>
        <v>27997.13</v>
      </c>
      <c r="F19" s="2827">
        <f>'数据-基础表'!I13</f>
        <v>27997.13</v>
      </c>
      <c r="G19" s="2828"/>
      <c r="H19" s="936">
        <f>ROUND($D$3*I19/$E$3,2)</f>
        <v>216.23</v>
      </c>
      <c r="I19" s="112">
        <f>IF($I$17="自定义",P19,M19)</f>
        <v>2143.0500000000002</v>
      </c>
      <c r="J19" s="1738"/>
      <c r="K19" s="2215">
        <f t="shared" ref="K19:K26" si="3">ROUND(E$28*E19/E$27,2)</f>
        <v>2143.0500000000002</v>
      </c>
      <c r="L19" s="266">
        <f t="shared" ref="L19:L26" si="4">ROUND(IF(COUNTIF(C19,"*住宅*")&gt;0,E$29*E19/E$32,0),2)</f>
        <v>0</v>
      </c>
      <c r="M19" s="2216">
        <f>K19+L19</f>
        <v>2143.0500000000002</v>
      </c>
      <c r="N19" s="2217"/>
      <c r="O19" s="2218"/>
      <c r="P19" s="2219">
        <f>N19+O19</f>
        <v>0</v>
      </c>
      <c r="R19" s="266">
        <f t="shared" ref="R19:S26" si="5">D19+H19</f>
        <v>3041.11</v>
      </c>
      <c r="S19" s="2019">
        <f t="shared" si="5"/>
        <v>30140.18</v>
      </c>
    </row>
    <row r="20" spans="1:19">
      <c r="A20" s="133"/>
      <c r="B20" s="111" t="s">
        <v>192</v>
      </c>
      <c r="C20" s="2497" t="s">
        <v>3318</v>
      </c>
      <c r="D20" s="107">
        <f t="shared" si="1"/>
        <v>4481.78</v>
      </c>
      <c r="E20" s="130">
        <f t="shared" si="2"/>
        <v>44418.490000000005</v>
      </c>
      <c r="F20" s="2827">
        <f>'数据-基础表'!K13</f>
        <v>39706.410000000003</v>
      </c>
      <c r="G20" s="2828">
        <f>'数据-基础表'!M13</f>
        <v>4712.08</v>
      </c>
      <c r="H20" s="936">
        <f t="shared" ref="H20:H26" si="6">ROUND($D$3*I20/$E$3,2)</f>
        <v>343.06</v>
      </c>
      <c r="I20" s="112">
        <f t="shared" ref="I20:I26" si="7">IF($I$17="自定义",P20,M20)</f>
        <v>3400.03</v>
      </c>
      <c r="J20" s="1738"/>
      <c r="K20" s="2215">
        <f t="shared" si="3"/>
        <v>3400.03</v>
      </c>
      <c r="L20" s="266">
        <f t="shared" si="4"/>
        <v>0</v>
      </c>
      <c r="M20" s="2216">
        <f t="shared" ref="M20:M26" si="8">K20+L20</f>
        <v>3400.03</v>
      </c>
      <c r="N20" s="2217"/>
      <c r="O20" s="2218"/>
      <c r="P20" s="2219">
        <f t="shared" ref="P20:P26" si="9">N20+O20</f>
        <v>0</v>
      </c>
      <c r="R20" s="266">
        <f t="shared" si="5"/>
        <v>4824.84</v>
      </c>
      <c r="S20" s="2019">
        <f t="shared" si="5"/>
        <v>47818.520000000004</v>
      </c>
    </row>
    <row r="21" spans="1:19">
      <c r="A21" s="133"/>
      <c r="B21" s="111" t="s">
        <v>192</v>
      </c>
      <c r="C21" s="2497" t="s">
        <v>3319</v>
      </c>
      <c r="D21" s="107">
        <f t="shared" si="1"/>
        <v>1470.08</v>
      </c>
      <c r="E21" s="130">
        <f t="shared" si="2"/>
        <v>14569.81</v>
      </c>
      <c r="F21" s="2827"/>
      <c r="G21" s="2828">
        <f>'数据-基础表'!O13</f>
        <v>14569.81</v>
      </c>
      <c r="H21" s="936">
        <f t="shared" si="6"/>
        <v>112.53</v>
      </c>
      <c r="I21" s="112">
        <f t="shared" si="7"/>
        <v>1115.25</v>
      </c>
      <c r="J21" s="1738"/>
      <c r="K21" s="2215">
        <f t="shared" si="3"/>
        <v>1115.25</v>
      </c>
      <c r="L21" s="266">
        <f t="shared" si="4"/>
        <v>0</v>
      </c>
      <c r="M21" s="2216">
        <f t="shared" si="8"/>
        <v>1115.25</v>
      </c>
      <c r="N21" s="2217"/>
      <c r="O21" s="2218"/>
      <c r="P21" s="2219">
        <f t="shared" si="9"/>
        <v>0</v>
      </c>
      <c r="R21" s="266">
        <f t="shared" si="5"/>
        <v>1582.61</v>
      </c>
      <c r="S21" s="2019">
        <f t="shared" si="5"/>
        <v>15685.06</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8776.74</v>
      </c>
      <c r="E27" s="136">
        <f>IF(SUM(E19:E26)='数据-基础表'!BA5,SUM(E19:E26),IF(F27="地上面积有误","面积有误","地下面积有误"))</f>
        <v>86985.430000000008</v>
      </c>
      <c r="F27" s="130">
        <f>IF(SUM(F19:F26)=E8,SUM(F19:F26),"地上面积有误")</f>
        <v>67703.540000000008</v>
      </c>
      <c r="G27" s="108">
        <f>SUM(G19:G26)</f>
        <v>19281.89</v>
      </c>
      <c r="H27" s="937">
        <f>SUM(H19:H26)</f>
        <v>671.81999999999994</v>
      </c>
      <c r="I27" s="938">
        <f>SUM(I19:I26)</f>
        <v>6658.33</v>
      </c>
      <c r="J27" s="1738"/>
      <c r="K27" s="2224">
        <f t="shared" ref="K27:P27" si="10">SUM(K19:K26)</f>
        <v>6658.33</v>
      </c>
      <c r="L27" s="2225">
        <f t="shared" si="10"/>
        <v>0</v>
      </c>
      <c r="M27" s="2226">
        <f t="shared" si="10"/>
        <v>6658.33</v>
      </c>
      <c r="N27" s="2224">
        <f t="shared" si="10"/>
        <v>0</v>
      </c>
      <c r="O27" s="2225">
        <f t="shared" si="10"/>
        <v>0</v>
      </c>
      <c r="P27" s="2227">
        <f t="shared" si="10"/>
        <v>0</v>
      </c>
      <c r="R27" s="2023" t="str">
        <f>IF(SUM(R19:R26)=$D$3,SUM(R19:R26),SUM(R19:R26)&amp;"误差"&amp;ROUND(SUM(R19:R26)-$D$3,2))</f>
        <v>9448.56误差0.01</v>
      </c>
      <c r="S27" s="266">
        <f>IF(SUM(S19:S26)=$E$3,SUM(S19:S26),SUM(S19:S26)&amp;"误差"&amp;ROUND(SUM(S19:S26)-E3,2))</f>
        <v>93643.760000000009</v>
      </c>
    </row>
    <row r="28" spans="1:19">
      <c r="A28" s="133"/>
      <c r="B28" s="111" t="s">
        <v>193</v>
      </c>
      <c r="C28" s="131" t="s">
        <v>194</v>
      </c>
      <c r="D28" s="107">
        <f>ROUND($D$3*E28/$E$3,2)</f>
        <v>671.82</v>
      </c>
      <c r="E28" s="130">
        <f>SUM(F28:G28)</f>
        <v>6658.33</v>
      </c>
      <c r="F28" s="137">
        <f>'数据-基础表'!BQ5+'数据-基础表'!BS5</f>
        <v>174.05</v>
      </c>
      <c r="G28" s="138">
        <f>'数据-基础表'!BR5+'数据-基础表'!BT5</f>
        <v>6484.28</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671.82</v>
      </c>
      <c r="E30" s="130">
        <f>SUM(E28:E29)</f>
        <v>6658.33</v>
      </c>
      <c r="F30" s="130">
        <f>SUM(F28:F29)</f>
        <v>174.05</v>
      </c>
      <c r="G30" s="108">
        <f>SUM(G28:G29)</f>
        <v>6484.28</v>
      </c>
      <c r="H30" s="2825"/>
      <c r="I30" s="2825"/>
      <c r="J30" s="2825"/>
      <c r="K30" s="2825"/>
      <c r="L30" s="2825"/>
      <c r="M30" s="2825"/>
      <c r="N30" s="2825"/>
      <c r="O30" s="2825"/>
      <c r="P30" s="2825"/>
    </row>
    <row r="31" spans="1:19" ht="32.25" customHeight="1" thickBot="1">
      <c r="A31" s="1227"/>
      <c r="B31" s="1228" t="s">
        <v>195</v>
      </c>
      <c r="C31" s="2048" t="s">
        <v>1679</v>
      </c>
      <c r="D31" s="1229">
        <f>D27+D30</f>
        <v>9448.56</v>
      </c>
      <c r="E31" s="1229">
        <f>E27+E30</f>
        <v>93643.760000000009</v>
      </c>
      <c r="F31" s="1230">
        <f>F27+F30</f>
        <v>67877.590000000011</v>
      </c>
      <c r="G31" s="1231">
        <f>G27+G30</f>
        <v>25766.17</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J32" sqref="J3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8" style="1101" customWidth="1"/>
    <col min="23" max="24" width="6.75" style="1101" customWidth="1"/>
    <col min="25" max="25" width="9.6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45028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39.590000000000003</v>
      </c>
      <c r="G6" s="168">
        <f t="shared" ref="G6:G13" si="0">IF(ISERROR(ROUND(POWER(1+H6,D6-F6)*(POWER(1+H6,F6)-1)/(POWER(1+H6,D6)-1),3)),0,ROUND(POWER(1+H6,D6-F6)*(POWER(1+H6,F6)-1)/(POWER(1+H6,D6)-1),3))</f>
        <v>0.93700000000000006</v>
      </c>
      <c r="H6" s="2498">
        <v>0.05</v>
      </c>
      <c r="I6" s="2498">
        <v>0.06</v>
      </c>
      <c r="J6" s="169">
        <v>8.5000000000000006E-2</v>
      </c>
      <c r="K6" s="172">
        <f>SUMIF('数据-汇总表'!C$19:C$33,'数据-取费表'!A6,'数据-汇总表'!E$19:E$33)</f>
        <v>27997.13</v>
      </c>
      <c r="L6" s="2499">
        <v>4500</v>
      </c>
      <c r="M6" s="170">
        <f t="shared" ref="M6:M14" si="1">ROUND(K6*L6/10000,0)</f>
        <v>12599</v>
      </c>
      <c r="N6" s="2500">
        <v>0</v>
      </c>
      <c r="O6" s="170">
        <f>IF($N$5="成新度","——",ROUND(M6*N6,0))</f>
        <v>0</v>
      </c>
      <c r="P6" s="171">
        <f>IF($N$5="成新度","——",M6-O6)</f>
        <v>12599</v>
      </c>
      <c r="Q6" s="2501">
        <v>0.15</v>
      </c>
      <c r="R6" s="172">
        <f>SUMIF('数据-汇总表'!C$19:C$33,A6,'数据-汇总表'!R$19:R$33)</f>
        <v>3041.11</v>
      </c>
      <c r="S6" s="128">
        <f>IF('数据-汇总表'!$I$17="按面积比例",SUMIF('数据-汇总表'!C$19:C$33,A6,'数据-汇总表'!K$19:K$33),SUMIF('数据-汇总表'!C$19:C$33,A6,'数据-汇总表'!N$19:N$33))</f>
        <v>2143.0500000000002</v>
      </c>
      <c r="T6" s="1952">
        <f>IF($T$4="按面积比例",IF(ISERROR(ROUND($M$14*S6/S$16,0)),"0",ROUND($M$14*S6/S$16,0)),"需自行计算录入")</f>
        <v>536</v>
      </c>
      <c r="U6" s="173">
        <v>5</v>
      </c>
      <c r="V6" s="174">
        <v>1.4999999999999999E-2</v>
      </c>
      <c r="W6" s="174">
        <v>0.1</v>
      </c>
      <c r="X6" s="2039"/>
      <c r="Y6" s="175">
        <v>1</v>
      </c>
      <c r="Z6" s="176"/>
      <c r="AA6" s="169"/>
      <c r="AB6" s="169"/>
      <c r="AC6" s="2042"/>
      <c r="AD6" s="177"/>
      <c r="AE6" s="934">
        <f ca="1">IF(AN6="",0,SUMIF(INDIRECT("'"&amp;AN6&amp;"'"&amp;"!E:E"),$AE$5,INDIRECT("'"&amp;AN6&amp;"'"&amp;"!F:F")))</f>
        <v>36.590000000000003</v>
      </c>
      <c r="AF6" s="134"/>
      <c r="AG6" s="1111">
        <f>IF(AF6="",0,AE6-AF6)</f>
        <v>0</v>
      </c>
      <c r="AH6" s="134"/>
      <c r="AI6" s="180">
        <v>365</v>
      </c>
      <c r="AJ6" s="181"/>
      <c r="AK6" s="182">
        <v>0.01</v>
      </c>
      <c r="AL6" s="183">
        <v>1.5E-3</v>
      </c>
      <c r="AM6" s="2510">
        <v>1.4999999999999999E-2</v>
      </c>
      <c r="AN6" s="2083" t="s">
        <v>3331</v>
      </c>
      <c r="AO6" s="2835"/>
      <c r="AP6" s="1102">
        <f>ROUND(1-1/(1+H6)^F6,3)</f>
        <v>0.85499999999999998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2740</v>
      </c>
      <c r="D7" s="2026">
        <f>SUMIF(项目基本情况!C$15:I$15,C7,项目基本情况!C$18:I$18)</f>
        <v>40</v>
      </c>
      <c r="E7" s="2027">
        <f>IF(B7="","",SUMIF(项目基本情况!C$15:I$15,C7,项目基本情况!C$17:I$17))</f>
        <v>55827</v>
      </c>
      <c r="F7" s="167">
        <f>SUMIF(项目基本情况!C$15:I$15,C7,项目基本情况!C$19:I$19)</f>
        <v>29.58</v>
      </c>
      <c r="G7" s="168">
        <f t="shared" si="0"/>
        <v>0.90100000000000002</v>
      </c>
      <c r="H7" s="2498">
        <v>5.5E-2</v>
      </c>
      <c r="I7" s="2498">
        <v>6.5000000000000002E-2</v>
      </c>
      <c r="J7" s="169">
        <v>8.5000000000000006E-2</v>
      </c>
      <c r="K7" s="172">
        <f>SUMIF('数据-汇总表'!C$19:C$33,'数据-取费表'!A7,'数据-汇总表'!E$19:E$33)</f>
        <v>44418.490000000005</v>
      </c>
      <c r="L7" s="2499">
        <v>4000</v>
      </c>
      <c r="M7" s="170">
        <f t="shared" si="1"/>
        <v>17767</v>
      </c>
      <c r="N7" s="2500">
        <v>0</v>
      </c>
      <c r="O7" s="170">
        <f t="shared" ref="O7:O14" si="3">IF($N$5="成新度","——",ROUND(M7*N7,0))</f>
        <v>0</v>
      </c>
      <c r="P7" s="171">
        <f t="shared" ref="P7:P14" si="4">IF($N$5="成新度","——",M7-O7)</f>
        <v>17767</v>
      </c>
      <c r="Q7" s="2501">
        <v>0.15</v>
      </c>
      <c r="R7" s="172">
        <f>SUMIF('数据-汇总表'!C$19:C$33,A7,'数据-汇总表'!R$19:R$33)</f>
        <v>4824.84</v>
      </c>
      <c r="S7" s="128">
        <f>IF('数据-汇总表'!$I$17="按面积比例",SUMIF('数据-汇总表'!C$19:C$33,A7,'数据-汇总表'!K$19:K$33),SUMIF('数据-汇总表'!C$19:C$33,A7,'数据-汇总表'!N$19:N$33))</f>
        <v>3400.03</v>
      </c>
      <c r="T7" s="1952">
        <f t="shared" ref="T7:T13" si="5">IF($T$4="按面积比例",IF(ISERROR(ROUND($M$14*S7/S$16,0)),"0",ROUND($M$14*S7/S$16,0)),"需自行计算录入")</f>
        <v>850</v>
      </c>
      <c r="U7" s="173">
        <v>5.6</v>
      </c>
      <c r="V7" s="174">
        <v>1.4999999999999999E-2</v>
      </c>
      <c r="W7" s="174">
        <v>0.1</v>
      </c>
      <c r="X7" s="2039"/>
      <c r="Y7" s="175">
        <v>1</v>
      </c>
      <c r="Z7" s="176"/>
      <c r="AA7" s="169"/>
      <c r="AB7" s="169"/>
      <c r="AC7" s="2042"/>
      <c r="AD7" s="177"/>
      <c r="AE7" s="934">
        <f t="shared" ref="AE7:AE13" ca="1" si="6">IF(AN7="",0,SUMIF(INDIRECT("'"&amp;AN7&amp;"'"&amp;"!E:E"),$AE$5,INDIRECT("'"&amp;AN7&amp;"'"&amp;"!F:F")))</f>
        <v>26.58</v>
      </c>
      <c r="AF7" s="134"/>
      <c r="AG7" s="1111">
        <f t="shared" ref="AG7:AG13" si="7">IF(AF7="",0,AE7-AF7)</f>
        <v>0</v>
      </c>
      <c r="AH7" s="134"/>
      <c r="AI7" s="180">
        <v>365</v>
      </c>
      <c r="AJ7" s="181"/>
      <c r="AK7" s="182">
        <v>0.01</v>
      </c>
      <c r="AL7" s="183">
        <v>1.5E-3</v>
      </c>
      <c r="AM7" s="2510">
        <v>1.4999999999999999E-2</v>
      </c>
      <c r="AN7" s="2083" t="s">
        <v>3332</v>
      </c>
      <c r="AO7" s="2835"/>
      <c r="AP7" s="1102">
        <f t="shared" ref="AP7:AP13" si="8">ROUND(1-1/(1+H7)^F7,3)</f>
        <v>0.79500000000000004</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59479</v>
      </c>
      <c r="F8" s="167">
        <f>SUMIF(项目基本情况!C$15:I$15,C8,项目基本情况!C$19:I$19)</f>
        <v>39.590000000000003</v>
      </c>
      <c r="G8" s="168">
        <f t="shared" si="0"/>
        <v>0.92800000000000005</v>
      </c>
      <c r="H8" s="2498">
        <v>4.4999999999999998E-2</v>
      </c>
      <c r="I8" s="2498">
        <v>0.05</v>
      </c>
      <c r="J8" s="169">
        <v>8.5000000000000006E-2</v>
      </c>
      <c r="K8" s="172">
        <f>SUMIF('数据-汇总表'!C$19:C$33,'数据-取费表'!A8,'数据-汇总表'!E$19:E$33)</f>
        <v>14569.81</v>
      </c>
      <c r="L8" s="2499">
        <v>3000</v>
      </c>
      <c r="M8" s="170">
        <f>ROUND(K8*L8/10000,0)</f>
        <v>4371</v>
      </c>
      <c r="N8" s="2500">
        <v>0</v>
      </c>
      <c r="O8" s="170">
        <f t="shared" si="3"/>
        <v>0</v>
      </c>
      <c r="P8" s="171">
        <f t="shared" si="4"/>
        <v>4371</v>
      </c>
      <c r="Q8" s="2501">
        <v>0.05</v>
      </c>
      <c r="R8" s="172">
        <f>SUMIF('数据-汇总表'!C$19:C$33,A8,'数据-汇总表'!R$19:R$33)</f>
        <v>1582.61</v>
      </c>
      <c r="S8" s="128">
        <f>IF('数据-汇总表'!$I$17="按面积比例",SUMIF('数据-汇总表'!C$19:C$33,A8,'数据-汇总表'!K$19:K$33),SUMIF('数据-汇总表'!C$19:C$33,A8,'数据-汇总表'!N$19:N$33))</f>
        <v>1115.25</v>
      </c>
      <c r="T8" s="1952">
        <f t="shared" si="5"/>
        <v>279</v>
      </c>
      <c r="U8" s="173">
        <v>600</v>
      </c>
      <c r="V8" s="174">
        <v>0</v>
      </c>
      <c r="W8" s="174">
        <v>0.2</v>
      </c>
      <c r="X8" s="2039"/>
      <c r="Y8" s="175">
        <v>1</v>
      </c>
      <c r="Z8" s="176"/>
      <c r="AA8" s="169"/>
      <c r="AB8" s="169"/>
      <c r="AC8" s="2042"/>
      <c r="AD8" s="177"/>
      <c r="AE8" s="934">
        <f t="shared" ca="1" si="6"/>
        <v>36.590000000000003</v>
      </c>
      <c r="AF8" s="134"/>
      <c r="AG8" s="1111">
        <f t="shared" si="7"/>
        <v>0</v>
      </c>
      <c r="AH8" s="134">
        <v>416</v>
      </c>
      <c r="AI8" s="180">
        <v>12</v>
      </c>
      <c r="AJ8" s="181"/>
      <c r="AK8" s="182">
        <v>0.01</v>
      </c>
      <c r="AL8" s="183">
        <v>1.5E-3</v>
      </c>
      <c r="AM8" s="2510">
        <v>1.4999999999999999E-2</v>
      </c>
      <c r="AN8" s="2083" t="s">
        <v>3333</v>
      </c>
      <c r="AO8" s="2835"/>
      <c r="AP8" s="1102">
        <f t="shared" si="8"/>
        <v>0.82499999999999996</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6658.33</v>
      </c>
      <c r="L14" s="186">
        <v>2500</v>
      </c>
      <c r="M14" s="170">
        <f t="shared" si="1"/>
        <v>1665</v>
      </c>
      <c r="N14" s="187">
        <v>0</v>
      </c>
      <c r="O14" s="170">
        <f t="shared" si="3"/>
        <v>0</v>
      </c>
      <c r="P14" s="171">
        <f t="shared" si="4"/>
        <v>1665</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0.91700000000000004</v>
      </c>
      <c r="H16" s="194">
        <f>ROUND(SUMPRODUCT(H6:H13,K6:K13)/SUMPRODUCT((H6:H13&gt;0)*(K6:K13)),3)</f>
        <v>5.1999999999999998E-2</v>
      </c>
      <c r="I16" s="195"/>
      <c r="J16" s="195"/>
      <c r="K16" s="196">
        <f>SUM(K6:K15)</f>
        <v>93643.760000000009</v>
      </c>
      <c r="L16" s="197">
        <f>ROUND(M16*10000/SUM(K6:K14),0)</f>
        <v>3887</v>
      </c>
      <c r="M16" s="197">
        <f>SUM(M6:M14)</f>
        <v>36402</v>
      </c>
      <c r="N16" s="198">
        <f>ROUND(SUMPRODUCT(M6:M14,N6:N14)/M16,3)</f>
        <v>0</v>
      </c>
      <c r="O16" s="197">
        <f>SUM(O6:O14)</f>
        <v>0</v>
      </c>
      <c r="P16" s="197">
        <f>SUM(P6:P14)</f>
        <v>36402</v>
      </c>
      <c r="Q16" s="199">
        <f>ROUND(SUMPRODUCT(Q6:Q13,K6:K13)/SUMPRODUCT((Q6:Q13&gt;0)*(K6:K13)),2)</f>
        <v>0.13</v>
      </c>
      <c r="R16" s="2029">
        <f>SUM(R6:R13)</f>
        <v>9448.5600000000013</v>
      </c>
      <c r="S16" s="200">
        <f>SUM(S6:S13)</f>
        <v>6658.33</v>
      </c>
      <c r="T16" s="201">
        <f>IF(SUMIF(T6:T13,"&lt;9E307")=M14,SUMIF(T6:T13,"&lt;9E307"),"有误，请检查")</f>
        <v>1665</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0.81899999999999995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2275</v>
      </c>
      <c r="D19" s="2836"/>
      <c r="E19" s="2835"/>
      <c r="F19" s="2835"/>
      <c r="G19" s="2835"/>
      <c r="H19" s="2835"/>
      <c r="I19" s="2835"/>
      <c r="J19" s="2835"/>
      <c r="K19" s="2834"/>
      <c r="L19" s="2834"/>
      <c r="M19" s="2832"/>
      <c r="N19" s="2832"/>
      <c r="O19" s="2832"/>
      <c r="P19" s="2832"/>
      <c r="Q19" s="2832"/>
      <c r="R19" s="2832"/>
      <c r="S19" s="2832"/>
      <c r="T19" s="2832"/>
      <c r="U19" s="1741"/>
      <c r="V19" s="3673" t="s">
        <v>3321</v>
      </c>
      <c r="W19" s="3673" t="s">
        <v>3322</v>
      </c>
      <c r="X19" s="3673" t="s">
        <v>3323</v>
      </c>
      <c r="Y19" s="3673" t="s">
        <v>3324</v>
      </c>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1741">
        <v>1</v>
      </c>
      <c r="V20" s="1741">
        <f>ROUND('数据-汇总表'!F20/6,2)</f>
        <v>6617.74</v>
      </c>
      <c r="W20" s="1741">
        <v>9.5</v>
      </c>
      <c r="X20" s="1741">
        <v>1</v>
      </c>
      <c r="Y20" s="1741">
        <f>ROUND(V20/$V$27,4)</f>
        <v>0.14899999999999999</v>
      </c>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1741">
        <v>2</v>
      </c>
      <c r="V21" s="1741">
        <f>V20</f>
        <v>6617.74</v>
      </c>
      <c r="W21" s="1741">
        <f>W20*X21</f>
        <v>5.7</v>
      </c>
      <c r="X21" s="1741">
        <v>0.6</v>
      </c>
      <c r="Y21" s="1741">
        <f t="shared" ref="Y21:Y26" si="9">ROUND(V21/$V$27,4)</f>
        <v>0.14899999999999999</v>
      </c>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1741">
        <v>3</v>
      </c>
      <c r="V22" s="1741">
        <f>V20</f>
        <v>6617.74</v>
      </c>
      <c r="W22" s="1741">
        <f>W20*X22</f>
        <v>5.2250000000000005</v>
      </c>
      <c r="X22" s="1741">
        <v>0.55000000000000004</v>
      </c>
      <c r="Y22" s="1741">
        <f t="shared" si="9"/>
        <v>0.14899999999999999</v>
      </c>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1741">
        <v>4</v>
      </c>
      <c r="V23" s="1748">
        <f>V20</f>
        <v>6617.74</v>
      </c>
      <c r="W23" s="1741">
        <f>W20*X23</f>
        <v>4.75</v>
      </c>
      <c r="X23" s="1741">
        <v>0.5</v>
      </c>
      <c r="Y23" s="1741">
        <f t="shared" si="9"/>
        <v>0.14899999999999999</v>
      </c>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1748">
        <v>5</v>
      </c>
      <c r="V24" s="1748">
        <f>V20</f>
        <v>6617.74</v>
      </c>
      <c r="W24" s="1748">
        <f>W20*X24</f>
        <v>4.75</v>
      </c>
      <c r="X24" s="1748">
        <v>0.5</v>
      </c>
      <c r="Y24" s="1741">
        <f t="shared" si="9"/>
        <v>0.14899999999999999</v>
      </c>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1748">
        <v>6</v>
      </c>
      <c r="V25" s="1741">
        <f>'数据-汇总表'!F20-'数据-取费表'!V20-'数据-取费表'!V21-'数据-取费表'!V22-V23-V24</f>
        <v>6617.71000000001</v>
      </c>
      <c r="W25" s="1748">
        <f>W20*X25</f>
        <v>4.75</v>
      </c>
      <c r="X25" s="1748">
        <v>0.5</v>
      </c>
      <c r="Y25" s="1741">
        <f t="shared" si="9"/>
        <v>0.14899999999999999</v>
      </c>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1741">
        <v>-1</v>
      </c>
      <c r="V26" s="1741">
        <f>'数据-汇总表'!G20</f>
        <v>4712.08</v>
      </c>
      <c r="W26" s="1741">
        <f>W20*X26</f>
        <v>4.75</v>
      </c>
      <c r="X26" s="1741">
        <v>0.5</v>
      </c>
      <c r="Y26" s="1741">
        <f t="shared" si="9"/>
        <v>0.1061</v>
      </c>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2276</v>
      </c>
      <c r="D27" s="2839"/>
      <c r="E27" s="2840"/>
      <c r="F27" s="2840"/>
      <c r="G27" s="2835"/>
      <c r="H27" s="2835"/>
      <c r="I27" s="2835"/>
      <c r="J27" s="2835"/>
      <c r="K27" s="2834"/>
      <c r="L27" s="2834"/>
      <c r="M27" s="2832"/>
      <c r="N27" s="2832"/>
      <c r="O27" s="2832"/>
      <c r="P27" s="2832"/>
      <c r="Q27" s="2832"/>
      <c r="R27" s="2832"/>
      <c r="S27" s="2832"/>
      <c r="T27" s="2832"/>
      <c r="U27" s="1741"/>
      <c r="V27" s="1741">
        <f>V20+V21+V22+V25+V26+V23+V24</f>
        <v>44418.490000000005</v>
      </c>
      <c r="W27" s="1741">
        <f>W20*Y20+W21*Y21+W22*Y22+W23*Y23+W26*Y26+W24*Y24+W25*Y25</f>
        <v>5.6705499999999995</v>
      </c>
      <c r="X27" s="1741"/>
      <c r="Y27" s="1741"/>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3320</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9" t="s">
        <v>1198</v>
      </c>
      <c r="B1" s="3770"/>
      <c r="C1" s="3770"/>
      <c r="D1" s="3770"/>
      <c r="E1" s="3770"/>
      <c r="F1" s="3770"/>
      <c r="G1" s="377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2183</v>
      </c>
      <c r="D3" s="2870"/>
      <c r="E3" s="2871" t="s">
        <v>1201</v>
      </c>
      <c r="F3" s="2872" t="s">
        <v>1189</v>
      </c>
      <c r="G3" s="2873" t="s">
        <v>2182</v>
      </c>
      <c r="H3" s="2866"/>
      <c r="I3" s="2866"/>
      <c r="J3" s="2866"/>
      <c r="K3" s="2866"/>
      <c r="L3" s="2866"/>
      <c r="M3" s="2866"/>
      <c r="N3" s="2866"/>
      <c r="O3" s="2866"/>
      <c r="P3" s="2866"/>
      <c r="Q3" s="2866"/>
      <c r="R3" s="2866"/>
    </row>
    <row r="4" spans="1:18" ht="40.5">
      <c r="A4" s="2871"/>
      <c r="B4" s="2874" t="s">
        <v>1202</v>
      </c>
      <c r="C4" s="2875" t="s">
        <v>2184</v>
      </c>
      <c r="D4" s="2870"/>
      <c r="E4" s="2876"/>
      <c r="F4" s="2877" t="s">
        <v>1203</v>
      </c>
      <c r="G4" s="2878" t="s">
        <v>2179</v>
      </c>
      <c r="H4" s="2866"/>
      <c r="I4" s="2866"/>
      <c r="J4" s="2866"/>
      <c r="K4" s="2866"/>
      <c r="L4" s="2866"/>
      <c r="M4" s="2866"/>
      <c r="N4" s="2866"/>
      <c r="O4" s="2866"/>
      <c r="P4" s="2866"/>
      <c r="Q4" s="2866"/>
      <c r="R4" s="2866"/>
    </row>
    <row r="5" spans="1:18" ht="41.25">
      <c r="A5" s="2871"/>
      <c r="B5" s="2874" t="s">
        <v>1204</v>
      </c>
      <c r="C5" s="2875" t="s">
        <v>2185</v>
      </c>
      <c r="D5" s="2870"/>
      <c r="E5" s="2876"/>
      <c r="F5" s="2874" t="s">
        <v>1829</v>
      </c>
      <c r="G5" s="2878" t="s">
        <v>2180</v>
      </c>
      <c r="H5" s="2866"/>
      <c r="I5" s="2866"/>
      <c r="J5" s="2866"/>
      <c r="K5" s="2866"/>
      <c r="L5" s="2866"/>
      <c r="M5" s="2866"/>
      <c r="N5" s="2866"/>
      <c r="O5" s="2866"/>
      <c r="P5" s="2866"/>
      <c r="Q5" s="2866"/>
      <c r="R5" s="2866"/>
    </row>
    <row r="6" spans="1:18" ht="40.5">
      <c r="A6" s="2871"/>
      <c r="B6" s="2874" t="s">
        <v>1190</v>
      </c>
      <c r="C6" s="2878" t="s">
        <v>2179</v>
      </c>
      <c r="D6" s="2870"/>
      <c r="E6" s="2876"/>
      <c r="F6" s="2874" t="s">
        <v>1830</v>
      </c>
      <c r="G6" s="2878" t="s">
        <v>2177</v>
      </c>
      <c r="H6" s="2866"/>
      <c r="I6" s="2866"/>
      <c r="J6" s="2866"/>
      <c r="K6" s="2866"/>
      <c r="L6" s="2866"/>
      <c r="M6" s="2866"/>
      <c r="N6" s="2866"/>
      <c r="O6" s="2866"/>
      <c r="P6" s="2866"/>
      <c r="Q6" s="2866"/>
      <c r="R6" s="2866"/>
    </row>
    <row r="7" spans="1:18" ht="27.75" thickBot="1">
      <c r="A7" s="2871"/>
      <c r="B7" s="2874" t="s">
        <v>1829</v>
      </c>
      <c r="C7" s="2878" t="s">
        <v>2180</v>
      </c>
      <c r="D7" s="2879"/>
      <c r="E7" s="2880"/>
      <c r="F7" s="2881" t="s">
        <v>1205</v>
      </c>
      <c r="G7" s="2882" t="s">
        <v>2181</v>
      </c>
      <c r="H7" s="2866"/>
      <c r="I7" s="2866"/>
      <c r="J7" s="2866"/>
      <c r="K7" s="2866"/>
      <c r="L7" s="2866"/>
      <c r="M7" s="2866"/>
      <c r="N7" s="2866"/>
      <c r="O7" s="2866"/>
      <c r="P7" s="2866"/>
      <c r="Q7" s="2866"/>
      <c r="R7" s="2866"/>
    </row>
    <row r="8" spans="1:18">
      <c r="A8" s="2871"/>
      <c r="B8" s="2874" t="s">
        <v>1830</v>
      </c>
      <c r="C8" s="2878" t="s">
        <v>2177</v>
      </c>
      <c r="D8" s="2879"/>
      <c r="E8" s="2879"/>
      <c r="F8" s="2883"/>
      <c r="G8" s="2883"/>
      <c r="H8" s="2866"/>
      <c r="I8" s="2866"/>
      <c r="J8" s="2866"/>
      <c r="K8" s="2866"/>
      <c r="L8" s="2866"/>
      <c r="M8" s="2866"/>
      <c r="N8" s="2866"/>
      <c r="O8" s="2866"/>
      <c r="P8" s="2866"/>
      <c r="Q8" s="2866"/>
      <c r="R8" s="2866"/>
    </row>
    <row r="9" spans="1:18" ht="27">
      <c r="A9" s="2871"/>
      <c r="B9" s="2874" t="s">
        <v>1191</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5" sqref="G15"/>
    </sheetView>
  </sheetViews>
  <sheetFormatPr defaultColWidth="14.625" defaultRowHeight="13.5"/>
  <cols>
    <col min="1" max="1" width="24.375" style="2929" customWidth="1"/>
    <col min="2" max="16384" width="14.625" style="2929"/>
  </cols>
  <sheetData>
    <row r="1" spans="1:10" ht="16.5">
      <c r="A1" s="2928" t="s">
        <v>2118</v>
      </c>
      <c r="B1" s="2928">
        <f>SUM(B14:B23)</f>
        <v>93643.760000000009</v>
      </c>
      <c r="C1" s="2937"/>
      <c r="D1" s="2937"/>
      <c r="E1" s="2937"/>
      <c r="F1" s="2937"/>
      <c r="G1" s="2938"/>
      <c r="H1" s="2938"/>
      <c r="I1" s="2938"/>
      <c r="J1" s="2938"/>
    </row>
    <row r="2" spans="1:10" ht="16.5">
      <c r="A2" s="2928" t="s">
        <v>2119</v>
      </c>
      <c r="B2" s="2928">
        <f>SUM(C14:C23)</f>
        <v>9448.5499999999993</v>
      </c>
      <c r="C2" s="2937"/>
      <c r="D2" s="2937"/>
      <c r="E2" s="2937"/>
      <c r="F2" s="2937"/>
      <c r="G2" s="2938"/>
      <c r="H2" s="2938"/>
      <c r="I2" s="2938"/>
      <c r="J2" s="2938"/>
    </row>
    <row r="3" spans="1:10" ht="16.5">
      <c r="A3" s="2928" t="s">
        <v>2120</v>
      </c>
      <c r="B3" s="2930">
        <f>项目基本情况!D3</f>
        <v>45028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91975</v>
      </c>
      <c r="C5" s="2928">
        <f ca="1">ROUND(B5*10000/$B$1,0)</f>
        <v>9822</v>
      </c>
      <c r="D5" s="2928">
        <f ca="1">ROUND(B5*10000/$B$2,0)</f>
        <v>97343</v>
      </c>
      <c r="E5" s="2937"/>
      <c r="F5" s="2937"/>
      <c r="G5" s="2938"/>
      <c r="H5" s="2938"/>
      <c r="I5" s="2938"/>
      <c r="J5" s="2938"/>
    </row>
    <row r="6" spans="1:10" ht="16.5">
      <c r="A6" s="2928" t="s">
        <v>2126</v>
      </c>
      <c r="B6" s="2928">
        <f ca="1">SUM(G14:G23)</f>
        <v>91975</v>
      </c>
      <c r="C6" s="2928">
        <f ca="1">ROUND(B6*10000/$B$1,0)</f>
        <v>9822</v>
      </c>
      <c r="D6" s="2928">
        <f ca="1">ROUND(B6*10000/$B$2,0)</f>
        <v>97343</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93643.760000000009</v>
      </c>
      <c r="C14" s="2934">
        <f>结果表!K38</f>
        <v>9448.5499999999993</v>
      </c>
      <c r="D14" s="2934">
        <f ca="1">结果表!O38</f>
        <v>91975</v>
      </c>
      <c r="E14" s="2934">
        <f ca="1">ROUND(D14*10000/B14,0)</f>
        <v>9822</v>
      </c>
      <c r="F14" s="2934">
        <f ca="1">ROUND(D14*10000/C14,0)</f>
        <v>97343</v>
      </c>
      <c r="G14" s="2934">
        <f ca="1">D14</f>
        <v>91975</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5" zoomScale="90" zoomScaleNormal="100" zoomScaleSheetLayoutView="90" zoomScalePageLayoutView="80" workbookViewId="0">
      <selection activeCell="R42" sqref="R42"/>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5" t="str">
        <f>项目基本情况!K2</f>
        <v>北京市出让国有建设用地使用权</v>
      </c>
      <c r="B2" s="3816"/>
      <c r="C2" s="3817"/>
      <c r="D2" s="3817"/>
      <c r="E2" s="3817"/>
      <c r="F2" s="3817"/>
      <c r="G2" s="3816"/>
      <c r="H2" s="3816"/>
      <c r="I2" s="3818"/>
      <c r="J2" s="1753"/>
      <c r="K2" s="1752"/>
      <c r="L2" s="1752"/>
      <c r="M2" s="1752"/>
      <c r="N2" s="1752"/>
      <c r="O2" s="1752"/>
      <c r="P2" s="1752"/>
      <c r="Q2" s="1752"/>
      <c r="R2" s="1752"/>
      <c r="S2" s="1752"/>
      <c r="T2" s="1752"/>
      <c r="U2" s="1752"/>
      <c r="V2" s="1752"/>
    </row>
    <row r="3" spans="1:22" ht="14.25">
      <c r="A3" s="3826" t="s">
        <v>264</v>
      </c>
      <c r="B3" s="3827"/>
      <c r="C3" s="3827"/>
      <c r="D3" s="3827"/>
      <c r="E3" s="3827"/>
      <c r="F3" s="3827"/>
      <c r="G3" s="3827"/>
      <c r="H3" s="3827"/>
      <c r="I3" s="3827"/>
      <c r="J3" s="1753"/>
      <c r="K3" s="1752"/>
      <c r="L3" s="1752"/>
      <c r="M3" s="1752"/>
      <c r="N3" s="1752"/>
      <c r="O3" s="1752"/>
      <c r="P3" s="1752"/>
      <c r="Q3" s="1752"/>
      <c r="R3" s="1752"/>
      <c r="S3" s="1752"/>
      <c r="T3" s="1752"/>
      <c r="U3" s="1752"/>
      <c r="V3" s="1752"/>
    </row>
    <row r="4" spans="1:22" ht="14.25">
      <c r="A4" s="249" t="s">
        <v>265</v>
      </c>
      <c r="B4" s="250" t="s">
        <v>266</v>
      </c>
      <c r="C4" s="251" t="s">
        <v>3337</v>
      </c>
      <c r="D4" s="251" t="s">
        <v>3338</v>
      </c>
      <c r="E4" s="3790" t="s">
        <v>267</v>
      </c>
      <c r="F4" s="3832"/>
      <c r="G4" s="3832"/>
      <c r="H4" s="3832"/>
      <c r="I4" s="3791"/>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9" t="s">
        <v>268</v>
      </c>
      <c r="B5" s="3820">
        <v>25</v>
      </c>
      <c r="C5" s="3828"/>
      <c r="D5" s="3831"/>
      <c r="E5" s="252" t="s">
        <v>269</v>
      </c>
      <c r="F5" s="253"/>
      <c r="G5" s="253"/>
      <c r="H5" s="253"/>
      <c r="I5" s="254"/>
      <c r="J5" s="1753"/>
      <c r="K5" s="1752"/>
      <c r="L5" s="1752"/>
      <c r="M5" s="1752"/>
      <c r="N5" s="1752"/>
      <c r="O5" s="1752"/>
      <c r="P5" s="1752"/>
      <c r="Q5" s="1752"/>
      <c r="R5" s="1752"/>
      <c r="S5" s="1752"/>
      <c r="T5" s="1752"/>
      <c r="U5" s="1752"/>
      <c r="V5" s="1752"/>
    </row>
    <row r="6" spans="1:22" ht="14.25">
      <c r="A6" s="3819"/>
      <c r="B6" s="3820"/>
      <c r="C6" s="3829"/>
      <c r="D6" s="3831"/>
      <c r="E6" s="252" t="s">
        <v>270</v>
      </c>
      <c r="F6" s="253"/>
      <c r="G6" s="253"/>
      <c r="H6" s="253"/>
      <c r="I6" s="254"/>
      <c r="J6" s="1753"/>
      <c r="K6" s="1752"/>
      <c r="L6" s="1752"/>
      <c r="M6" s="1752"/>
      <c r="N6" s="1752"/>
      <c r="O6" s="1752"/>
      <c r="P6" s="1752"/>
      <c r="Q6" s="1752"/>
      <c r="R6" s="1752"/>
      <c r="S6" s="1752"/>
      <c r="T6" s="1752"/>
      <c r="U6" s="1752"/>
      <c r="V6" s="1752"/>
    </row>
    <row r="7" spans="1:22" ht="14.25">
      <c r="A7" s="3819"/>
      <c r="B7" s="3820"/>
      <c r="C7" s="3830"/>
      <c r="D7" s="3831"/>
      <c r="E7" s="252" t="s">
        <v>271</v>
      </c>
      <c r="F7" s="253"/>
      <c r="G7" s="253"/>
      <c r="H7" s="253"/>
      <c r="I7" s="254"/>
      <c r="J7" s="1753"/>
      <c r="K7" s="1752"/>
      <c r="L7" s="1752"/>
      <c r="M7" s="1752"/>
      <c r="N7" s="1752"/>
      <c r="O7" s="1752"/>
      <c r="P7" s="1752"/>
      <c r="Q7" s="1752"/>
      <c r="R7" s="1752"/>
      <c r="S7" s="1752"/>
      <c r="T7" s="1752"/>
      <c r="U7" s="1752"/>
      <c r="V7" s="1752"/>
    </row>
    <row r="8" spans="1:22" ht="14.25">
      <c r="A8" s="3819" t="s">
        <v>272</v>
      </c>
      <c r="B8" s="3820">
        <v>15</v>
      </c>
      <c r="C8" s="3828"/>
      <c r="D8" s="3831"/>
      <c r="E8" s="252" t="s">
        <v>273</v>
      </c>
      <c r="F8" s="253"/>
      <c r="G8" s="253"/>
      <c r="H8" s="253"/>
      <c r="I8" s="254"/>
      <c r="J8" s="1753"/>
      <c r="K8" s="1752"/>
      <c r="L8" s="1752"/>
      <c r="M8" s="1752"/>
      <c r="N8" s="1752"/>
      <c r="O8" s="1752"/>
      <c r="P8" s="1752"/>
      <c r="Q8" s="1752"/>
      <c r="R8" s="1752"/>
      <c r="S8" s="1752"/>
      <c r="T8" s="1752"/>
      <c r="U8" s="1752"/>
      <c r="V8" s="1752"/>
    </row>
    <row r="9" spans="1:22" ht="14.25">
      <c r="A9" s="3819"/>
      <c r="B9" s="3820"/>
      <c r="C9" s="3830"/>
      <c r="D9" s="3831"/>
      <c r="E9" s="252" t="s">
        <v>274</v>
      </c>
      <c r="F9" s="253"/>
      <c r="G9" s="253"/>
      <c r="H9" s="253"/>
      <c r="I9" s="254"/>
      <c r="J9" s="1753"/>
      <c r="K9" s="1752"/>
      <c r="L9" s="1752"/>
      <c r="M9" s="1752"/>
      <c r="N9" s="1752"/>
      <c r="O9" s="1752"/>
      <c r="P9" s="1752"/>
      <c r="Q9" s="1752"/>
      <c r="R9" s="1752"/>
      <c r="S9" s="1752"/>
      <c r="T9" s="1752"/>
      <c r="U9" s="1752"/>
      <c r="V9" s="1752"/>
    </row>
    <row r="10" spans="1:22" ht="14.25">
      <c r="A10" s="3819" t="s">
        <v>275</v>
      </c>
      <c r="B10" s="3820">
        <v>15</v>
      </c>
      <c r="C10" s="3828"/>
      <c r="D10" s="383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9"/>
      <c r="B11" s="3820"/>
      <c r="C11" s="3830"/>
      <c r="D11" s="383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9" t="s">
        <v>278</v>
      </c>
      <c r="B12" s="3820">
        <v>15</v>
      </c>
      <c r="C12" s="3828"/>
      <c r="D12" s="383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9"/>
      <c r="B13" s="3820"/>
      <c r="C13" s="3830"/>
      <c r="D13" s="383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9" t="s">
        <v>281</v>
      </c>
      <c r="B14" s="3820">
        <v>30</v>
      </c>
      <c r="C14" s="3828">
        <v>5</v>
      </c>
      <c r="D14" s="3831">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9"/>
      <c r="B15" s="3820"/>
      <c r="C15" s="3829"/>
      <c r="D15" s="383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9"/>
      <c r="B16" s="3820"/>
      <c r="C16" s="3830"/>
      <c r="D16" s="383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33" t="s">
        <v>2253</v>
      </c>
      <c r="F18" s="3834"/>
      <c r="G18" s="3834"/>
      <c r="H18" s="3834"/>
      <c r="I18" s="383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111407</v>
      </c>
      <c r="D19" s="262">
        <f ca="1">SUMIF(INDIRECT("'"&amp;D4&amp;"'"&amp;"!A:A"),结果表!B19,INDIRECT("'"&amp;D4&amp;"'"&amp;"!B:B"))</f>
        <v>72543</v>
      </c>
      <c r="E19" s="259" t="s">
        <v>289</v>
      </c>
      <c r="F19" s="260" t="s">
        <v>288</v>
      </c>
      <c r="G19" s="263">
        <f ca="1">ROUND(C19*$C$18+D19*$D$18,0)</f>
        <v>91975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11897</v>
      </c>
      <c r="D20" s="268">
        <f ca="1">SUMIF(INDIRECT("'"&amp;D4&amp;"'"&amp;"!A:A"),结果表!B20,INDIRECT("'"&amp;D4&amp;"'"&amp;"!B:B"))</f>
        <v>7747</v>
      </c>
      <c r="E20" s="265"/>
      <c r="F20" s="266" t="s">
        <v>291</v>
      </c>
      <c r="G20" s="269">
        <f ca="1">ROUND(C20*$C$18+D20*$D$18,0)</f>
        <v>9822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117909</v>
      </c>
      <c r="D21" s="144">
        <f ca="1">SUMIF(INDIRECT("'"&amp;D4&amp;"'"&amp;"!A:A"),结果表!B21,INDIRECT("'"&amp;D4&amp;"'"&amp;"!B:B"))</f>
        <v>76777</v>
      </c>
      <c r="E21" s="265"/>
      <c r="F21" s="271" t="s">
        <v>293</v>
      </c>
      <c r="G21" s="273">
        <f ca="1">ROUND(C21*$C$18+D21*$D$18,0)</f>
        <v>97343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0.53573742469983321</v>
      </c>
      <c r="E22" s="275"/>
      <c r="F22" s="276"/>
      <c r="G22" s="277">
        <f ca="1">ROUND(G19/('数据-汇总表'!D3/666.67),0)</f>
        <v>6490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9"/>
      <c r="B25" s="1190" t="s">
        <v>297</v>
      </c>
      <c r="C25" s="281">
        <f>IF(B30=0,0,C30)</f>
        <v>0</v>
      </c>
      <c r="D25" s="282"/>
      <c r="E25" s="302"/>
      <c r="F25" s="302"/>
      <c r="G25" s="302"/>
      <c r="H25" s="302"/>
      <c r="I25" s="302"/>
      <c r="J25" s="1752"/>
      <c r="K25" s="1124" t="str">
        <f ca="1">项目基本情况!A17&amp;"国有建设用地使用权价格："&amp;O38&amp;"万元"</f>
        <v>出让国有建设用地使用权价格：91975万元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大写金额：人民币玖亿壹仟玖佰柒拾伍万元整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单位面积地价：97343元/平方米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楼面地价：9822元/平方米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抵押价格：91975万元</v>
      </c>
      <c r="L29" s="1121"/>
      <c r="M29" s="1121"/>
      <c r="N29" s="1121"/>
      <c r="O29" s="1120"/>
      <c r="P29" s="1752"/>
      <c r="V29" s="1752"/>
    </row>
    <row r="30" spans="1:26" ht="18.75" thickBot="1">
      <c r="A30" s="2555" t="s">
        <v>302</v>
      </c>
      <c r="B30" s="300"/>
      <c r="C30" s="300"/>
      <c r="D30" s="301"/>
      <c r="E30" s="2746" t="s">
        <v>2254</v>
      </c>
      <c r="F30" s="302"/>
      <c r="G30" s="302"/>
      <c r="H30" s="302"/>
      <c r="I30" s="302"/>
      <c r="J30" s="1752"/>
      <c r="K30" s="1127" t="str">
        <f ca="1">IF(K29="——","——","大写金额：人民币"&amp;NUMBERSTRING(INT(O39*10000),2)&amp;"元整")</f>
        <v>大写金额：人民币玖亿壹仟玖佰柒拾伍万元整</v>
      </c>
      <c r="L30" s="1121"/>
      <c r="M30" s="1121"/>
      <c r="N30" s="1121"/>
      <c r="O30" s="1120"/>
      <c r="P30" s="1752"/>
      <c r="V30" s="1752"/>
    </row>
    <row r="31" spans="1:26" ht="24" customHeight="1" thickBot="1">
      <c r="A31" s="3835" t="s">
        <v>2255</v>
      </c>
      <c r="B31" s="3835"/>
      <c r="C31" s="3835"/>
      <c r="D31" s="3835"/>
      <c r="E31" s="3835"/>
      <c r="F31" s="3835"/>
      <c r="G31" s="3835"/>
      <c r="H31" s="3835"/>
      <c r="I31" s="3835"/>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91975</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9822</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97343</v>
      </c>
      <c r="D34" s="1242" t="s">
        <v>1224</v>
      </c>
      <c r="E34" s="379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6490</v>
      </c>
      <c r="D35" s="1245" t="s">
        <v>1226</v>
      </c>
      <c r="E35" s="3794"/>
      <c r="F35" s="292" t="s">
        <v>308</v>
      </c>
      <c r="G35" s="944"/>
      <c r="H35" s="943" t="s">
        <v>309</v>
      </c>
      <c r="I35" s="302"/>
      <c r="J35" s="1752"/>
      <c r="K35" s="3798" t="s">
        <v>316</v>
      </c>
      <c r="L35" s="3798" t="s">
        <v>317</v>
      </c>
      <c r="M35" s="1133" t="s">
        <v>318</v>
      </c>
      <c r="N35" s="3798" t="s">
        <v>319</v>
      </c>
      <c r="O35" s="3798" t="s">
        <v>320</v>
      </c>
      <c r="P35" s="1752"/>
      <c r="V35" s="1752"/>
    </row>
    <row r="36" spans="1:26" ht="16.5" customHeight="1">
      <c r="A36" s="294" t="s">
        <v>310</v>
      </c>
      <c r="B36" s="295" t="s">
        <v>299</v>
      </c>
      <c r="C36" s="296" t="s">
        <v>311</v>
      </c>
      <c r="D36" s="296" t="s">
        <v>312</v>
      </c>
      <c r="E36" s="297" t="s">
        <v>313</v>
      </c>
      <c r="F36" s="302"/>
      <c r="G36" s="302"/>
      <c r="H36" s="302"/>
      <c r="I36" s="302"/>
      <c r="J36" s="1754"/>
      <c r="K36" s="3799"/>
      <c r="L36" s="3799"/>
      <c r="M36" s="1135" t="s">
        <v>321</v>
      </c>
      <c r="N36" s="3799"/>
      <c r="O36" s="3799"/>
      <c r="P36" s="1752"/>
      <c r="V36" s="1752"/>
    </row>
    <row r="37" spans="1:26" ht="16.5" customHeight="1" thickBot="1">
      <c r="A37" s="1129" t="s">
        <v>314</v>
      </c>
      <c r="B37" s="298"/>
      <c r="C37" s="285"/>
      <c r="D37" s="285"/>
      <c r="E37" s="286"/>
      <c r="F37" s="302"/>
      <c r="G37" s="302"/>
      <c r="H37" s="302"/>
      <c r="I37" s="302"/>
      <c r="J37" s="1754"/>
      <c r="K37" s="3800"/>
      <c r="L37" s="3800"/>
      <c r="M37" s="1136"/>
      <c r="N37" s="3800"/>
      <c r="O37" s="3800"/>
      <c r="P37" s="1752"/>
      <c r="V37" s="1752"/>
    </row>
    <row r="38" spans="1:26" ht="16.5" customHeight="1" thickBot="1">
      <c r="A38" s="1129" t="s">
        <v>315</v>
      </c>
      <c r="B38" s="298"/>
      <c r="C38" s="285"/>
      <c r="D38" s="285"/>
      <c r="E38" s="286"/>
      <c r="F38" s="302"/>
      <c r="G38" s="302"/>
      <c r="H38" s="302"/>
      <c r="I38" s="302"/>
      <c r="J38" s="1754"/>
      <c r="K38" s="1137">
        <f>'数据-汇总表'!D3</f>
        <v>9448.5499999999993</v>
      </c>
      <c r="L38" s="1138">
        <f>'数据-汇总表'!E3</f>
        <v>93643.760000000009</v>
      </c>
      <c r="M38" s="1138">
        <f ca="1">C34</f>
        <v>97343</v>
      </c>
      <c r="N38" s="1138">
        <f ca="1">C33</f>
        <v>9822</v>
      </c>
      <c r="O38" s="1139">
        <f ca="1">C32</f>
        <v>91975</v>
      </c>
      <c r="P38" s="1752"/>
      <c r="V38" s="1752"/>
    </row>
    <row r="39" spans="1:26" ht="16.5" customHeight="1" thickBot="1">
      <c r="A39" s="1134"/>
      <c r="B39" s="299"/>
      <c r="C39" s="300"/>
      <c r="D39" s="300"/>
      <c r="E39" s="301"/>
      <c r="F39" s="302"/>
      <c r="G39" s="302"/>
      <c r="H39" s="302"/>
      <c r="I39" s="302"/>
      <c r="J39" s="1754"/>
      <c r="K39" s="3811" t="str">
        <f>MID(A44,3,LEN(A44)-2)</f>
        <v>抵押价格</v>
      </c>
      <c r="L39" s="3812"/>
      <c r="M39" s="3812"/>
      <c r="N39" s="3813"/>
      <c r="O39" s="1247">
        <f ca="1">C44</f>
        <v>91975</v>
      </c>
      <c r="P39" s="1752"/>
      <c r="V39" s="1752"/>
    </row>
    <row r="40" spans="1:26" ht="19.5" thickBot="1">
      <c r="A40" s="100" t="s">
        <v>810</v>
      </c>
      <c r="B40" s="302"/>
      <c r="C40" s="302"/>
      <c r="D40" s="302"/>
      <c r="E40" s="302"/>
      <c r="F40" s="302"/>
      <c r="G40" s="302"/>
      <c r="H40" s="302"/>
      <c r="I40" s="302"/>
      <c r="J40" s="1754"/>
      <c r="K40" s="3811" t="str">
        <f>MID(A45,3,LEN(A45)-2)</f>
        <v/>
      </c>
      <c r="L40" s="3812"/>
      <c r="M40" s="3812"/>
      <c r="N40" s="381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1" t="str">
        <f>MID(A46,3,LEN(A46)-2)</f>
        <v/>
      </c>
      <c r="L41" s="3812"/>
      <c r="M41" s="3812"/>
      <c r="N41" s="3813"/>
      <c r="O41" s="1247" t="str">
        <f>C46</f>
        <v>——</v>
      </c>
      <c r="P41" s="1752"/>
      <c r="V41" s="1752"/>
    </row>
    <row r="42" spans="1:26" ht="29.25">
      <c r="A42" s="3840" t="s">
        <v>1585</v>
      </c>
      <c r="B42" s="3841"/>
      <c r="C42" s="255">
        <f ca="1">C32</f>
        <v>91975</v>
      </c>
      <c r="D42" s="308">
        <f ca="1">C33</f>
        <v>9822</v>
      </c>
      <c r="E42" s="308">
        <f ca="1">C34</f>
        <v>97343</v>
      </c>
      <c r="F42" s="309">
        <f ca="1">C35</f>
        <v>6490</v>
      </c>
      <c r="G42" s="302"/>
      <c r="H42" s="302"/>
      <c r="I42" s="310"/>
      <c r="J42" s="1754"/>
      <c r="K42" s="1140" t="s">
        <v>327</v>
      </c>
      <c r="L42" s="1771" t="s">
        <v>328</v>
      </c>
      <c r="M42" s="1141" t="s">
        <v>329</v>
      </c>
      <c r="N42" s="1772" t="s">
        <v>330</v>
      </c>
      <c r="O42" s="1773" t="s">
        <v>331</v>
      </c>
      <c r="P42" s="1752"/>
      <c r="V42" s="1752"/>
    </row>
    <row r="43" spans="1:26" ht="30">
      <c r="A43" s="3850" t="s">
        <v>2012</v>
      </c>
      <c r="B43" s="3851"/>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111407</v>
      </c>
      <c r="M43" s="1144">
        <f>C18</f>
        <v>0.5</v>
      </c>
      <c r="N43" s="1145">
        <f ca="1">IF(N42="测算结果/万元",G19,G20)</f>
        <v>91975</v>
      </c>
      <c r="O43" s="1146">
        <f ca="1">IF(O42="最终结果/万元",C32,C33)</f>
        <v>91975</v>
      </c>
      <c r="P43" s="1752"/>
      <c r="V43" s="1752"/>
    </row>
    <row r="44" spans="1:26" ht="30.75" thickBot="1">
      <c r="A44" s="3840" t="str">
        <f>IF(OR(项目基本情况!E8="抵押价格",项目基本情况!E8="已注销及未注销"),"3.抵押价格","——")</f>
        <v>3.抵押价格</v>
      </c>
      <c r="B44" s="3841"/>
      <c r="C44" s="255">
        <f ca="1">IF(A44="——","——",C42-C43)</f>
        <v>91975</v>
      </c>
      <c r="D44" s="308">
        <f ca="1">ROUND(C44*10000/'数据-汇总表'!E3,0)</f>
        <v>9822</v>
      </c>
      <c r="E44" s="308">
        <f ca="1">ROUND(C44*10000/'数据-汇总表'!D3,0)</f>
        <v>97343</v>
      </c>
      <c r="F44" s="309">
        <f ca="1">ROUND(C44/('数据-汇总表'!D3/666.67),0)</f>
        <v>6490</v>
      </c>
      <c r="G44" s="302"/>
      <c r="H44" s="302"/>
      <c r="I44" s="310"/>
      <c r="J44" s="1754"/>
      <c r="K44" s="1147" t="str">
        <f>D4</f>
        <v>剩余法-待开发</v>
      </c>
      <c r="L44" s="1148">
        <f ca="1">IF(L42="估价结果/万元",D19,D20)</f>
        <v>72543</v>
      </c>
      <c r="M44" s="1149">
        <f>D18</f>
        <v>0.5</v>
      </c>
      <c r="N44" s="1150"/>
      <c r="O44" s="1151"/>
      <c r="P44" s="1752"/>
      <c r="V44" s="1752"/>
    </row>
    <row r="45" spans="1:26" ht="15">
      <c r="A45" s="3845" t="str">
        <f>IF(项目基本情况!E8="已注销及未注销","4.抵押担保权已注销时的抵押价格",IF(项目基本情况!E8="已注销","3.抵押担保权已注销时的抵押价格","——"))</f>
        <v>——</v>
      </c>
      <c r="B45" s="384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42" t="str">
        <f>IF(项目基本情况!E9="抵押净值",IF(A45="——","4.抵押净值","5.抵押净值"),"——")</f>
        <v>——</v>
      </c>
      <c r="B46" s="384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3" t="s">
        <v>340</v>
      </c>
      <c r="B63" s="3804"/>
      <c r="C63" s="3805"/>
      <c r="D63" s="332">
        <f ca="1">ROUND(C42*F63,0)</f>
        <v>91975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7" t="s">
        <v>344</v>
      </c>
      <c r="B64" s="3848"/>
      <c r="C64" s="3848"/>
      <c r="D64" s="3848"/>
      <c r="E64" s="3848"/>
      <c r="F64" s="3848"/>
      <c r="G64" s="384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4" t="s">
        <v>352</v>
      </c>
      <c r="B66" s="3810"/>
      <c r="C66" s="381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71" t="s">
        <v>351</v>
      </c>
      <c r="M66" s="3772"/>
      <c r="N66" s="2110"/>
      <c r="O66" s="2111"/>
      <c r="P66" s="2112"/>
      <c r="Q66" s="1752"/>
      <c r="R66" s="1752"/>
      <c r="S66" s="1752"/>
      <c r="T66" s="1752"/>
      <c r="U66" s="1752"/>
      <c r="V66" s="1752"/>
    </row>
    <row r="67" spans="1:22" ht="25.5" customHeight="1">
      <c r="A67" s="343" t="s">
        <v>355</v>
      </c>
      <c r="B67" s="3822" t="s">
        <v>356</v>
      </c>
      <c r="C67" s="3822"/>
      <c r="D67" s="344">
        <v>0</v>
      </c>
      <c r="E67" s="39" t="s">
        <v>357</v>
      </c>
      <c r="F67" s="60" t="s">
        <v>15</v>
      </c>
      <c r="G67" s="3806"/>
      <c r="H67" s="2749" t="s">
        <v>2256</v>
      </c>
      <c r="I67" s="2751"/>
      <c r="J67" s="1759"/>
      <c r="K67" s="1731">
        <v>2</v>
      </c>
      <c r="L67" s="3776" t="s">
        <v>354</v>
      </c>
      <c r="M67" s="3776"/>
      <c r="N67" s="1194">
        <f>'数据-取费表'!B2</f>
        <v>45028</v>
      </c>
      <c r="O67" s="1194"/>
      <c r="P67" s="1194"/>
      <c r="Q67" s="1752"/>
      <c r="R67" s="1752"/>
      <c r="S67" s="1752"/>
      <c r="T67" s="1752"/>
      <c r="U67" s="1752"/>
      <c r="V67" s="1752"/>
    </row>
    <row r="68" spans="1:22" ht="25.5" customHeight="1">
      <c r="A68" s="345"/>
      <c r="B68" s="3822" t="s">
        <v>359</v>
      </c>
      <c r="C68" s="3822"/>
      <c r="D68" s="346"/>
      <c r="E68" s="75"/>
      <c r="F68" s="347"/>
      <c r="G68" s="3807"/>
      <c r="H68" s="2750" t="s">
        <v>2257</v>
      </c>
      <c r="I68" s="2751"/>
      <c r="J68" s="1759"/>
      <c r="K68" s="1731">
        <v>3</v>
      </c>
      <c r="L68" s="3776" t="s">
        <v>358</v>
      </c>
      <c r="M68" s="3776"/>
      <c r="N68" s="1162">
        <f ca="1">C42</f>
        <v>91975</v>
      </c>
      <c r="O68" s="1162"/>
      <c r="P68" s="1162"/>
      <c r="Q68" s="1752"/>
      <c r="R68" s="1752"/>
      <c r="S68" s="1752"/>
      <c r="T68" s="1752"/>
      <c r="U68" s="1752"/>
      <c r="V68" s="1752"/>
    </row>
    <row r="69" spans="1:22" ht="23.45" customHeight="1">
      <c r="A69" s="348"/>
      <c r="B69" s="3822" t="s">
        <v>360</v>
      </c>
      <c r="C69" s="3822"/>
      <c r="D69" s="349"/>
      <c r="E69" s="71"/>
      <c r="F69" s="347"/>
      <c r="G69" s="3808"/>
      <c r="H69" s="2750" t="s">
        <v>2258</v>
      </c>
      <c r="I69" s="2751"/>
      <c r="J69" s="1759"/>
      <c r="K69" s="1163">
        <v>4</v>
      </c>
      <c r="L69" s="3777" t="s">
        <v>2157</v>
      </c>
      <c r="M69" s="3778"/>
      <c r="N69" s="1164">
        <f ca="1">C44</f>
        <v>91975</v>
      </c>
      <c r="O69" s="1164"/>
      <c r="P69" s="1164"/>
      <c r="Q69" s="1752"/>
      <c r="R69" s="1752"/>
      <c r="S69" s="1752"/>
      <c r="T69" s="1752"/>
      <c r="U69" s="1752"/>
      <c r="V69" s="1752"/>
    </row>
    <row r="70" spans="1:22" ht="24" customHeight="1">
      <c r="A70" s="350" t="s">
        <v>361</v>
      </c>
      <c r="B70" s="3822" t="s">
        <v>362</v>
      </c>
      <c r="C70" s="3822"/>
      <c r="D70" s="349">
        <f ca="1">ROUND(D63*'数据-取费表'!B41/(1+'数据-取费表'!C42),0)</f>
        <v>4818</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1" t="s">
        <v>2285</v>
      </c>
      <c r="C71" s="3838"/>
      <c r="D71" s="349">
        <f ca="1">ROUND(D63*'数据-取费表'!B41/(1+'数据-取费表'!C42),0)</f>
        <v>4818</v>
      </c>
      <c r="E71" s="15" t="s">
        <v>363</v>
      </c>
      <c r="F71" s="351">
        <f>'数据-取费表'!B41</f>
        <v>5.5000000000000007E-2</v>
      </c>
      <c r="G71" s="352"/>
      <c r="H71" s="302"/>
      <c r="I71" s="1161"/>
      <c r="J71" s="1759"/>
      <c r="K71" s="2521" t="s">
        <v>364</v>
      </c>
      <c r="L71" s="3779" t="s">
        <v>365</v>
      </c>
      <c r="M71" s="3779"/>
      <c r="N71" s="2521" t="s">
        <v>366</v>
      </c>
      <c r="O71" s="2521" t="s">
        <v>367</v>
      </c>
      <c r="P71" s="2521" t="s">
        <v>368</v>
      </c>
      <c r="Q71" s="1752"/>
      <c r="R71" s="1752"/>
      <c r="S71" s="1752"/>
      <c r="T71" s="1752"/>
      <c r="U71" s="1752"/>
      <c r="V71" s="1752"/>
    </row>
    <row r="72" spans="1:22" ht="12" customHeight="1">
      <c r="A72" s="350" t="s">
        <v>371</v>
      </c>
      <c r="B72" s="3821" t="s">
        <v>2286</v>
      </c>
      <c r="C72" s="3838"/>
      <c r="D72" s="349">
        <f ca="1">C86</f>
        <v>4818</v>
      </c>
      <c r="E72" s="71" t="s">
        <v>372</v>
      </c>
      <c r="F72" s="351">
        <f>'数据-取费表'!B41</f>
        <v>5.5000000000000007E-2</v>
      </c>
      <c r="G72" s="352"/>
      <c r="H72" s="1167"/>
      <c r="I72" s="1161"/>
      <c r="J72" s="1759"/>
      <c r="K72" s="1731">
        <v>1</v>
      </c>
      <c r="L72" s="3775" t="s">
        <v>370</v>
      </c>
      <c r="M72" s="3775"/>
      <c r="N72" s="1165" t="b">
        <f>D66</f>
        <v>0</v>
      </c>
      <c r="O72" s="1636" t="str">
        <f>E66</f>
        <v>销售额×税（费）率</v>
      </c>
      <c r="P72" s="1166">
        <f>F66</f>
        <v>5.5000000000000007E-2</v>
      </c>
      <c r="Q72" s="1752"/>
      <c r="R72" s="1752"/>
      <c r="S72" s="1752"/>
      <c r="T72" s="1752"/>
      <c r="U72" s="1752"/>
      <c r="V72" s="1752"/>
    </row>
    <row r="73" spans="1:22" ht="24" customHeight="1">
      <c r="A73" s="3809" t="s">
        <v>374</v>
      </c>
      <c r="B73" s="3810"/>
      <c r="C73" s="3810"/>
      <c r="D73" s="353">
        <f ca="1">IF(H73="个人住宅",0,ROUND(D63*I73,0))</f>
        <v>46</v>
      </c>
      <c r="E73" s="15" t="s">
        <v>375</v>
      </c>
      <c r="F73" s="351" t="str">
        <f>IF(H73="正常",I73,"免征")</f>
        <v>免征</v>
      </c>
      <c r="G73" s="352"/>
      <c r="H73" s="184"/>
      <c r="I73" s="351">
        <f>'数据-取费表'!B49</f>
        <v>5.0000000000000001E-4</v>
      </c>
      <c r="J73" s="1759"/>
      <c r="K73" s="1731">
        <v>2</v>
      </c>
      <c r="L73" s="3775" t="s">
        <v>373</v>
      </c>
      <c r="M73" s="3775"/>
      <c r="N73" s="1165">
        <f t="shared" ref="N73:P74" ca="1" si="0">D73</f>
        <v>46</v>
      </c>
      <c r="O73" s="1636" t="str">
        <f t="shared" si="0"/>
        <v>销售额×税（费）率</v>
      </c>
      <c r="P73" s="1166" t="str">
        <f t="shared" si="0"/>
        <v>免征</v>
      </c>
      <c r="Q73" s="1752"/>
      <c r="R73" s="1752"/>
      <c r="S73" s="1752"/>
      <c r="T73" s="1752"/>
      <c r="U73" s="1752"/>
      <c r="V73" s="1752"/>
    </row>
    <row r="74" spans="1:22" ht="24.75">
      <c r="A74" s="3809" t="s">
        <v>377</v>
      </c>
      <c r="B74" s="3810"/>
      <c r="C74" s="3810"/>
      <c r="D74" s="353">
        <f ca="1">IF(H74="个人住宅",D75,D76)</f>
        <v>52141</v>
      </c>
      <c r="E74" s="15" t="s">
        <v>378</v>
      </c>
      <c r="F74" s="351" t="str">
        <f>IF(H74="正常",F76,"免征")</f>
        <v>免征</v>
      </c>
      <c r="G74" s="945" t="s">
        <v>379</v>
      </c>
      <c r="H74" s="354"/>
      <c r="I74" s="40"/>
      <c r="J74" s="1759"/>
      <c r="K74" s="1731">
        <v>3</v>
      </c>
      <c r="L74" s="3775" t="s">
        <v>376</v>
      </c>
      <c r="M74" s="3775"/>
      <c r="N74" s="1165">
        <f t="shared" ca="1" si="0"/>
        <v>52141</v>
      </c>
      <c r="O74" s="1636" t="str">
        <f t="shared" si="0"/>
        <v>增值额×税（费）率</v>
      </c>
      <c r="P74" s="1168" t="str">
        <f t="shared" si="0"/>
        <v>免征</v>
      </c>
      <c r="Q74" s="1752"/>
      <c r="R74" s="1752"/>
      <c r="S74" s="1752"/>
      <c r="T74" s="1752"/>
      <c r="U74" s="1752"/>
      <c r="V74" s="1752"/>
    </row>
    <row r="75" spans="1:22" ht="12.75">
      <c r="A75" s="350" t="s">
        <v>380</v>
      </c>
      <c r="B75" s="3790" t="s">
        <v>381</v>
      </c>
      <c r="C75" s="3791"/>
      <c r="D75" s="355">
        <v>0</v>
      </c>
      <c r="E75" s="39" t="s">
        <v>382</v>
      </c>
      <c r="F75" s="356"/>
      <c r="G75" s="352"/>
      <c r="H75" s="40"/>
      <c r="I75" s="40"/>
      <c r="J75" s="1759"/>
      <c r="K75" s="2515">
        <f>IF(H77="非个人房产","",4)</f>
        <v>4</v>
      </c>
      <c r="L75" s="3775" t="str">
        <f>IF(H77="非个人房产","——","个人所得税")</f>
        <v>个人所得税</v>
      </c>
      <c r="M75" s="3775"/>
      <c r="N75" s="1169">
        <f>D77</f>
        <v>0</v>
      </c>
      <c r="O75" s="1637" t="str">
        <f>E77</f>
        <v>差额计税</v>
      </c>
      <c r="P75" s="1170">
        <f>F77</f>
        <v>0.01</v>
      </c>
      <c r="Q75" s="1752"/>
      <c r="R75" s="1752"/>
      <c r="S75" s="1752"/>
      <c r="T75" s="1752"/>
      <c r="U75" s="1752"/>
      <c r="V75" s="1752"/>
    </row>
    <row r="76" spans="1:22" ht="24.75">
      <c r="A76" s="350" t="s">
        <v>361</v>
      </c>
      <c r="B76" s="3790" t="s">
        <v>384</v>
      </c>
      <c r="C76" s="3832"/>
      <c r="D76" s="353">
        <f ca="1">IF(H76="转让取得",C99,C115)</f>
        <v>52141</v>
      </c>
      <c r="E76" s="15" t="s">
        <v>385</v>
      </c>
      <c r="F76" s="51" t="s">
        <v>15</v>
      </c>
      <c r="G76" s="352"/>
      <c r="H76" s="354"/>
      <c r="I76" s="40"/>
      <c r="J76" s="1759"/>
      <c r="K76" s="2515" t="str">
        <f>IF(项目基本情况!K6="上海银行",IF(K75="",4,K75+1),"")</f>
        <v/>
      </c>
      <c r="L76" s="3786" t="str">
        <f>IF(项目基本情况!K6="上海银行","其他处置费用","")</f>
        <v/>
      </c>
      <c r="M76" s="3787"/>
      <c r="N76" s="1165" t="str">
        <f>IF(项目基本情况!K6="上海银行",N89,"")</f>
        <v/>
      </c>
      <c r="O76" s="3788" t="str">
        <f>IF(项目基本情况!K6="上海银行","包含处置中涉及的律师、诉讼、拍卖、评估等费用","")</f>
        <v/>
      </c>
      <c r="P76" s="3789"/>
      <c r="Q76" s="1752"/>
      <c r="R76" s="1752"/>
      <c r="S76" s="1752"/>
      <c r="T76" s="1752"/>
      <c r="U76" s="1752"/>
      <c r="V76" s="1752"/>
    </row>
    <row r="77" spans="1:22" ht="24.75" thickBot="1">
      <c r="A77" s="3801" t="s">
        <v>387</v>
      </c>
      <c r="B77" s="3802"/>
      <c r="C77" s="380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797">
        <f>IF(AND(K75="",K76=""),4,IF(项目基本情况!K6="上海银行",K76+1,K75+1))</f>
        <v>5</v>
      </c>
      <c r="L77" s="3775" t="s">
        <v>2158</v>
      </c>
      <c r="M77" s="2520" t="s">
        <v>383</v>
      </c>
      <c r="N77" s="1171"/>
      <c r="O77" s="1172">
        <f ca="1">SUMIF(N72:N76,"&lt;9e307")</f>
        <v>52187</v>
      </c>
      <c r="P77" s="1173"/>
      <c r="Q77" s="2518">
        <f ca="1">O77/N69</f>
        <v>0.56740418592008701</v>
      </c>
      <c r="R77" s="1752"/>
      <c r="S77" s="1752"/>
      <c r="T77" s="1752"/>
      <c r="U77" s="1752"/>
      <c r="V77" s="1752"/>
    </row>
    <row r="78" spans="1:22" ht="12" customHeight="1">
      <c r="A78" s="1174"/>
      <c r="B78" s="302"/>
      <c r="C78" s="302"/>
      <c r="D78" s="302"/>
      <c r="E78" s="40"/>
      <c r="F78" s="40"/>
      <c r="G78" s="40"/>
      <c r="H78" s="965"/>
      <c r="I78" s="302"/>
      <c r="J78" s="1759"/>
      <c r="K78" s="3797"/>
      <c r="L78" s="3775"/>
      <c r="M78" s="2520" t="s">
        <v>386</v>
      </c>
      <c r="N78" s="1171"/>
      <c r="O78" s="1172" t="str">
        <f ca="1">NUMBERSTRING(INT(O77*10000),2)&amp;"元整"</f>
        <v>伍亿贰仟壹佰捌拾柒万元整</v>
      </c>
      <c r="P78" s="1173"/>
      <c r="Q78" s="1752"/>
      <c r="R78" s="1752"/>
      <c r="S78" s="1752"/>
      <c r="T78" s="1752"/>
      <c r="U78" s="1752"/>
      <c r="V78" s="1752"/>
    </row>
    <row r="79" spans="1:22" ht="13.5" thickBot="1">
      <c r="A79" s="3852" t="s">
        <v>388</v>
      </c>
      <c r="B79" s="3852"/>
      <c r="C79" s="3852"/>
      <c r="D79" s="3852"/>
      <c r="E79" s="3852"/>
      <c r="F79" s="40"/>
      <c r="G79" s="40"/>
      <c r="H79" s="965"/>
      <c r="I79" s="302"/>
      <c r="J79" s="1759"/>
      <c r="K79" s="3773">
        <f>K77+1</f>
        <v>6</v>
      </c>
      <c r="L79" s="3775" t="s">
        <v>2159</v>
      </c>
      <c r="M79" s="2520" t="s">
        <v>383</v>
      </c>
      <c r="N79" s="1171"/>
      <c r="O79" s="1172">
        <f ca="1">N69-O77</f>
        <v>39788</v>
      </c>
      <c r="P79" s="1173"/>
      <c r="Q79" s="1752"/>
      <c r="R79" s="1752"/>
      <c r="S79" s="1752"/>
      <c r="T79" s="1752"/>
      <c r="U79" s="1752"/>
      <c r="V79" s="1752"/>
    </row>
    <row r="80" spans="1:22" ht="25.5">
      <c r="A80" s="3783" t="s">
        <v>389</v>
      </c>
      <c r="B80" s="3784"/>
      <c r="C80" s="956"/>
      <c r="D80" s="956" t="s">
        <v>390</v>
      </c>
      <c r="E80" s="357" t="s">
        <v>391</v>
      </c>
      <c r="F80" s="40"/>
      <c r="G80" s="40"/>
      <c r="H80" s="965"/>
      <c r="I80" s="302"/>
      <c r="J80" s="1752"/>
      <c r="K80" s="3774"/>
      <c r="L80" s="3775"/>
      <c r="M80" s="2520" t="s">
        <v>386</v>
      </c>
      <c r="N80" s="1171"/>
      <c r="O80" s="1172" t="str">
        <f ca="1">NUMBERSTRING(INT(O79*10000),2)&amp;"元整"</f>
        <v>叁亿玖仟柒佰捌拾捌万元整</v>
      </c>
      <c r="P80" s="1173"/>
      <c r="Q80" s="1752"/>
      <c r="R80" s="1752"/>
      <c r="S80" s="1752"/>
      <c r="T80" s="1752"/>
      <c r="U80" s="1752"/>
      <c r="V80" s="1752"/>
    </row>
    <row r="81" spans="1:26" ht="13.5" thickBot="1">
      <c r="A81" s="368" t="s">
        <v>1352</v>
      </c>
      <c r="B81" s="358" t="s">
        <v>392</v>
      </c>
      <c r="C81" s="359">
        <f ca="1">ROUND((C82+C83)/(1+'数据-取费表'!C42),0)</f>
        <v>87595</v>
      </c>
      <c r="D81" s="360"/>
      <c r="E81" s="361"/>
      <c r="F81" s="40"/>
      <c r="G81" s="40"/>
      <c r="H81" s="965"/>
      <c r="I81" s="302"/>
      <c r="J81" s="1752"/>
      <c r="K81" s="2515">
        <f>K79+1</f>
        <v>7</v>
      </c>
      <c r="L81" s="3795" t="s">
        <v>2160</v>
      </c>
      <c r="M81" s="3796"/>
      <c r="N81" s="1175"/>
      <c r="O81" s="1176">
        <f ca="1">ROUND(O79*10000/'数据-汇总表'!E3,0)</f>
        <v>4249</v>
      </c>
      <c r="P81" s="1177"/>
      <c r="Q81" s="1752"/>
      <c r="R81" s="1752"/>
      <c r="S81" s="1752"/>
      <c r="T81" s="1752"/>
      <c r="U81" s="1752"/>
      <c r="V81" s="1752"/>
    </row>
    <row r="82" spans="1:26" ht="13.5" thickTop="1">
      <c r="A82" s="362" t="s">
        <v>1353</v>
      </c>
      <c r="B82" s="363" t="s">
        <v>393</v>
      </c>
      <c r="C82" s="364">
        <f ca="1">D63</f>
        <v>91975</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5" t="s">
        <v>2148</v>
      </c>
      <c r="L83" s="2526" t="s">
        <v>2149</v>
      </c>
      <c r="M83" s="2516">
        <f ca="1">IF(N69&gt;10000,N69*0.5%,IF(AND(N69&gt;1000,N69&lt;=10000),N69*1%,IF(AND(N69&gt;100,N69&lt;=1000),N69*3%,IF(AND(N69&gt;10,N69&lt;=100),N69*5%,N69*8%))))</f>
        <v>459.875</v>
      </c>
      <c r="N83" s="51">
        <f ca="1">ROUND(M83,1)</f>
        <v>459.9</v>
      </c>
      <c r="O83" s="2519"/>
      <c r="P83" s="1752"/>
      <c r="Q83" s="1752"/>
      <c r="R83" s="1752"/>
      <c r="S83" s="1752"/>
      <c r="T83" s="1752"/>
      <c r="U83" s="1752"/>
      <c r="V83" s="1752"/>
    </row>
    <row r="84" spans="1:26" ht="12.75">
      <c r="A84" s="368" t="s">
        <v>1355</v>
      </c>
      <c r="B84" s="369" t="s">
        <v>395</v>
      </c>
      <c r="C84" s="370"/>
      <c r="D84" s="371" t="s">
        <v>13</v>
      </c>
      <c r="E84" s="2542" t="s">
        <v>2202</v>
      </c>
      <c r="F84" s="40"/>
      <c r="G84" s="40"/>
      <c r="H84" s="965"/>
      <c r="I84" s="302"/>
      <c r="J84" s="1752"/>
      <c r="K84" s="3785"/>
      <c r="L84" s="2526" t="s">
        <v>2150</v>
      </c>
      <c r="M84" s="2516">
        <f ca="1">IF(N69&gt;2000,N69*0.5%,IF(AND(N69&gt;1000,N69&lt;=2000),N69*0.6%,IF(AND(N69&gt;500,N69&lt;=1000),N69*0.7%,IF(AND(N69&gt;200,N69&lt;=500),N69*0.8%,IF(AND(N69&gt;100,N69&lt;=200),N69*0.9%,IF(AND(N69&gt;50,N69&lt;=100),N69*1%,IF(AND(N69&gt;20,N69&lt;=50),N69*1.5%,IF(AND(N69&gt;10,N69&lt;=20),N69*2%,IF(AND(N69&gt;1,N69&lt;=10),N69*2.5%)))))))))</f>
        <v>459.875</v>
      </c>
      <c r="N84" s="51">
        <f ca="1">ROUND(M84,1)</f>
        <v>459.9</v>
      </c>
      <c r="O84" s="1752" t="s">
        <v>2151</v>
      </c>
      <c r="P84" s="1752"/>
      <c r="Q84" s="1752"/>
      <c r="R84" s="1752"/>
      <c r="S84" s="1752"/>
      <c r="T84" s="1752"/>
      <c r="U84" s="1752"/>
      <c r="V84" s="1752"/>
    </row>
    <row r="85" spans="1:26" ht="12.75">
      <c r="A85" s="368" t="s">
        <v>1356</v>
      </c>
      <c r="B85" s="369" t="s">
        <v>396</v>
      </c>
      <c r="C85" s="372">
        <f ca="1">C81-C84</f>
        <v>87595</v>
      </c>
      <c r="D85" s="365" t="s">
        <v>13</v>
      </c>
      <c r="E85" s="366"/>
      <c r="F85" s="40"/>
      <c r="G85" s="40"/>
      <c r="H85" s="965"/>
      <c r="I85" s="302"/>
      <c r="J85" s="1752"/>
      <c r="K85" s="3785"/>
      <c r="L85" s="2526" t="s">
        <v>2152</v>
      </c>
      <c r="M85" s="2516">
        <f ca="1">IF(N69&gt;1000,N69*0.1%,IF(AND(N69&gt;500,N69&lt;=1000),N69*0.5%,IF(AND(N69&gt;50,N69&lt;=500),N69*1%,IF(AND(N69&gt;1,N69&lt;=50),N69*1.5%))))</f>
        <v>91.975000000000009</v>
      </c>
      <c r="N85" s="51">
        <f ca="1">ROUND(M85,1)</f>
        <v>92</v>
      </c>
      <c r="O85" s="1752" t="s">
        <v>2151</v>
      </c>
      <c r="P85" s="1752"/>
      <c r="Q85" s="1752"/>
      <c r="R85" s="1752"/>
      <c r="S85" s="1752"/>
      <c r="T85" s="1752"/>
      <c r="U85" s="1752"/>
      <c r="V85" s="1752"/>
    </row>
    <row r="86" spans="1:26" ht="13.5" thickBot="1">
      <c r="A86" s="373" t="s">
        <v>1357</v>
      </c>
      <c r="B86" s="374" t="s">
        <v>397</v>
      </c>
      <c r="C86" s="375">
        <f ca="1">IF(C85&lt;=0,0,ROUND(C85*D86,0))</f>
        <v>4818</v>
      </c>
      <c r="D86" s="376">
        <f>'数据-取费表'!B41</f>
        <v>5.5000000000000007E-2</v>
      </c>
      <c r="E86" s="377"/>
      <c r="F86" s="40"/>
      <c r="G86" s="40"/>
      <c r="H86" s="965"/>
      <c r="I86" s="302"/>
      <c r="J86" s="1752"/>
      <c r="K86" s="3785"/>
      <c r="L86" s="2526" t="s">
        <v>2153</v>
      </c>
      <c r="M86" s="2516">
        <f ca="1">N69*0.5%</f>
        <v>459.875</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5"/>
      <c r="L87" s="2526" t="s">
        <v>2155</v>
      </c>
      <c r="M87" s="2516">
        <f ca="1">IF(N69&gt;=10000,(8.25+(N69-10000)*0.01%),IF(AND(N69&gt;=8000,N69&lt;10000),(7.85+(N69-8000)*0.02%),IF(AND(N69&gt;=5000,N69&lt;8000),(6.65+(N69-5000)*0.04%),IF(AND(N69&gt;=2000,N69&lt;5000),(4.25+(PN69-2000)*0.08%),IF(AND(N69&gt;=1000,N69&lt;2000),(2.75+(N69-1000)*0.15%),IF(AND(N69&gt;=100,N69&lt;1000),(0.5+(N69-100)*0.25%),IF(AND(N69&gt;0,N69&lt;100),N69*0.5%)))))))</f>
        <v>16.447499999999998</v>
      </c>
      <c r="N87" s="51">
        <f ca="1">ROUND(M87*0.9,1)</f>
        <v>14.8</v>
      </c>
      <c r="O87" s="2519"/>
      <c r="P87" s="1752"/>
      <c r="Q87" s="1752"/>
      <c r="R87" s="1752"/>
      <c r="S87" s="1752"/>
      <c r="T87" s="1752"/>
      <c r="U87" s="1752"/>
      <c r="V87" s="1752"/>
      <c r="W87" s="283"/>
      <c r="X87" s="283"/>
      <c r="Y87" s="283"/>
      <c r="Z87" s="283"/>
    </row>
    <row r="88" spans="1:26" s="1183" customFormat="1" ht="15" thickBot="1">
      <c r="A88" s="3824" t="s">
        <v>398</v>
      </c>
      <c r="B88" s="3825"/>
      <c r="C88" s="3825"/>
      <c r="D88" s="3825"/>
      <c r="E88" s="3825"/>
      <c r="F88" s="3825"/>
      <c r="G88" s="3825"/>
      <c r="H88" s="3825"/>
      <c r="I88" s="1184"/>
      <c r="J88" s="1760"/>
      <c r="K88" s="3785"/>
      <c r="L88" s="2526" t="s">
        <v>2156</v>
      </c>
      <c r="M88" s="2516">
        <f ca="1">IF(N69&gt;10000,N69*0.5%,IF(AND(N69&gt;5000,N69&lt;=10000),N69*1%,IF(AND(N69&gt;1000,N69&lt;=5000),N69*2%,IF(AND(N69&gt;200,N69&lt;=1000),N69*3%,N69*5%))))</f>
        <v>459.875</v>
      </c>
      <c r="N88" s="51">
        <f ca="1">ROUND(M88,1)</f>
        <v>459.9</v>
      </c>
      <c r="O88" s="2519"/>
      <c r="P88" s="1757"/>
      <c r="Q88" s="1757"/>
      <c r="R88" s="1757"/>
      <c r="S88" s="1757"/>
      <c r="T88" s="1757"/>
      <c r="U88" s="1757"/>
      <c r="V88" s="1757"/>
      <c r="W88" s="1761"/>
      <c r="X88" s="1761"/>
      <c r="Y88" s="1761"/>
      <c r="Z88" s="1761"/>
    </row>
    <row r="89" spans="1:26" s="1183" customFormat="1" ht="14.25">
      <c r="A89" s="3783" t="s">
        <v>389</v>
      </c>
      <c r="B89" s="3784"/>
      <c r="C89" s="956"/>
      <c r="D89" s="956" t="s">
        <v>390</v>
      </c>
      <c r="E89" s="378" t="s">
        <v>399</v>
      </c>
      <c r="F89" s="379"/>
      <c r="G89" s="379"/>
      <c r="H89" s="380"/>
      <c r="I89" s="1185"/>
      <c r="J89" s="1762"/>
      <c r="K89" s="3785"/>
      <c r="L89" s="2526" t="s">
        <v>16</v>
      </c>
      <c r="M89" s="2517"/>
      <c r="N89" s="51">
        <f ca="1">ROUND(SUM(N83:N88),0)</f>
        <v>1487</v>
      </c>
      <c r="O89" s="2527">
        <f ca="1">N89/N69</f>
        <v>1.6167436803479207E-2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87595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438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1" t="s">
        <v>407</v>
      </c>
      <c r="F94" s="3822"/>
      <c r="G94" s="3822"/>
      <c r="H94" s="382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438</v>
      </c>
      <c r="D96" s="393">
        <f>'数据-取费表'!B43</f>
        <v>5.000000000000001E-3</v>
      </c>
      <c r="E96" s="3780" t="s">
        <v>1780</v>
      </c>
      <c r="F96" s="3781"/>
      <c r="G96" s="3781"/>
      <c r="H96" s="378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87157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198.98858447488584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52141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4" t="s">
        <v>414</v>
      </c>
      <c r="B101" s="3825"/>
      <c r="C101" s="3825"/>
      <c r="D101" s="3825"/>
      <c r="E101" s="3825"/>
      <c r="F101" s="3825"/>
      <c r="G101" s="3825"/>
      <c r="H101" s="382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3" t="s">
        <v>389</v>
      </c>
      <c r="B102" s="37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87595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438</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6" t="s">
        <v>2251</v>
      </c>
      <c r="H108" s="3837"/>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4" t="s">
        <v>422</v>
      </c>
      <c r="F109" s="3781"/>
      <c r="G109" s="378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4" t="s">
        <v>424</v>
      </c>
      <c r="F110" s="3781"/>
      <c r="G110" s="3781"/>
      <c r="H110" s="3782"/>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438</v>
      </c>
      <c r="D111" s="393">
        <f>'数据-取费表'!B43</f>
        <v>5.000000000000001E-3</v>
      </c>
      <c r="E111" s="3780" t="s">
        <v>1780</v>
      </c>
      <c r="F111" s="3781"/>
      <c r="G111" s="3781"/>
      <c r="H111" s="378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4" t="s">
        <v>1799</v>
      </c>
      <c r="F112" s="3781"/>
      <c r="G112" s="3781"/>
      <c r="H112" s="378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87157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198.98858447488584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52141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60" zoomScaleNormal="95" workbookViewId="0">
      <selection activeCell="E60" sqref="E6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111407</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11897</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117909</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7861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6" t="s">
        <v>471</v>
      </c>
      <c r="D6" s="3877"/>
      <c r="E6" s="3876" t="s">
        <v>472</v>
      </c>
      <c r="F6" s="3877"/>
      <c r="G6" s="3876" t="s">
        <v>473</v>
      </c>
      <c r="H6" s="3877"/>
      <c r="I6" s="3876" t="s">
        <v>474</v>
      </c>
      <c r="J6" s="3877"/>
      <c r="K6" s="484" t="s">
        <v>475</v>
      </c>
      <c r="L6" s="1856"/>
      <c r="M6" s="1855"/>
      <c r="N6" s="1855"/>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30" ht="20.25">
      <c r="A7" s="485"/>
      <c r="B7" s="486"/>
      <c r="C7" s="3887" t="s">
        <v>2191</v>
      </c>
      <c r="D7" s="3888"/>
      <c r="E7" s="3887" t="str">
        <f>Sheet1!A3</f>
        <v>北京市通州经济开发区西区南扩区*三、五、六期棚户区改造项目*FZX-1102-6002地块*F3其他类多功能用地</v>
      </c>
      <c r="F7" s="3888"/>
      <c r="G7" s="3887" t="str">
        <f>Sheet1!A5</f>
        <v>北京城市副中心0101街区FZX-0101-0902地块F3其他类多功能用地</v>
      </c>
      <c r="H7" s="3888"/>
      <c r="I7" s="3887" t="str">
        <f>Sheet1!A7</f>
        <v>北京城市副中心FZX-0902-0229、0230地块</v>
      </c>
      <c r="J7" s="3888"/>
      <c r="K7" s="484"/>
      <c r="L7" s="1856"/>
      <c r="M7" s="1855"/>
      <c r="N7" s="1855"/>
      <c r="O7" s="1857"/>
      <c r="P7" s="3880"/>
      <c r="Q7" s="3881"/>
      <c r="R7" s="3864"/>
      <c r="S7" s="3865"/>
      <c r="T7" s="3864"/>
      <c r="U7" s="3865"/>
      <c r="V7" s="3884"/>
      <c r="W7" s="3884"/>
      <c r="X7" s="1380"/>
      <c r="Y7" s="3864"/>
      <c r="Z7" s="3865"/>
      <c r="AA7" s="3858"/>
      <c r="AB7" s="3858"/>
      <c r="AC7" s="3858"/>
    </row>
    <row r="8" spans="1:30" ht="21" thickBot="1">
      <c r="A8" s="485"/>
      <c r="B8" s="486"/>
      <c r="C8" s="3889" t="s">
        <v>2195</v>
      </c>
      <c r="D8" s="3890"/>
      <c r="E8" s="3889" t="s">
        <v>2195</v>
      </c>
      <c r="F8" s="3890"/>
      <c r="G8" s="3885" t="s">
        <v>2195</v>
      </c>
      <c r="H8" s="3886"/>
      <c r="I8" s="3885" t="s">
        <v>2195</v>
      </c>
      <c r="J8" s="3886"/>
      <c r="K8" s="484" t="s">
        <v>477</v>
      </c>
      <c r="L8" s="1856"/>
      <c r="M8" s="1855"/>
      <c r="N8" s="1855"/>
      <c r="O8" s="1857"/>
      <c r="P8" s="3882"/>
      <c r="Q8" s="3883"/>
      <c r="R8" s="3864"/>
      <c r="S8" s="3865"/>
      <c r="T8" s="3866"/>
      <c r="U8" s="3867"/>
      <c r="V8" s="3884"/>
      <c r="W8" s="3884"/>
      <c r="X8" s="1380"/>
      <c r="Y8" s="3866"/>
      <c r="Z8" s="3867"/>
      <c r="AA8" s="3859"/>
      <c r="AB8" s="3859"/>
      <c r="AC8" s="3859"/>
    </row>
    <row r="9" spans="1:30" s="1118" customFormat="1" ht="21" thickBot="1">
      <c r="A9" s="2392"/>
      <c r="B9" s="2399" t="s">
        <v>478</v>
      </c>
      <c r="C9" s="2391">
        <f>'数据-取费表'!B2</f>
        <v>45028</v>
      </c>
      <c r="D9" s="490">
        <v>100</v>
      </c>
      <c r="E9" s="491" t="str">
        <f>Sheet1!K3</f>
        <v>2022-08-22</v>
      </c>
      <c r="F9" s="492">
        <f>SUMIF(71:71,YEAR(E9)&amp;"-"&amp;INT((MONTH(E9)+2)/3),72:72)</f>
        <v>98.5</v>
      </c>
      <c r="G9" s="493" t="str">
        <f>Sheet1!K5</f>
        <v>2022-01-05</v>
      </c>
      <c r="H9" s="490">
        <f>SUMIF(71:71,YEAR(G9)&amp;"-"&amp;INT((MONTH(G9)+2)/3),72:72)</f>
        <v>97.5</v>
      </c>
      <c r="I9" s="493" t="str">
        <f>Sheet1!K7</f>
        <v>2021-05-19</v>
      </c>
      <c r="J9" s="490">
        <f>SUMIF(71:71,YEAR(I9)&amp;"-"&amp;INT((MONTH(I9)+2)/3),72:72)</f>
        <v>96</v>
      </c>
      <c r="K9" s="494"/>
      <c r="L9" s="1858"/>
      <c r="M9" s="1855"/>
      <c r="N9" s="1855"/>
      <c r="O9" s="1859"/>
      <c r="P9" s="3860" t="s">
        <v>479</v>
      </c>
      <c r="Q9" s="3869"/>
      <c r="R9" s="1381" t="s">
        <v>5</v>
      </c>
      <c r="S9" s="1382">
        <f t="shared" ref="S9:S17" si="0">F9</f>
        <v>98.5</v>
      </c>
      <c r="T9" s="1381" t="s">
        <v>5</v>
      </c>
      <c r="U9" s="1382">
        <f t="shared" ref="U9:U17" si="1">H9</f>
        <v>97.5</v>
      </c>
      <c r="V9" s="1381" t="s">
        <v>5</v>
      </c>
      <c r="W9" s="1382">
        <f t="shared" ref="W9:W17" si="2">J9</f>
        <v>96</v>
      </c>
      <c r="X9" s="1383"/>
      <c r="Y9" s="3860" t="s">
        <v>479</v>
      </c>
      <c r="Z9" s="3861"/>
      <c r="AA9" s="1384">
        <f>D9/F9</f>
        <v>1.015228426395939</v>
      </c>
      <c r="AB9" s="1384">
        <f>D9/H9</f>
        <v>1.0256410256410255</v>
      </c>
      <c r="AC9" s="1384">
        <f>D9/J9</f>
        <v>1.0416666666666667</v>
      </c>
    </row>
    <row r="10" spans="1:30" s="1118" customFormat="1" ht="21" thickBot="1">
      <c r="A10" s="2393"/>
      <c r="B10" s="2400" t="s">
        <v>480</v>
      </c>
      <c r="C10" s="821" t="s">
        <v>481</v>
      </c>
      <c r="D10" s="490">
        <v>100</v>
      </c>
      <c r="E10" s="3672" t="s">
        <v>3307</v>
      </c>
      <c r="F10" s="492">
        <f>SUMIF(74:74,E10,75:75)-SUMIF(74:74,C10,75:75)+100</f>
        <v>100</v>
      </c>
      <c r="G10" s="3672" t="s">
        <v>3307</v>
      </c>
      <c r="H10" s="490">
        <f>SUMIF(74:74,G10,75:75)-SUMIF(74:74,C10,75:75)+100</f>
        <v>100</v>
      </c>
      <c r="I10" s="3672" t="s">
        <v>3307</v>
      </c>
      <c r="J10" s="490">
        <f>SUMIF(74:74,I10,75:75)-SUMIF(74:74,C10,75:75)+100</f>
        <v>100</v>
      </c>
      <c r="K10" s="494"/>
      <c r="L10" s="1858"/>
      <c r="M10" s="1855"/>
      <c r="N10" s="1855"/>
      <c r="O10" s="1859"/>
      <c r="P10" s="3860" t="s">
        <v>482</v>
      </c>
      <c r="Q10" s="3861"/>
      <c r="R10" s="1381" t="s">
        <v>5</v>
      </c>
      <c r="S10" s="1382">
        <f t="shared" si="0"/>
        <v>100</v>
      </c>
      <c r="T10" s="1381" t="s">
        <v>5</v>
      </c>
      <c r="U10" s="1382">
        <f t="shared" si="1"/>
        <v>100</v>
      </c>
      <c r="V10" s="1381" t="s">
        <v>5</v>
      </c>
      <c r="W10" s="1382">
        <f t="shared" si="2"/>
        <v>100</v>
      </c>
      <c r="X10" s="1383"/>
      <c r="Y10" s="3860" t="s">
        <v>482</v>
      </c>
      <c r="Z10" s="3861"/>
      <c r="AA10" s="1384">
        <f t="shared" ref="AA10:AA47" si="3">D10/F10</f>
        <v>1</v>
      </c>
      <c r="AB10" s="1384">
        <f t="shared" ref="AB10:AB47" si="4">D10/H10</f>
        <v>1</v>
      </c>
      <c r="AC10" s="1384">
        <f t="shared" ref="AC10:AC47" si="5">D10/J10</f>
        <v>1</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109</v>
      </c>
      <c r="G12" s="500"/>
      <c r="H12" s="246">
        <f>ROUND(100/'数据-取费表'!G16,0)</f>
        <v>109</v>
      </c>
      <c r="I12" s="500"/>
      <c r="J12" s="246">
        <f>ROUND(100/'数据-取费表'!G16,0)</f>
        <v>109</v>
      </c>
      <c r="K12" s="501"/>
      <c r="L12" s="1861"/>
      <c r="M12" s="1855"/>
      <c r="N12" s="1855"/>
      <c r="O12" s="1862"/>
      <c r="P12" s="3868"/>
      <c r="Q12" s="1050" t="str">
        <f t="shared" si="6"/>
        <v>土地使用年限（年）</v>
      </c>
      <c r="R12" s="1381" t="s">
        <v>5</v>
      </c>
      <c r="S12" s="1382">
        <f t="shared" si="0"/>
        <v>109</v>
      </c>
      <c r="T12" s="1381" t="s">
        <v>5</v>
      </c>
      <c r="U12" s="1382">
        <f t="shared" si="1"/>
        <v>109</v>
      </c>
      <c r="V12" s="1381" t="s">
        <v>5</v>
      </c>
      <c r="W12" s="1382">
        <f t="shared" si="2"/>
        <v>109</v>
      </c>
      <c r="X12" s="1383"/>
      <c r="Y12" s="3820"/>
      <c r="Z12" s="1049" t="str">
        <f t="shared" si="7"/>
        <v>土地使用年限（年）</v>
      </c>
      <c r="AA12" s="1384">
        <f t="shared" si="3"/>
        <v>0.91743119266055051</v>
      </c>
      <c r="AB12" s="1384">
        <f t="shared" si="4"/>
        <v>0.91743119266055051</v>
      </c>
      <c r="AC12" s="1384">
        <f t="shared" si="5"/>
        <v>0.91743119266055051</v>
      </c>
    </row>
    <row r="13" spans="1:30" ht="20.25">
      <c r="A13" s="2396"/>
      <c r="B13" s="2400" t="s">
        <v>2040</v>
      </c>
      <c r="C13" s="504">
        <f>'数据-汇总表'!I6</f>
        <v>7.18</v>
      </c>
      <c r="D13" s="246">
        <v>100</v>
      </c>
      <c r="E13" s="503">
        <v>2.2000000000000002</v>
      </c>
      <c r="F13" s="246">
        <f>LOOKUP(E13,81:81,82:82)-LOOKUP(C13,81:81,82:82)+100</f>
        <v>104</v>
      </c>
      <c r="G13" s="504">
        <v>4</v>
      </c>
      <c r="H13" s="246">
        <f>LOOKUP(G13,81:81,82:82)-LOOKUP(C13,81:81,82:82)+100</f>
        <v>102</v>
      </c>
      <c r="I13" s="503">
        <v>3.1</v>
      </c>
      <c r="J13" s="246">
        <f>LOOKUP(I13,81:81,82:82)-LOOKUP(C13,81:81,82:82)+100</f>
        <v>104</v>
      </c>
      <c r="K13" s="505">
        <v>2</v>
      </c>
      <c r="L13" s="1863"/>
      <c r="M13" s="1855"/>
      <c r="N13" s="1855"/>
      <c r="O13" s="1864"/>
      <c r="P13" s="3868"/>
      <c r="Q13" s="1050" t="str">
        <f t="shared" si="6"/>
        <v>容积率</v>
      </c>
      <c r="R13" s="1381" t="s">
        <v>5</v>
      </c>
      <c r="S13" s="1382">
        <f t="shared" si="0"/>
        <v>104</v>
      </c>
      <c r="T13" s="1381" t="s">
        <v>5</v>
      </c>
      <c r="U13" s="1382">
        <f t="shared" si="1"/>
        <v>102</v>
      </c>
      <c r="V13" s="1381" t="s">
        <v>5</v>
      </c>
      <c r="W13" s="1382">
        <f t="shared" si="2"/>
        <v>104</v>
      </c>
      <c r="X13" s="1383"/>
      <c r="Y13" s="3820"/>
      <c r="Z13" s="1049" t="str">
        <f t="shared" si="7"/>
        <v>容积率</v>
      </c>
      <c r="AA13" s="1384">
        <f t="shared" si="3"/>
        <v>0.96153846153846156</v>
      </c>
      <c r="AB13" s="1384">
        <f t="shared" si="4"/>
        <v>0.98039215686274506</v>
      </c>
      <c r="AC13" s="1384">
        <f t="shared" si="5"/>
        <v>0.96153846153846156</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2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D16/F16</f>
        <v>1</v>
      </c>
      <c r="AB16" s="1384">
        <f>D16/H16</f>
        <v>1</v>
      </c>
      <c r="AC16" s="1384">
        <f>D16/J16</f>
        <v>1</v>
      </c>
    </row>
    <row r="17" spans="1:29" ht="99.75" hidden="1">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90</v>
      </c>
      <c r="G19" s="532"/>
      <c r="H19" s="535">
        <f>SUMIF(91:91,G20,92:92)-SUMIF(91:91,C20,92:92)+100</f>
        <v>90</v>
      </c>
      <c r="I19" s="534"/>
      <c r="J19" s="535">
        <f>SUMIF(91:91,I20,92:92)-SUMIF(91:91,C20,92:92)+100</f>
        <v>90</v>
      </c>
      <c r="K19" s="505">
        <v>5</v>
      </c>
      <c r="L19" s="1865"/>
      <c r="M19" s="1855"/>
      <c r="N19" s="1855"/>
      <c r="O19" s="1864"/>
      <c r="P19" s="3871"/>
      <c r="Q19" s="1385" t="str">
        <f>B19</f>
        <v>商业繁华度</v>
      </c>
      <c r="R19" s="1386" t="s">
        <v>5</v>
      </c>
      <c r="S19" s="1387">
        <f>F19</f>
        <v>90</v>
      </c>
      <c r="T19" s="1386" t="s">
        <v>5</v>
      </c>
      <c r="U19" s="1387">
        <f>H19</f>
        <v>90</v>
      </c>
      <c r="V19" s="1386" t="s">
        <v>5</v>
      </c>
      <c r="W19" s="1387">
        <f>J19</f>
        <v>90</v>
      </c>
      <c r="X19" s="1380"/>
      <c r="Y19" s="3871"/>
      <c r="Z19" s="1388" t="str">
        <f>Q19</f>
        <v>商业繁华度</v>
      </c>
      <c r="AA19" s="1389">
        <f t="shared" si="3"/>
        <v>1.1111111111111112</v>
      </c>
      <c r="AB19" s="1389">
        <f t="shared" si="4"/>
        <v>1.1111111111111112</v>
      </c>
      <c r="AC19" s="1389">
        <f t="shared" si="5"/>
        <v>1.1111111111111112</v>
      </c>
    </row>
    <row r="20" spans="1:29" ht="20.25">
      <c r="A20" s="502"/>
      <c r="B20" s="536"/>
      <c r="C20" s="3674" t="s">
        <v>3334</v>
      </c>
      <c r="D20" s="533"/>
      <c r="E20" s="3675" t="s">
        <v>3342</v>
      </c>
      <c r="F20" s="529"/>
      <c r="G20" s="3676" t="s">
        <v>3343</v>
      </c>
      <c r="H20" s="525"/>
      <c r="I20" s="3675" t="s">
        <v>3342</v>
      </c>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90</v>
      </c>
      <c r="G21" s="540"/>
      <c r="H21" s="529">
        <f>SUMIF(93:93,G22,94:94)-SUMIF(93:93,C22,94:94)+100</f>
        <v>90</v>
      </c>
      <c r="I21" s="542"/>
      <c r="J21" s="529">
        <f>SUMIF(93:93,I22,94:94)-SUMIF(93:93,C22,94:94)+100</f>
        <v>90</v>
      </c>
      <c r="K21" s="505">
        <v>5</v>
      </c>
      <c r="L21" s="1865"/>
      <c r="M21" s="1855"/>
      <c r="N21" s="1855"/>
      <c r="O21" s="1864"/>
      <c r="P21" s="3871"/>
      <c r="Q21" s="1385" t="str">
        <f>B21</f>
        <v>办公集聚程度</v>
      </c>
      <c r="R21" s="1386" t="s">
        <v>5</v>
      </c>
      <c r="S21" s="1387">
        <f>F21</f>
        <v>90</v>
      </c>
      <c r="T21" s="1386" t="s">
        <v>5</v>
      </c>
      <c r="U21" s="1387">
        <f>H21</f>
        <v>90</v>
      </c>
      <c r="V21" s="1386" t="s">
        <v>5</v>
      </c>
      <c r="W21" s="1387">
        <f>J21</f>
        <v>90</v>
      </c>
      <c r="X21" s="1380"/>
      <c r="Y21" s="3871"/>
      <c r="Z21" s="1388" t="str">
        <f>Q21</f>
        <v>办公集聚程度</v>
      </c>
      <c r="AA21" s="1389">
        <f t="shared" si="3"/>
        <v>1.1111111111111112</v>
      </c>
      <c r="AB21" s="1389">
        <f t="shared" si="4"/>
        <v>1.1111111111111112</v>
      </c>
      <c r="AC21" s="1389">
        <f t="shared" si="5"/>
        <v>1.1111111111111112</v>
      </c>
    </row>
    <row r="22" spans="1:29" ht="20.25">
      <c r="A22" s="502"/>
      <c r="B22" s="536"/>
      <c r="C22" s="3677" t="s">
        <v>3334</v>
      </c>
      <c r="D22" s="527"/>
      <c r="E22" s="3678" t="s">
        <v>3342</v>
      </c>
      <c r="F22" s="525"/>
      <c r="G22" s="3679" t="s">
        <v>3343</v>
      </c>
      <c r="H22" s="525"/>
      <c r="I22" s="3678" t="s">
        <v>3343</v>
      </c>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97</v>
      </c>
      <c r="G23" s="532"/>
      <c r="H23" s="529">
        <f>SUMIF(95:95,G24,96:96)-SUMIF(95:95,C24,96:96)+100</f>
        <v>100</v>
      </c>
      <c r="I23" s="534"/>
      <c r="J23" s="529">
        <f>SUMIF(95:95,I24,96:96)-SUMIF(95:95,C24,96:96)+100</f>
        <v>100</v>
      </c>
      <c r="K23" s="505">
        <v>3</v>
      </c>
      <c r="L23" s="1865"/>
      <c r="M23" s="1855"/>
      <c r="N23" s="1855"/>
      <c r="O23" s="1864"/>
      <c r="P23" s="3871"/>
      <c r="Q23" s="1385" t="str">
        <f>B23</f>
        <v>交通便捷度</v>
      </c>
      <c r="R23" s="1386" t="s">
        <v>5</v>
      </c>
      <c r="S23" s="1387">
        <f>F23</f>
        <v>97</v>
      </c>
      <c r="T23" s="1386" t="s">
        <v>5</v>
      </c>
      <c r="U23" s="1387">
        <f>H23</f>
        <v>100</v>
      </c>
      <c r="V23" s="1386" t="s">
        <v>5</v>
      </c>
      <c r="W23" s="1387">
        <f>J23</f>
        <v>100</v>
      </c>
      <c r="X23" s="1380"/>
      <c r="Y23" s="3871"/>
      <c r="Z23" s="1388" t="str">
        <f>Q23</f>
        <v>交通便捷度</v>
      </c>
      <c r="AA23" s="1389">
        <f t="shared" si="3"/>
        <v>1.0309278350515463</v>
      </c>
      <c r="AB23" s="1389">
        <f t="shared" si="4"/>
        <v>1</v>
      </c>
      <c r="AC23" s="1389">
        <f t="shared" si="5"/>
        <v>1</v>
      </c>
    </row>
    <row r="24" spans="1:29" ht="20.25">
      <c r="A24" s="502"/>
      <c r="B24" s="548"/>
      <c r="C24" s="3677" t="s">
        <v>3334</v>
      </c>
      <c r="D24" s="527"/>
      <c r="E24" s="3678" t="s">
        <v>3335</v>
      </c>
      <c r="F24" s="525"/>
      <c r="G24" s="3679" t="s">
        <v>3334</v>
      </c>
      <c r="H24" s="525"/>
      <c r="I24" s="3678" t="s">
        <v>3334</v>
      </c>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98</v>
      </c>
      <c r="I29" s="534"/>
      <c r="J29" s="529">
        <f>SUMIF(101:101,I30,102:102)-SUMIF(101:101,C30,102:102)+100</f>
        <v>98</v>
      </c>
      <c r="K29" s="505">
        <v>2</v>
      </c>
      <c r="L29" s="1858"/>
      <c r="M29" s="1855"/>
      <c r="N29" s="1855"/>
      <c r="O29" s="1860"/>
      <c r="P29" s="3871"/>
      <c r="Q29" s="1050" t="str">
        <f t="shared" si="8"/>
        <v>公共配套设施</v>
      </c>
      <c r="R29" s="1381" t="s">
        <v>5</v>
      </c>
      <c r="S29" s="1382">
        <f>F29</f>
        <v>98</v>
      </c>
      <c r="T29" s="1381" t="s">
        <v>5</v>
      </c>
      <c r="U29" s="1382">
        <f>H29</f>
        <v>98</v>
      </c>
      <c r="V29" s="1381" t="s">
        <v>5</v>
      </c>
      <c r="W29" s="1382">
        <f>J29</f>
        <v>98</v>
      </c>
      <c r="X29" s="1383"/>
      <c r="Y29" s="3871"/>
      <c r="Z29" s="1049" t="str">
        <f>Q29</f>
        <v>公共配套设施</v>
      </c>
      <c r="AA29" s="1389">
        <f>D29/F29</f>
        <v>1.0204081632653061</v>
      </c>
      <c r="AB29" s="1389">
        <f>D29/H29</f>
        <v>1.0204081632653061</v>
      </c>
      <c r="AC29" s="1389">
        <f>D29/J29</f>
        <v>1.0204081632653061</v>
      </c>
    </row>
    <row r="30" spans="1:29" s="1118" customFormat="1" ht="20.25">
      <c r="A30" s="547"/>
      <c r="B30" s="536"/>
      <c r="C30" s="3680" t="s">
        <v>3334</v>
      </c>
      <c r="D30" s="527"/>
      <c r="E30" s="3681" t="s">
        <v>3336</v>
      </c>
      <c r="F30" s="525"/>
      <c r="G30" s="3677" t="s">
        <v>3336</v>
      </c>
      <c r="H30" s="525"/>
      <c r="I30" s="3681" t="s">
        <v>3336</v>
      </c>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2037</v>
      </c>
      <c r="B40" s="565" t="s">
        <v>501</v>
      </c>
      <c r="C40" s="566">
        <f>'数据-基础表'!A3</f>
        <v>10956</v>
      </c>
      <c r="D40" s="567">
        <v>100</v>
      </c>
      <c r="E40" s="566">
        <f>Sheet1!D3</f>
        <v>10000</v>
      </c>
      <c r="F40" s="567">
        <f>LOOKUP(E40,118:118,119:119)-LOOKUP(C40,118:118,119:119)+100</f>
        <v>100</v>
      </c>
      <c r="G40" s="566">
        <f>Sheet1!D5</f>
        <v>29991.73</v>
      </c>
      <c r="H40" s="567">
        <f>LOOKUP(G40,118:118,119:119)-LOOKUP(C40,118:118,119:119)+100</f>
        <v>102</v>
      </c>
      <c r="I40" s="568">
        <f>Sheet1!D7</f>
        <v>17147.95</v>
      </c>
      <c r="J40" s="567">
        <f>LOOKUP(I40,118:118,119:119)-LOOKUP(C40,118:118,119:119)+100</f>
        <v>100</v>
      </c>
      <c r="K40" s="551"/>
      <c r="L40" s="1865"/>
      <c r="M40" s="1855"/>
      <c r="N40" s="1855"/>
      <c r="O40" s="1864"/>
      <c r="P40" s="3873"/>
      <c r="Q40" s="1385" t="str">
        <f>B40</f>
        <v>宗地面积</v>
      </c>
      <c r="R40" s="1386" t="s">
        <v>5</v>
      </c>
      <c r="S40" s="1387">
        <f t="shared" si="9"/>
        <v>100</v>
      </c>
      <c r="T40" s="1386" t="s">
        <v>5</v>
      </c>
      <c r="U40" s="1387">
        <f t="shared" si="10"/>
        <v>102</v>
      </c>
      <c r="V40" s="1386" t="s">
        <v>5</v>
      </c>
      <c r="W40" s="1387">
        <f t="shared" si="11"/>
        <v>100</v>
      </c>
      <c r="X40" s="1380"/>
      <c r="Y40" s="3873"/>
      <c r="Z40" s="1388" t="str">
        <f t="shared" si="12"/>
        <v>宗地面积</v>
      </c>
      <c r="AA40" s="1389">
        <f t="shared" si="3"/>
        <v>1</v>
      </c>
      <c r="AB40" s="1389">
        <f t="shared" si="4"/>
        <v>0.98039215686274506</v>
      </c>
      <c r="AC40" s="1389">
        <f t="shared" si="5"/>
        <v>1</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505</v>
      </c>
      <c r="B48" s="578" t="s">
        <v>3339</v>
      </c>
      <c r="C48" s="579" t="s">
        <v>0</v>
      </c>
      <c r="D48" s="580"/>
      <c r="E48" s="581">
        <v>16545</v>
      </c>
      <c r="F48" s="582"/>
      <c r="G48" s="583">
        <v>13779</v>
      </c>
      <c r="H48" s="584"/>
      <c r="I48" s="581">
        <v>13018</v>
      </c>
      <c r="J48" s="584"/>
      <c r="K48" s="1201"/>
      <c r="L48" s="1867"/>
      <c r="M48" s="1855"/>
      <c r="N48" s="1855"/>
      <c r="O48" s="1868"/>
      <c r="P48" s="3868" t="str">
        <f>A48</f>
        <v>成交单价</v>
      </c>
      <c r="Q48" s="3868"/>
      <c r="R48" s="3884">
        <f>E48</f>
        <v>16545</v>
      </c>
      <c r="S48" s="3884"/>
      <c r="T48" s="3884">
        <f>G48</f>
        <v>13779</v>
      </c>
      <c r="U48" s="3884"/>
      <c r="V48" s="3884">
        <f>I48</f>
        <v>13018</v>
      </c>
      <c r="W48" s="3884"/>
      <c r="X48" s="1375"/>
      <c r="Y48" s="1394"/>
      <c r="Z48" s="1375"/>
      <c r="AA48" s="1375"/>
      <c r="AB48" s="1375"/>
      <c r="AC48" s="1375"/>
    </row>
    <row r="49" spans="1:29" ht="21" thickBot="1">
      <c r="A49" s="585" t="s">
        <v>1975</v>
      </c>
      <c r="B49" s="586"/>
      <c r="C49" s="587">
        <f>R50</f>
        <v>16156</v>
      </c>
      <c r="D49" s="2757" t="s">
        <v>2261</v>
      </c>
      <c r="E49" s="587">
        <f>R49</f>
        <v>19244</v>
      </c>
      <c r="F49" s="2758">
        <v>0.2</v>
      </c>
      <c r="G49" s="588">
        <f>T49</f>
        <v>15699</v>
      </c>
      <c r="H49" s="2758">
        <v>0.4</v>
      </c>
      <c r="I49" s="587">
        <f>V49</f>
        <v>15070</v>
      </c>
      <c r="J49" s="2758">
        <v>0.4</v>
      </c>
      <c r="K49" s="2759">
        <f>F49+H49+J49</f>
        <v>1</v>
      </c>
      <c r="L49" s="1867"/>
      <c r="M49" s="1855"/>
      <c r="N49" s="1855"/>
      <c r="O49" s="1868"/>
      <c r="P49" s="3868" t="str">
        <f>A49</f>
        <v>比较价格（元/平方米）</v>
      </c>
      <c r="Q49" s="3868"/>
      <c r="R49" s="3892">
        <f>ROUND(PRODUCT(R48,AA9:AA47),0)</f>
        <v>19244</v>
      </c>
      <c r="S49" s="3892"/>
      <c r="T49" s="3892">
        <f>ROUND(PRODUCT(T48,AB9:AB47),0)</f>
        <v>15699</v>
      </c>
      <c r="U49" s="3892"/>
      <c r="V49" s="3892">
        <f>ROUND(PRODUCT(V48,AC9:AC47),0)</f>
        <v>15070</v>
      </c>
      <c r="W49" s="3892"/>
      <c r="X49" s="1375"/>
      <c r="Y49" s="1375"/>
      <c r="Z49" s="1375"/>
      <c r="AA49" s="1375"/>
      <c r="AB49" s="1375"/>
      <c r="AC49" s="1375"/>
    </row>
    <row r="50" spans="1:29" ht="21" thickBot="1">
      <c r="A50" s="589" t="s">
        <v>2197</v>
      </c>
      <c r="B50" s="590"/>
      <c r="C50" s="591">
        <f>R50</f>
        <v>16156</v>
      </c>
      <c r="D50" s="591"/>
      <c r="E50" s="591"/>
      <c r="F50" s="591"/>
      <c r="G50" s="591"/>
      <c r="H50" s="591"/>
      <c r="I50" s="591"/>
      <c r="J50" s="591"/>
      <c r="K50" s="1202"/>
      <c r="L50" s="1867"/>
      <c r="M50" s="1855"/>
      <c r="N50" s="1855"/>
      <c r="O50" s="1868"/>
      <c r="P50" s="3874" t="str">
        <f>A50</f>
        <v>估价对象XX用房的比较价格（楼面单价，元/平方米）</v>
      </c>
      <c r="Q50" s="3875"/>
      <c r="R50" s="3891">
        <f>ROUND(IF(D49="简单平均",AVERAGE(R49:W49),R49*F49+T49*H49+V49*J49),0)</f>
        <v>16156</v>
      </c>
      <c r="S50" s="3891"/>
      <c r="T50" s="3891"/>
      <c r="U50" s="3891"/>
      <c r="V50" s="3891"/>
      <c r="W50" s="3891"/>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0.16313085524327597</v>
      </c>
      <c r="F53" s="595" t="str">
        <f>IF(OR(E53&gt;=0.3,E53&lt;=-0.3),"超过30%","")</f>
        <v/>
      </c>
      <c r="G53" s="594">
        <f>IF(G48&lt;G49,G49/G48-1,G48/G49-1)</f>
        <v>0.13934247768343133</v>
      </c>
      <c r="H53" s="595" t="str">
        <f>IF(OR(G53&gt;=0.3,G53&lt;=-0.3),"超过30%","")</f>
        <v/>
      </c>
      <c r="I53" s="594">
        <f>IF(I48&lt;I49,I49/I48-1,I48/I49-1)</f>
        <v>0.15762789983100323</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0.22581056118224097</v>
      </c>
      <c r="F54" s="595" t="str">
        <f>IF(OR(E54&gt;=0.2,E54&lt;=-0.2),"超过20%","")</f>
        <v>超过20%</v>
      </c>
      <c r="G54" s="594">
        <f>IF(G49&lt;I49,I49/G49-1,G49/I49-1)</f>
        <v>4.1738553417385527E-2</v>
      </c>
      <c r="H54" s="595" t="str">
        <f>IF(OR(G54&gt;=0.2,G54&lt;=-0.2),"超过20%","")</f>
        <v/>
      </c>
      <c r="I54" s="594">
        <f>IF(I49&lt;E49,E49/I49-1,I49/E49-1)</f>
        <v>0.27697412076974115</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0.20074025691269326</v>
      </c>
      <c r="F55" s="595" t="str">
        <f>IF(OR(E55&gt;=0.3,E55&lt;=-0.3),"超过30%","")</f>
        <v/>
      </c>
      <c r="G55" s="594">
        <f>IF(G48&lt;I48,I48/G48-1,G48/I48-1)</f>
        <v>5.8457520356429482E-2</v>
      </c>
      <c r="H55" s="595" t="str">
        <f>IF(OR(G55&gt;=0.3,G55&lt;=-0.3),"超过30%","")</f>
        <v/>
      </c>
      <c r="I55" s="594">
        <f>IF(I48&lt;E48,E48/I48-1,I48/E48-1)</f>
        <v>0.27093255492395141</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3" t="s">
        <v>1639</v>
      </c>
      <c r="H57" s="385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16156</v>
      </c>
      <c r="C58" s="603">
        <v>1</v>
      </c>
      <c r="D58" s="1947">
        <v>1</v>
      </c>
      <c r="E58" s="603">
        <f>'数据-汇总表'!E8+'数据-汇总表'!E9</f>
        <v>67703.540000000008</v>
      </c>
      <c r="F58" s="604">
        <f t="shared" ref="F58:F66" si="14">ROUND(B58*E58/10000,0)</f>
        <v>109382</v>
      </c>
      <c r="G58" s="3855"/>
      <c r="H58" s="385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2423</v>
      </c>
      <c r="C59" s="365">
        <f t="shared" ref="C59:C66" si="15">IF($C$57="北京市系数",I59,J59)</f>
        <v>0.6</v>
      </c>
      <c r="D59" s="1948">
        <v>0.25</v>
      </c>
      <c r="E59" s="607">
        <f>'数据-取费表'!V26</f>
        <v>4712.08</v>
      </c>
      <c r="F59" s="604">
        <f t="shared" si="14"/>
        <v>1142</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1212</v>
      </c>
      <c r="C60" s="365">
        <f t="shared" si="15"/>
        <v>0.3</v>
      </c>
      <c r="D60" s="1948">
        <v>0.25</v>
      </c>
      <c r="E60" s="607">
        <v>0</v>
      </c>
      <c r="F60" s="604">
        <f t="shared" si="14"/>
        <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1010</v>
      </c>
      <c r="C61" s="365">
        <f t="shared" si="15"/>
        <v>0.25</v>
      </c>
      <c r="D61" s="1948">
        <v>0.25</v>
      </c>
      <c r="E61" s="607">
        <v>0</v>
      </c>
      <c r="F61" s="604">
        <f t="shared" si="14"/>
        <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1010</v>
      </c>
      <c r="C62" s="365">
        <f t="shared" si="15"/>
        <v>0.25</v>
      </c>
      <c r="D62" s="1948">
        <v>0.25</v>
      </c>
      <c r="E62" s="609">
        <f>'数据-汇总表'!E11</f>
        <v>0</v>
      </c>
      <c r="F62" s="604">
        <f t="shared" si="14"/>
        <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1010</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606</v>
      </c>
      <c r="C65" s="365">
        <f t="shared" si="15"/>
        <v>0.15</v>
      </c>
      <c r="D65" s="1948">
        <v>0.25</v>
      </c>
      <c r="E65" s="609">
        <f>'数据-汇总表'!E14</f>
        <v>0</v>
      </c>
      <c r="F65" s="604">
        <f t="shared" si="14"/>
        <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606</v>
      </c>
      <c r="C66" s="365">
        <f t="shared" si="15"/>
        <v>0.15</v>
      </c>
      <c r="D66" s="1948">
        <v>0.25</v>
      </c>
      <c r="E66" s="609">
        <f>'数据-汇总表'!E15</f>
        <v>14569.81</v>
      </c>
      <c r="F66" s="604">
        <f t="shared" si="14"/>
        <v>883</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86985.430000000008</v>
      </c>
      <c r="F67" s="612">
        <f>IF(B48="楼面地价",SUM(F58:F66),ROUND(C50*E67/10000,0))</f>
        <v>111407</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2023-4-1</v>
      </c>
      <c r="D69" s="2279">
        <f>EDATE(C69,-3)</f>
        <v>44927</v>
      </c>
      <c r="E69" s="2279">
        <f t="shared" ref="E69:N69" si="17">EDATE(D69,-3)</f>
        <v>44835</v>
      </c>
      <c r="F69" s="2279">
        <f t="shared" si="17"/>
        <v>44743</v>
      </c>
      <c r="G69" s="2279">
        <f t="shared" si="17"/>
        <v>44652</v>
      </c>
      <c r="H69" s="2279">
        <f t="shared" si="17"/>
        <v>44562</v>
      </c>
      <c r="I69" s="2279">
        <f t="shared" si="17"/>
        <v>44470</v>
      </c>
      <c r="J69" s="2279">
        <f t="shared" si="17"/>
        <v>44378</v>
      </c>
      <c r="K69" s="2279">
        <f t="shared" si="17"/>
        <v>44287</v>
      </c>
      <c r="L69" s="2279">
        <f t="shared" si="17"/>
        <v>44197</v>
      </c>
      <c r="M69" s="2279">
        <f t="shared" si="17"/>
        <v>44105</v>
      </c>
      <c r="N69" s="2279">
        <f t="shared" si="17"/>
        <v>44013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v>99.5</v>
      </c>
      <c r="E72" s="698">
        <v>99</v>
      </c>
      <c r="F72" s="698">
        <v>98.5</v>
      </c>
      <c r="G72" s="698">
        <v>98</v>
      </c>
      <c r="H72" s="698">
        <v>97.5</v>
      </c>
      <c r="I72" s="698">
        <v>97</v>
      </c>
      <c r="J72" s="698">
        <v>96.5</v>
      </c>
      <c r="K72" s="698">
        <v>96</v>
      </c>
      <c r="L72" s="698">
        <v>95.5</v>
      </c>
      <c r="M72" s="698">
        <v>95</v>
      </c>
      <c r="N72" s="698">
        <v>94.5</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0（含）-2</v>
      </c>
      <c r="D80" s="650" t="str">
        <f t="shared" ref="D80:L80" si="19">D81&amp;"（含）"&amp;"-"&amp;E81</f>
        <v>2（含）-4</v>
      </c>
      <c r="E80" s="650" t="str">
        <f t="shared" si="19"/>
        <v>4（含）-6</v>
      </c>
      <c r="F80" s="650" t="str">
        <f t="shared" si="19"/>
        <v>6（含）-8</v>
      </c>
      <c r="G80" s="650" t="str">
        <f t="shared" si="19"/>
        <v>8（含）-10</v>
      </c>
      <c r="H80" s="650" t="str">
        <f t="shared" si="19"/>
        <v>10（含）-12</v>
      </c>
      <c r="I80" s="650" t="str">
        <f t="shared" si="19"/>
        <v>12（含）-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2</v>
      </c>
      <c r="E81" s="511">
        <v>4</v>
      </c>
      <c r="F81" s="511">
        <v>6</v>
      </c>
      <c r="G81" s="511">
        <v>8</v>
      </c>
      <c r="H81" s="511">
        <v>10</v>
      </c>
      <c r="I81" s="511">
        <v>12</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95</v>
      </c>
      <c r="E94" s="647">
        <f>D94-$K21</f>
        <v>90</v>
      </c>
      <c r="F94" s="647">
        <f>E94-$K21</f>
        <v>85</v>
      </c>
      <c r="G94" s="647">
        <f>F94-$K21</f>
        <v>80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0(含)-10000</v>
      </c>
      <c r="D117" s="672" t="str">
        <f t="shared" si="24"/>
        <v>10000(含)-20000</v>
      </c>
      <c r="E117" s="672" t="str">
        <f t="shared" si="24"/>
        <v>20000(含)-30000</v>
      </c>
      <c r="F117" s="672" t="str">
        <f t="shared" si="24"/>
        <v>30000(含)-40000</v>
      </c>
      <c r="G117" s="672" t="str">
        <f t="shared" si="24"/>
        <v>40000(含)-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30000</v>
      </c>
      <c r="G118" s="698">
        <v>40000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102</v>
      </c>
      <c r="E119" s="694">
        <v>104</v>
      </c>
      <c r="F119" s="694">
        <v>106</v>
      </c>
      <c r="G119" s="694">
        <v>108</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A16" sqref="A16"/>
    </sheetView>
  </sheetViews>
  <sheetFormatPr defaultColWidth="9" defaultRowHeight="13.5"/>
  <cols>
    <col min="1" max="1" width="42.375" customWidth="1"/>
  </cols>
  <sheetData>
    <row r="1" spans="1:17">
      <c r="A1" s="3669" t="s">
        <v>3259</v>
      </c>
      <c r="B1" s="3669" t="s">
        <v>3260</v>
      </c>
      <c r="C1" s="3669" t="s">
        <v>3261</v>
      </c>
      <c r="D1" s="3669" t="s">
        <v>3262</v>
      </c>
      <c r="E1" s="3669" t="s">
        <v>3263</v>
      </c>
      <c r="F1" s="3669" t="s">
        <v>1550</v>
      </c>
      <c r="G1" s="3669" t="s">
        <v>3264</v>
      </c>
      <c r="H1" s="3669" t="s">
        <v>3265</v>
      </c>
      <c r="I1" s="3669" t="s">
        <v>3266</v>
      </c>
      <c r="J1" s="3669" t="s">
        <v>3267</v>
      </c>
      <c r="K1" s="3669" t="s">
        <v>3268</v>
      </c>
      <c r="L1" s="3669" t="s">
        <v>3269</v>
      </c>
      <c r="M1" s="3669" t="s">
        <v>3270</v>
      </c>
      <c r="N1" s="3669" t="s">
        <v>3271</v>
      </c>
      <c r="O1" s="3669" t="s">
        <v>3272</v>
      </c>
      <c r="P1" s="3669" t="s">
        <v>3273</v>
      </c>
      <c r="Q1" s="3669" t="s">
        <v>3274</v>
      </c>
    </row>
    <row r="2" spans="1:17">
      <c r="A2" s="3669" t="s">
        <v>3275</v>
      </c>
      <c r="B2" s="3669" t="s">
        <v>1465</v>
      </c>
      <c r="C2" s="3669" t="s">
        <v>3276</v>
      </c>
      <c r="D2" s="3669">
        <v>5500</v>
      </c>
      <c r="E2" s="3669">
        <v>12100</v>
      </c>
      <c r="F2" s="3669" t="s">
        <v>3277</v>
      </c>
      <c r="G2" s="3669" t="s">
        <v>3278</v>
      </c>
      <c r="H2" s="3669" t="s">
        <v>3279</v>
      </c>
      <c r="I2" s="3669">
        <v>0</v>
      </c>
      <c r="J2" s="3669" t="s">
        <v>3280</v>
      </c>
      <c r="K2" s="3669" t="s">
        <v>3280</v>
      </c>
      <c r="L2" s="3669">
        <v>20000</v>
      </c>
      <c r="M2" s="3669">
        <v>20000</v>
      </c>
      <c r="N2" s="3669">
        <v>16528.93</v>
      </c>
      <c r="O2" s="3669">
        <v>0</v>
      </c>
      <c r="P2" s="3669" t="s">
        <v>3281</v>
      </c>
      <c r="Q2" s="3669" t="s">
        <v>3282</v>
      </c>
    </row>
    <row r="3" spans="1:17" s="3671" customFormat="1">
      <c r="A3" s="3670" t="s">
        <v>3283</v>
      </c>
      <c r="B3" s="3670" t="s">
        <v>1465</v>
      </c>
      <c r="C3" s="3670" t="s">
        <v>3276</v>
      </c>
      <c r="D3" s="3670">
        <v>10000</v>
      </c>
      <c r="E3" s="3670">
        <v>22000</v>
      </c>
      <c r="F3" s="3670" t="s">
        <v>3277</v>
      </c>
      <c r="G3" s="3670" t="s">
        <v>3278</v>
      </c>
      <c r="H3" s="3670" t="s">
        <v>3279</v>
      </c>
      <c r="I3" s="3670">
        <v>0</v>
      </c>
      <c r="J3" s="3670" t="s">
        <v>3284</v>
      </c>
      <c r="K3" s="3670" t="s">
        <v>3284</v>
      </c>
      <c r="L3" s="3670">
        <v>36400</v>
      </c>
      <c r="M3" s="3670">
        <v>36400</v>
      </c>
      <c r="N3" s="3670">
        <v>16545.45</v>
      </c>
      <c r="O3" s="3670">
        <v>0</v>
      </c>
      <c r="P3" s="3670" t="s">
        <v>3285</v>
      </c>
      <c r="Q3" s="3670" t="s">
        <v>3282</v>
      </c>
    </row>
    <row r="4" spans="1:17">
      <c r="A4" s="3669" t="s">
        <v>3286</v>
      </c>
      <c r="B4" s="3669" t="s">
        <v>1465</v>
      </c>
      <c r="C4" s="3669" t="s">
        <v>3276</v>
      </c>
      <c r="D4" s="3669">
        <v>16122.82</v>
      </c>
      <c r="E4" s="3669">
        <v>45143.91</v>
      </c>
      <c r="F4" s="3669" t="s">
        <v>3287</v>
      </c>
      <c r="G4" s="3669" t="s">
        <v>3278</v>
      </c>
      <c r="H4" s="3669" t="s">
        <v>3279</v>
      </c>
      <c r="I4" s="3669">
        <v>0</v>
      </c>
      <c r="J4" s="3669" t="s">
        <v>3288</v>
      </c>
      <c r="K4" s="3669" t="s">
        <v>3288</v>
      </c>
      <c r="L4" s="3669">
        <v>76000</v>
      </c>
      <c r="M4" s="3669">
        <v>76000</v>
      </c>
      <c r="N4" s="3669">
        <v>16835.05</v>
      </c>
      <c r="O4" s="3669">
        <v>0</v>
      </c>
      <c r="P4" s="3669" t="s">
        <v>3289</v>
      </c>
      <c r="Q4" s="3669" t="s">
        <v>3290</v>
      </c>
    </row>
    <row r="5" spans="1:17" s="3671" customFormat="1">
      <c r="A5" s="3670" t="s">
        <v>3291</v>
      </c>
      <c r="B5" s="3670" t="s">
        <v>1465</v>
      </c>
      <c r="C5" s="3670" t="s">
        <v>3276</v>
      </c>
      <c r="D5" s="3670">
        <v>29991.73</v>
      </c>
      <c r="E5" s="3670">
        <v>119966.93</v>
      </c>
      <c r="F5" s="3670">
        <v>4</v>
      </c>
      <c r="G5" s="3670" t="s">
        <v>3278</v>
      </c>
      <c r="H5" s="3670" t="s">
        <v>3279</v>
      </c>
      <c r="I5" s="3670">
        <v>0</v>
      </c>
      <c r="J5" s="3670" t="s">
        <v>3292</v>
      </c>
      <c r="K5" s="3670" t="s">
        <v>3292</v>
      </c>
      <c r="L5" s="3670">
        <v>165300</v>
      </c>
      <c r="M5" s="3670">
        <v>165300</v>
      </c>
      <c r="N5" s="3670">
        <v>13778.8</v>
      </c>
      <c r="O5" s="3670">
        <v>0</v>
      </c>
      <c r="P5" s="3670" t="s">
        <v>3293</v>
      </c>
      <c r="Q5" s="3670" t="s">
        <v>3290</v>
      </c>
    </row>
    <row r="6" spans="1:17">
      <c r="A6" s="3669" t="s">
        <v>3294</v>
      </c>
      <c r="B6" s="3669" t="s">
        <v>1465</v>
      </c>
      <c r="C6" s="3669" t="s">
        <v>3276</v>
      </c>
      <c r="D6" s="3669">
        <v>204418.11</v>
      </c>
      <c r="E6" s="3669">
        <v>302000</v>
      </c>
      <c r="F6" s="3669">
        <v>1.5</v>
      </c>
      <c r="G6" s="3669" t="s">
        <v>3278</v>
      </c>
      <c r="H6" s="3669" t="s">
        <v>3279</v>
      </c>
      <c r="I6" s="3669">
        <v>0</v>
      </c>
      <c r="J6" s="3669" t="s">
        <v>3295</v>
      </c>
      <c r="K6" s="3669" t="s">
        <v>3295</v>
      </c>
      <c r="L6" s="3669">
        <v>506700</v>
      </c>
      <c r="M6" s="3669">
        <v>506700</v>
      </c>
      <c r="N6" s="3669">
        <v>16778.150000000001</v>
      </c>
      <c r="O6" s="3669">
        <v>0</v>
      </c>
      <c r="P6" s="3669" t="s">
        <v>3296</v>
      </c>
      <c r="Q6" s="3669" t="s">
        <v>3297</v>
      </c>
    </row>
    <row r="7" spans="1:17" s="3671" customFormat="1">
      <c r="A7" s="3670" t="s">
        <v>3298</v>
      </c>
      <c r="B7" s="3670" t="s">
        <v>1465</v>
      </c>
      <c r="C7" s="3670" t="s">
        <v>3276</v>
      </c>
      <c r="D7" s="3670">
        <v>17147.95</v>
      </c>
      <c r="E7" s="3670">
        <v>53158.65</v>
      </c>
      <c r="F7" s="3670" t="s">
        <v>3299</v>
      </c>
      <c r="G7" s="3670" t="s">
        <v>3278</v>
      </c>
      <c r="H7" s="3670" t="s">
        <v>3300</v>
      </c>
      <c r="I7" s="3670">
        <v>0</v>
      </c>
      <c r="J7" s="3670" t="s">
        <v>3301</v>
      </c>
      <c r="K7" s="3670" t="s">
        <v>3301</v>
      </c>
      <c r="L7" s="3670">
        <v>69200</v>
      </c>
      <c r="M7" s="3670">
        <v>69200</v>
      </c>
      <c r="N7" s="3670">
        <v>13017.64</v>
      </c>
      <c r="O7" s="3670">
        <v>0</v>
      </c>
      <c r="P7" s="3670" t="s">
        <v>3302</v>
      </c>
      <c r="Q7" s="3670" t="s">
        <v>3297</v>
      </c>
    </row>
    <row r="8" spans="1:17">
      <c r="A8" s="3669" t="s">
        <v>3303</v>
      </c>
      <c r="B8" s="3669" t="s">
        <v>1465</v>
      </c>
      <c r="C8" s="3669" t="s">
        <v>3276</v>
      </c>
      <c r="D8" s="3669">
        <v>22058.78</v>
      </c>
      <c r="E8" s="3669">
        <v>47390</v>
      </c>
      <c r="F8" s="3669" t="s">
        <v>3304</v>
      </c>
      <c r="G8" s="3669" t="s">
        <v>3278</v>
      </c>
      <c r="H8" s="3669" t="s">
        <v>3279</v>
      </c>
      <c r="I8" s="3669">
        <v>0</v>
      </c>
      <c r="J8" s="3669" t="s">
        <v>3305</v>
      </c>
      <c r="K8" s="3669" t="s">
        <v>3305</v>
      </c>
      <c r="L8" s="3669">
        <v>32700</v>
      </c>
      <c r="M8" s="3669">
        <v>32700</v>
      </c>
      <c r="N8" s="3669">
        <v>6900.19</v>
      </c>
      <c r="O8" s="3669">
        <v>0</v>
      </c>
      <c r="P8" s="3669" t="s">
        <v>3306</v>
      </c>
      <c r="Q8" s="3669" t="s">
        <v>3290</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北京市出让国有建设用地使用权抵押价格预评估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郑燚、崔锴</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11" sqref="E1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72543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7747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76777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5118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156839</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1212</v>
      </c>
      <c r="D7" s="423" t="s">
        <v>2740</v>
      </c>
      <c r="E7" s="423" t="s">
        <v>2741</v>
      </c>
      <c r="F7" s="423"/>
      <c r="G7" s="423"/>
      <c r="H7" s="423"/>
      <c r="I7" s="423"/>
      <c r="J7" s="423"/>
      <c r="K7" s="424"/>
      <c r="AA7" s="1835"/>
      <c r="AB7" s="1835"/>
      <c r="AC7" s="1835"/>
      <c r="AD7" s="1835"/>
      <c r="AE7" s="1835"/>
    </row>
    <row r="8" spans="1:31" s="1838" customFormat="1" ht="13.5" customHeight="1">
      <c r="A8" s="769" t="s">
        <v>1374</v>
      </c>
      <c r="B8" s="252" t="s">
        <v>432</v>
      </c>
      <c r="C8" s="2314">
        <f ca="1">不动产收益法!B3</f>
        <v>22403</v>
      </c>
      <c r="D8" s="2314">
        <f ca="1">'不动产收益法-商业'!B3</f>
        <v>20728</v>
      </c>
      <c r="E8" s="2314">
        <f ca="1">'不动产收益法-车库'!B3</f>
        <v>1405</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27997.13</v>
      </c>
      <c r="D9" s="428">
        <f>SUMIF('数据-汇总表'!$C19:$C33,'剩余法-待开发'!D7,'数据-汇总表'!$E19:$E33)</f>
        <v>44418.490000000005</v>
      </c>
      <c r="E9" s="428">
        <f>SUMIF('数据-汇总表'!$C19:$C33,'剩余法-待开发'!E7,'数据-汇总表'!$E19:$E33)</f>
        <v>14569.81</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62722</v>
      </c>
      <c r="D10" s="2502">
        <f ca="1">'不动产收益法-商业'!B2</f>
        <v>92070</v>
      </c>
      <c r="E10" s="2502">
        <f ca="1">'不动产收益法-车库'!B2</f>
        <v>2047</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36402</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1092</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1873</v>
      </c>
      <c r="D16" s="2324">
        <f ca="1">IF(B1="",'数据-汇总表'!E3,INDIRECT("'数据-取费表'!K"&amp;$K$1)+INDIRECT("'数据-取费表'!S"&amp;$K$1))</f>
        <v>93643.760000000009</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546</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39913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93643.760000000009</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1873</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1873</v>
      </c>
      <c r="D22" s="2324">
        <f ca="1">IF(B1="",'数据-汇总表'!E6,IF(INDIRECT("'数据-取费表'!c"&amp;$K$1)="住宅",INDIRECT("'数据-取费表'!s"&amp;$K$1),INDIRECT("'数据-取费表'!k"&amp;$K$1)+INDIRECT("'数据-取费表'!s"&amp;$K$1)))</f>
        <v>93643.760000000009</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836</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3137</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2878</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2878</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8215</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56852</v>
      </c>
      <c r="D30" s="463">
        <f ca="1">C32</f>
        <v>0.16250000000000001</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56852</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5949</v>
      </c>
      <c r="D33" s="453">
        <f ca="1">C34</f>
        <v>0.1338</v>
      </c>
      <c r="E33" s="455" t="s">
        <v>455</v>
      </c>
      <c r="F33" s="465">
        <f ca="1">IF(B1="",'数据-取费表'!Q16,INDIRECT("'数据-取费表'!q"&amp;$K$1))</f>
        <v>0.13</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0.1338</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5949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72543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36402</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1092</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1873</v>
      </c>
      <c r="D16" s="437">
        <f ca="1">IF(B1="",'数据-汇总表'!E3,INDIRECT("'数据-取费表'!K"&amp;$K$1)+INDIRECT("'数据-取费表'!S"&amp;$K$1))</f>
        <v>93643.760000000009</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546</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39913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798</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2560</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f ca="1">ROUND((C18+C19)*F21,0)</f>
        <v>5292</v>
      </c>
      <c r="D21" s="3029"/>
      <c r="E21" s="448"/>
      <c r="F21" s="465">
        <f ca="1">IF(B1="",'数据-取费表'!Q16,INDIRECT("'数据-取费表'!q"&amp;$K$1))</f>
        <v>0.13</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93" t="s">
        <v>1394</v>
      </c>
      <c r="B24" s="3894"/>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93" t="s">
        <v>2295</v>
      </c>
      <c r="B25" s="389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93" t="s">
        <v>2296</v>
      </c>
      <c r="B26" s="389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5" t="s">
        <v>2294</v>
      </c>
      <c r="B27" s="3896"/>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6" t="s">
        <v>471</v>
      </c>
      <c r="D6" s="3877"/>
      <c r="E6" s="3902" t="s">
        <v>472</v>
      </c>
      <c r="F6" s="3903"/>
      <c r="G6" s="3876" t="s">
        <v>473</v>
      </c>
      <c r="H6" s="3877"/>
      <c r="I6" s="3876" t="s">
        <v>474</v>
      </c>
      <c r="J6" s="3877"/>
      <c r="K6" s="484" t="s">
        <v>475</v>
      </c>
      <c r="L6" s="1856"/>
      <c r="M6" s="1857"/>
      <c r="N6" s="1857"/>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29" ht="15">
      <c r="A7" s="485"/>
      <c r="B7" s="486"/>
      <c r="C7" s="3887" t="s">
        <v>2191</v>
      </c>
      <c r="D7" s="3888"/>
      <c r="E7" s="3904" t="s">
        <v>2192</v>
      </c>
      <c r="F7" s="3905"/>
      <c r="G7" s="3887" t="s">
        <v>2193</v>
      </c>
      <c r="H7" s="3888"/>
      <c r="I7" s="3887" t="s">
        <v>2194</v>
      </c>
      <c r="J7" s="3888"/>
      <c r="K7" s="484"/>
      <c r="L7" s="1856"/>
      <c r="M7" s="1857"/>
      <c r="N7" s="1857"/>
      <c r="O7" s="1857"/>
      <c r="P7" s="3880"/>
      <c r="Q7" s="3881"/>
      <c r="R7" s="3864"/>
      <c r="S7" s="3865"/>
      <c r="T7" s="3864"/>
      <c r="U7" s="3865"/>
      <c r="V7" s="3884"/>
      <c r="W7" s="3884"/>
      <c r="X7" s="1380"/>
      <c r="Y7" s="3864"/>
      <c r="Z7" s="3865"/>
      <c r="AA7" s="3858"/>
      <c r="AB7" s="3858"/>
      <c r="AC7" s="3858"/>
    </row>
    <row r="8" spans="1:29" ht="15.75" thickBot="1">
      <c r="A8" s="487"/>
      <c r="B8" s="488"/>
      <c r="C8" s="3885" t="s">
        <v>2195</v>
      </c>
      <c r="D8" s="3886"/>
      <c r="E8" s="3906" t="s">
        <v>2195</v>
      </c>
      <c r="F8" s="3907"/>
      <c r="G8" s="3885" t="s">
        <v>2195</v>
      </c>
      <c r="H8" s="3886"/>
      <c r="I8" s="3885" t="s">
        <v>2195</v>
      </c>
      <c r="J8" s="3886"/>
      <c r="K8" s="484" t="s">
        <v>477</v>
      </c>
      <c r="L8" s="1856"/>
      <c r="M8" s="1857"/>
      <c r="N8" s="1857"/>
      <c r="O8" s="1857"/>
      <c r="P8" s="3882"/>
      <c r="Q8" s="3883"/>
      <c r="R8" s="3864"/>
      <c r="S8" s="3865"/>
      <c r="T8" s="3866"/>
      <c r="U8" s="3867"/>
      <c r="V8" s="3884"/>
      <c r="W8" s="3884"/>
      <c r="X8" s="1380"/>
      <c r="Y8" s="3866"/>
      <c r="Z8" s="3867"/>
      <c r="AA8" s="3859"/>
      <c r="AB8" s="3859"/>
      <c r="AC8" s="3859"/>
    </row>
    <row r="9" spans="1:29" s="1118" customFormat="1" ht="15.75" thickBot="1">
      <c r="A9" s="2392"/>
      <c r="B9" s="2399" t="s">
        <v>478</v>
      </c>
      <c r="C9" s="489">
        <f>'数据-取费表'!B2</f>
        <v>45028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0" t="s">
        <v>479</v>
      </c>
      <c r="Q9" s="3869"/>
      <c r="R9" s="1381" t="s">
        <v>5</v>
      </c>
      <c r="S9" s="1382">
        <f t="shared" ref="S9:S17" si="0">F9</f>
        <v>0</v>
      </c>
      <c r="T9" s="1381" t="s">
        <v>5</v>
      </c>
      <c r="U9" s="1382">
        <f t="shared" ref="U9:U17" si="1">H9</f>
        <v>0</v>
      </c>
      <c r="V9" s="1381" t="s">
        <v>5</v>
      </c>
      <c r="W9" s="1382">
        <f t="shared" ref="W9:W17" si="2">J9</f>
        <v>0</v>
      </c>
      <c r="X9" s="1383"/>
      <c r="Y9" s="3860" t="s">
        <v>479</v>
      </c>
      <c r="Z9" s="3861"/>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0" t="s">
        <v>482</v>
      </c>
      <c r="Q10" s="3861"/>
      <c r="R10" s="1381" t="s">
        <v>5</v>
      </c>
      <c r="S10" s="1382">
        <f t="shared" si="0"/>
        <v>0</v>
      </c>
      <c r="T10" s="1381" t="s">
        <v>5</v>
      </c>
      <c r="U10" s="1382">
        <f t="shared" si="1"/>
        <v>0</v>
      </c>
      <c r="V10" s="1381" t="s">
        <v>5</v>
      </c>
      <c r="W10" s="1382">
        <f t="shared" si="2"/>
        <v>0</v>
      </c>
      <c r="X10" s="1383"/>
      <c r="Y10" s="3860" t="s">
        <v>482</v>
      </c>
      <c r="Z10" s="386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109</v>
      </c>
      <c r="G12" s="498"/>
      <c r="H12" s="246">
        <f>ROUND(100/'数据-取费表'!G16,0)</f>
        <v>109</v>
      </c>
      <c r="I12" s="498"/>
      <c r="J12" s="246">
        <f>ROUND(100/'数据-取费表'!G16,0)</f>
        <v>109</v>
      </c>
      <c r="K12" s="501"/>
      <c r="L12" s="1861"/>
      <c r="M12" s="1900"/>
      <c r="N12" s="1900"/>
      <c r="O12" s="1862"/>
      <c r="P12" s="3868"/>
      <c r="Q12" s="1050" t="str">
        <f t="shared" si="6"/>
        <v>土地使用年限（年）</v>
      </c>
      <c r="R12" s="1381" t="s">
        <v>5</v>
      </c>
      <c r="S12" s="1382">
        <f t="shared" si="0"/>
        <v>109</v>
      </c>
      <c r="T12" s="1381" t="s">
        <v>5</v>
      </c>
      <c r="U12" s="1382">
        <f t="shared" si="1"/>
        <v>109</v>
      </c>
      <c r="V12" s="1381" t="s">
        <v>5</v>
      </c>
      <c r="W12" s="1382">
        <f t="shared" si="2"/>
        <v>109</v>
      </c>
      <c r="X12" s="1383"/>
      <c r="Y12" s="3820"/>
      <c r="Z12" s="1049" t="str">
        <f t="shared" si="7"/>
        <v>土地使用年限（年）</v>
      </c>
      <c r="AA12" s="1384">
        <f t="shared" si="3"/>
        <v>0.91743119266055051</v>
      </c>
      <c r="AB12" s="1384">
        <f t="shared" si="4"/>
        <v>0.91743119266055051</v>
      </c>
      <c r="AC12" s="1384">
        <f t="shared" si="5"/>
        <v>0.91743119266055051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2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505</v>
      </c>
      <c r="B43" s="578" t="s">
        <v>2196</v>
      </c>
      <c r="C43" s="579" t="s">
        <v>0</v>
      </c>
      <c r="D43" s="580"/>
      <c r="E43" s="581"/>
      <c r="F43" s="582"/>
      <c r="G43" s="583"/>
      <c r="H43" s="584"/>
      <c r="I43" s="581"/>
      <c r="J43" s="584"/>
      <c r="K43" s="1201"/>
      <c r="L43" s="1867"/>
      <c r="M43" s="1857"/>
      <c r="N43" s="1857"/>
      <c r="O43" s="1868"/>
      <c r="P43" s="3868" t="str">
        <f>A43</f>
        <v>成交单价</v>
      </c>
      <c r="Q43" s="3868"/>
      <c r="R43" s="3884">
        <f>E43</f>
        <v>0</v>
      </c>
      <c r="S43" s="3884"/>
      <c r="T43" s="3884">
        <f>G43</f>
        <v>0</v>
      </c>
      <c r="U43" s="3884"/>
      <c r="V43" s="3884">
        <f>I43</f>
        <v>0</v>
      </c>
      <c r="W43" s="3884"/>
      <c r="X43" s="1375"/>
      <c r="Y43" s="1394"/>
      <c r="Z43" s="1375"/>
      <c r="AA43" s="1375"/>
      <c r="AB43" s="1375"/>
      <c r="AC43" s="1375"/>
    </row>
    <row r="44" spans="1:29" ht="15.75" thickBot="1">
      <c r="A44" s="585" t="s">
        <v>1975</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901" t="e">
        <f>ROUND(IF(D44="简单平均",AVERAGE(R44:W44),R44*F44+T44*H44+V44*J44),0)</f>
        <v>#DIV/0!</v>
      </c>
      <c r="S45" s="3901"/>
      <c r="T45" s="3901"/>
      <c r="U45" s="3901"/>
      <c r="V45" s="3901"/>
      <c r="W45" s="390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7" t="s">
        <v>1642</v>
      </c>
      <c r="H52" s="389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67703.540000000008</v>
      </c>
      <c r="F53" s="1706" t="e">
        <f t="shared" ref="F53:F61" si="14">ROUND(B53*E53/10000,0)</f>
        <v>#DIV/0!</v>
      </c>
      <c r="G53" s="3899"/>
      <c r="H53" s="390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14569.81</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9448.5499999999993</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2023-4-1</v>
      </c>
      <c r="D64" s="2279">
        <f>EDATE(C64,-3)</f>
        <v>44927</v>
      </c>
      <c r="E64" s="2279">
        <f t="shared" ref="E64:N64" si="17">EDATE(D64,-3)</f>
        <v>44835</v>
      </c>
      <c r="F64" s="2279">
        <f t="shared" si="17"/>
        <v>44743</v>
      </c>
      <c r="G64" s="2279">
        <f t="shared" si="17"/>
        <v>44652</v>
      </c>
      <c r="H64" s="2279">
        <f t="shared" si="17"/>
        <v>44562</v>
      </c>
      <c r="I64" s="2279">
        <f t="shared" si="17"/>
        <v>44470</v>
      </c>
      <c r="J64" s="2279">
        <f t="shared" si="17"/>
        <v>44378</v>
      </c>
      <c r="K64" s="2279">
        <f t="shared" si="17"/>
        <v>44287</v>
      </c>
      <c r="L64" s="2279">
        <f t="shared" si="17"/>
        <v>44197</v>
      </c>
      <c r="M64" s="2279">
        <f t="shared" si="17"/>
        <v>44105</v>
      </c>
      <c r="N64" s="2279">
        <f t="shared" si="17"/>
        <v>44013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6" t="s">
        <v>2060</v>
      </c>
      <c r="X8" s="391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5"/>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t="e">
        <f>ROUND(G18/I18,2)</f>
        <v>#DIV/0!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9" t="s">
        <v>1370</v>
      </c>
      <c r="B20" s="1278" t="s">
        <v>875</v>
      </c>
      <c r="C20" s="998" t="e">
        <f>ROUND(IF(F21="与级别开发程度一致",0,(G21-E21)/C21),0)</f>
        <v>#DIV/0!</v>
      </c>
      <c r="D20" s="3921" t="s">
        <v>879</v>
      </c>
      <c r="E20" s="3922"/>
      <c r="F20" s="3921" t="s">
        <v>876</v>
      </c>
      <c r="G20" s="392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45028</v>
      </c>
      <c r="H23" s="1298" t="s">
        <v>2246</v>
      </c>
      <c r="I23" s="2266" t="str">
        <f>IF(H23="季度增幅（自定义）",SUMIF(N25:N28,E2,O25:O28),"")</f>
        <v/>
      </c>
      <c r="J23" s="3567"/>
      <c r="K23" s="2977"/>
      <c r="L23" s="2511" t="s">
        <v>2116</v>
      </c>
      <c r="M23" s="2512">
        <f>ROUND(SUMIF(地价!B2:F2,E2,地价!B41:F41),0)</f>
        <v>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2278</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3"/>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3"/>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14"/>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4"/>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t="e">
        <f>ROUND(POWER(1+E44,H44-G44)*(POWER(1+E44,G44)-1)/(POWER(1+E44,H44)-1),4)</f>
        <v>#DIV/0!</v>
      </c>
      <c r="D44" s="365" t="s">
        <v>2240</v>
      </c>
      <c r="E44" s="2587">
        <f>G24</f>
        <v>0</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2198</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2198</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1" t="s">
        <v>1172</v>
      </c>
      <c r="B104" s="3911"/>
      <c r="C104" s="3911"/>
      <c r="D104" s="3911"/>
      <c r="E104" s="3911"/>
      <c r="F104" s="3911"/>
      <c r="G104" s="3911"/>
      <c r="H104" s="3911"/>
      <c r="I104" s="3911"/>
      <c r="J104" s="3911"/>
      <c r="K104" s="2103"/>
      <c r="L104" s="2103"/>
      <c r="M104" s="2103"/>
      <c r="N104" s="2103"/>
    </row>
    <row r="105" spans="1:36">
      <c r="A105" s="3912" t="s">
        <v>1161</v>
      </c>
      <c r="B105" s="3912" t="s">
        <v>1173</v>
      </c>
      <c r="C105" s="1041" t="s">
        <v>1174</v>
      </c>
      <c r="D105" s="1042"/>
      <c r="E105" s="1042"/>
      <c r="F105" s="1042"/>
      <c r="G105" s="1042"/>
      <c r="H105" s="1042"/>
      <c r="I105" s="1042"/>
      <c r="J105" s="1043"/>
      <c r="K105" s="1035"/>
      <c r="L105" s="1035"/>
      <c r="M105" s="1035"/>
      <c r="N105" s="1035"/>
    </row>
    <row r="106" spans="1:36">
      <c r="A106" s="3912"/>
      <c r="B106" s="391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9"/>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8" t="s">
        <v>1175</v>
      </c>
      <c r="B114" s="3908"/>
      <c r="C114" s="3908"/>
      <c r="D114" s="3908"/>
      <c r="E114" s="3908"/>
      <c r="F114" s="3908"/>
      <c r="G114" s="3908"/>
      <c r="H114" s="3908"/>
      <c r="I114" s="3908"/>
      <c r="J114" s="390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27" t="s">
        <v>2451</v>
      </c>
      <c r="B20" s="3930" t="s">
        <v>2461</v>
      </c>
      <c r="C20" s="3260" t="s">
        <v>2462</v>
      </c>
      <c r="D20" s="3261"/>
      <c r="E20" s="3262">
        <v>1</v>
      </c>
      <c r="F20" s="3263" t="s">
        <v>2463</v>
      </c>
      <c r="G20" s="1035"/>
      <c r="H20" s="1025"/>
      <c r="I20" s="1025"/>
    </row>
    <row r="21" spans="1:13" s="1408" customFormat="1">
      <c r="A21" s="3928"/>
      <c r="B21" s="3926"/>
      <c r="C21" s="3264" t="s">
        <v>2464</v>
      </c>
      <c r="D21" s="3265"/>
      <c r="E21" s="3266">
        <v>1</v>
      </c>
      <c r="F21" s="3263" t="s">
        <v>2465</v>
      </c>
      <c r="G21" s="1035"/>
      <c r="H21" s="1025"/>
      <c r="I21" s="1025"/>
    </row>
    <row r="22" spans="1:13" s="1408" customFormat="1">
      <c r="A22" s="3928"/>
      <c r="B22" s="3926"/>
      <c r="C22" s="3264" t="s">
        <v>2466</v>
      </c>
      <c r="D22" s="3265"/>
      <c r="E22" s="3266">
        <v>0.9</v>
      </c>
      <c r="F22" s="3263" t="s">
        <v>2467</v>
      </c>
      <c r="G22" s="1035"/>
      <c r="H22" s="1025"/>
      <c r="I22" s="1025"/>
    </row>
    <row r="23" spans="1:13" s="1408" customFormat="1">
      <c r="A23" s="3928"/>
      <c r="B23" s="3926"/>
      <c r="C23" s="3264" t="s">
        <v>2468</v>
      </c>
      <c r="D23" s="3265"/>
      <c r="E23" s="3266">
        <v>0.9</v>
      </c>
      <c r="F23" s="3263" t="s">
        <v>2469</v>
      </c>
      <c r="G23" s="1035"/>
      <c r="H23" s="1025"/>
      <c r="I23" s="1025"/>
    </row>
    <row r="24" spans="1:13" s="1408" customFormat="1">
      <c r="A24" s="3928"/>
      <c r="B24" s="3926"/>
      <c r="C24" s="3264" t="s">
        <v>2470</v>
      </c>
      <c r="D24" s="3265"/>
      <c r="E24" s="3266">
        <v>0.8</v>
      </c>
      <c r="F24" s="3263" t="s">
        <v>2471</v>
      </c>
      <c r="G24" s="1035"/>
      <c r="H24" s="1025"/>
      <c r="I24" s="1025"/>
    </row>
    <row r="25" spans="1:13" s="1408" customFormat="1" ht="14.25" thickBot="1">
      <c r="A25" s="3929"/>
      <c r="B25" s="3931"/>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32" t="s">
        <v>2456</v>
      </c>
      <c r="B27" s="3930" t="s">
        <v>2456</v>
      </c>
      <c r="C27" s="3260" t="s">
        <v>2476</v>
      </c>
      <c r="D27" s="3261"/>
      <c r="E27" s="3262">
        <v>1</v>
      </c>
      <c r="F27" s="3263" t="s">
        <v>2477</v>
      </c>
      <c r="G27" s="1035"/>
      <c r="H27" s="1025"/>
      <c r="I27" s="1025"/>
    </row>
    <row r="28" spans="1:13" s="1408" customFormat="1">
      <c r="A28" s="3933"/>
      <c r="B28" s="3926"/>
      <c r="C28" s="3264" t="s">
        <v>2478</v>
      </c>
      <c r="D28" s="3265"/>
      <c r="E28" s="3266">
        <v>1</v>
      </c>
      <c r="F28" s="3263" t="s">
        <v>2479</v>
      </c>
      <c r="G28" s="1035"/>
      <c r="H28" s="1025"/>
      <c r="I28" s="1025"/>
    </row>
    <row r="29" spans="1:13" s="1408" customFormat="1">
      <c r="A29" s="3933"/>
      <c r="B29" s="3926"/>
      <c r="C29" s="3264" t="s">
        <v>2480</v>
      </c>
      <c r="D29" s="3265"/>
      <c r="E29" s="3266">
        <v>0.8</v>
      </c>
      <c r="F29" s="3263" t="s">
        <v>2481</v>
      </c>
      <c r="G29" s="1035"/>
      <c r="H29" s="1025"/>
      <c r="I29" s="1025"/>
    </row>
    <row r="30" spans="1:13" s="1408" customFormat="1">
      <c r="A30" s="3933"/>
      <c r="B30" s="3926"/>
      <c r="C30" s="3264" t="s">
        <v>2482</v>
      </c>
      <c r="D30" s="3265"/>
      <c r="E30" s="3266">
        <v>0.8</v>
      </c>
      <c r="F30" s="3263" t="s">
        <v>2483</v>
      </c>
      <c r="G30" s="1035"/>
      <c r="H30" s="1025"/>
      <c r="I30" s="1025"/>
    </row>
    <row r="31" spans="1:13" s="1408" customFormat="1">
      <c r="A31" s="3933"/>
      <c r="B31" s="3926"/>
      <c r="C31" s="3264" t="s">
        <v>2484</v>
      </c>
      <c r="D31" s="3265"/>
      <c r="E31" s="3266">
        <v>0.8</v>
      </c>
      <c r="F31" s="3263" t="s">
        <v>2485</v>
      </c>
      <c r="G31" s="1035"/>
      <c r="H31" s="1025"/>
      <c r="I31" s="1025"/>
    </row>
    <row r="32" spans="1:13" s="1408" customFormat="1">
      <c r="A32" s="3933"/>
      <c r="B32" s="3926"/>
      <c r="C32" s="3264" t="s">
        <v>2486</v>
      </c>
      <c r="D32" s="3265"/>
      <c r="E32" s="3266">
        <v>0.7</v>
      </c>
      <c r="F32" s="3263" t="s">
        <v>2487</v>
      </c>
      <c r="G32" s="1035"/>
      <c r="H32" s="1025"/>
      <c r="I32" s="1025"/>
    </row>
    <row r="33" spans="1:9" s="1408" customFormat="1">
      <c r="A33" s="3933"/>
      <c r="B33" s="3926"/>
      <c r="C33" s="3264" t="s">
        <v>2488</v>
      </c>
      <c r="D33" s="3265"/>
      <c r="E33" s="3266">
        <v>0.8</v>
      </c>
      <c r="F33" s="3263" t="s">
        <v>2489</v>
      </c>
      <c r="G33" s="1035"/>
      <c r="H33" s="1025"/>
      <c r="I33" s="1025"/>
    </row>
    <row r="34" spans="1:9" s="1408" customFormat="1">
      <c r="A34" s="3933"/>
      <c r="B34" s="3926"/>
      <c r="C34" s="3264" t="s">
        <v>2490</v>
      </c>
      <c r="D34" s="3265"/>
      <c r="E34" s="3266">
        <v>0.6</v>
      </c>
      <c r="F34" s="3263" t="s">
        <v>2491</v>
      </c>
      <c r="G34" s="1035"/>
      <c r="H34" s="1025"/>
      <c r="I34" s="1025"/>
    </row>
    <row r="35" spans="1:9" s="1408" customFormat="1">
      <c r="A35" s="3933"/>
      <c r="B35" s="3926"/>
      <c r="C35" s="3264" t="s">
        <v>2492</v>
      </c>
      <c r="D35" s="3265"/>
      <c r="E35" s="3266">
        <v>0.2</v>
      </c>
      <c r="F35" s="3263" t="s">
        <v>2493</v>
      </c>
      <c r="G35" s="1035"/>
      <c r="H35" s="1025"/>
      <c r="I35" s="1025"/>
    </row>
    <row r="36" spans="1:9" s="1408" customFormat="1">
      <c r="A36" s="3933"/>
      <c r="B36" s="3926"/>
      <c r="C36" s="3264" t="s">
        <v>2494</v>
      </c>
      <c r="D36" s="3265"/>
      <c r="E36" s="3266">
        <v>0.2</v>
      </c>
      <c r="F36" s="3263" t="s">
        <v>2495</v>
      </c>
      <c r="G36" s="1035"/>
      <c r="H36" s="1025"/>
      <c r="I36" s="1025"/>
    </row>
    <row r="37" spans="1:9" s="1408" customFormat="1">
      <c r="A37" s="3933"/>
      <c r="B37" s="3924" t="s">
        <v>2496</v>
      </c>
      <c r="C37" s="3264" t="s">
        <v>2497</v>
      </c>
      <c r="D37" s="3265"/>
      <c r="E37" s="3266">
        <v>0.6</v>
      </c>
      <c r="F37" s="3263" t="s">
        <v>2498</v>
      </c>
      <c r="G37" s="1035"/>
      <c r="H37" s="1025"/>
      <c r="I37" s="1025"/>
    </row>
    <row r="38" spans="1:9" s="1408" customFormat="1">
      <c r="A38" s="3933"/>
      <c r="B38" s="3926"/>
      <c r="C38" s="3264" t="s">
        <v>2499</v>
      </c>
      <c r="D38" s="3265"/>
      <c r="E38" s="3266">
        <v>0.6</v>
      </c>
      <c r="F38" s="3263" t="s">
        <v>2500</v>
      </c>
      <c r="G38" s="1035"/>
      <c r="H38" s="1025"/>
      <c r="I38" s="1025"/>
    </row>
    <row r="39" spans="1:9" s="1408" customFormat="1" ht="14.25" thickBot="1">
      <c r="A39" s="3934"/>
      <c r="B39" s="3931"/>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27" t="s">
        <v>2454</v>
      </c>
      <c r="B41" s="3930" t="s">
        <v>2505</v>
      </c>
      <c r="C41" s="3260" t="s">
        <v>2506</v>
      </c>
      <c r="D41" s="3261"/>
      <c r="E41" s="3262">
        <v>1</v>
      </c>
      <c r="F41" s="3263" t="s">
        <v>2507</v>
      </c>
      <c r="G41" s="1035"/>
      <c r="H41" s="1025"/>
      <c r="I41" s="1025"/>
    </row>
    <row r="42" spans="1:9" s="1408" customFormat="1">
      <c r="A42" s="3928"/>
      <c r="B42" s="3926"/>
      <c r="C42" s="3264" t="s">
        <v>2508</v>
      </c>
      <c r="D42" s="3265"/>
      <c r="E42" s="3266">
        <v>1</v>
      </c>
      <c r="F42" s="3263" t="s">
        <v>2509</v>
      </c>
      <c r="G42" s="1035"/>
      <c r="H42" s="1025"/>
      <c r="I42" s="1025"/>
    </row>
    <row r="43" spans="1:9" s="1408" customFormat="1">
      <c r="A43" s="3928"/>
      <c r="B43" s="3925"/>
      <c r="C43" s="3264" t="s">
        <v>2510</v>
      </c>
      <c r="D43" s="3265"/>
      <c r="E43" s="3266">
        <v>1.5</v>
      </c>
      <c r="F43" s="3263" t="s">
        <v>2511</v>
      </c>
      <c r="G43" s="1035"/>
      <c r="H43" s="1025"/>
      <c r="I43" s="1025"/>
    </row>
    <row r="44" spans="1:9" s="1408" customFormat="1">
      <c r="A44" s="3928"/>
      <c r="B44" s="3275" t="s">
        <v>2456</v>
      </c>
      <c r="C44" s="3264" t="s">
        <v>2455</v>
      </c>
      <c r="D44" s="3265"/>
      <c r="E44" s="3266">
        <v>2</v>
      </c>
      <c r="F44" s="3263" t="s">
        <v>2512</v>
      </c>
      <c r="G44" s="1035"/>
      <c r="H44" s="1025"/>
      <c r="I44" s="1025"/>
    </row>
    <row r="45" spans="1:9" s="1408" customFormat="1">
      <c r="A45" s="3928"/>
      <c r="B45" s="3924" t="s">
        <v>2513</v>
      </c>
      <c r="C45" s="3264" t="s">
        <v>2514</v>
      </c>
      <c r="D45" s="3265"/>
      <c r="E45" s="3266">
        <v>1</v>
      </c>
      <c r="F45" s="3263" t="s">
        <v>2515</v>
      </c>
      <c r="G45" s="1035"/>
      <c r="H45" s="1025"/>
      <c r="I45" s="1025"/>
    </row>
    <row r="46" spans="1:9" s="1408" customFormat="1">
      <c r="A46" s="3928"/>
      <c r="B46" s="3926"/>
      <c r="C46" s="3264" t="s">
        <v>2516</v>
      </c>
      <c r="D46" s="3265"/>
      <c r="E46" s="3266">
        <v>1</v>
      </c>
      <c r="F46" s="3263" t="s">
        <v>2517</v>
      </c>
      <c r="G46" s="1035"/>
      <c r="H46" s="1025"/>
      <c r="I46" s="1025"/>
    </row>
    <row r="47" spans="1:9" s="1408" customFormat="1">
      <c r="A47" s="3928"/>
      <c r="B47" s="3926"/>
      <c r="C47" s="3264" t="s">
        <v>2518</v>
      </c>
      <c r="D47" s="3265"/>
      <c r="E47" s="3266">
        <v>1</v>
      </c>
      <c r="F47" s="3263" t="s">
        <v>2519</v>
      </c>
      <c r="G47" s="1035"/>
      <c r="H47" s="1025"/>
      <c r="I47" s="1025"/>
    </row>
    <row r="48" spans="1:9" s="1408" customFormat="1">
      <c r="A48" s="3928"/>
      <c r="B48" s="3926"/>
      <c r="C48" s="3264" t="s">
        <v>2520</v>
      </c>
      <c r="D48" s="3265"/>
      <c r="E48" s="3266">
        <v>1</v>
      </c>
      <c r="F48" s="3263" t="s">
        <v>2521</v>
      </c>
      <c r="G48" s="1035"/>
      <c r="H48" s="1025"/>
      <c r="I48" s="1025"/>
    </row>
    <row r="49" spans="1:9" s="1408" customFormat="1">
      <c r="A49" s="3928"/>
      <c r="B49" s="3926"/>
      <c r="C49" s="3264" t="s">
        <v>2522</v>
      </c>
      <c r="D49" s="3265"/>
      <c r="E49" s="3266">
        <v>1</v>
      </c>
      <c r="F49" s="3263" t="s">
        <v>2523</v>
      </c>
      <c r="G49" s="1035"/>
      <c r="H49" s="1025"/>
      <c r="I49" s="1025"/>
    </row>
    <row r="50" spans="1:9" s="1408" customFormat="1">
      <c r="A50" s="3928"/>
      <c r="B50" s="3926"/>
      <c r="C50" s="3264" t="s">
        <v>2524</v>
      </c>
      <c r="D50" s="3265"/>
      <c r="E50" s="3266">
        <v>1</v>
      </c>
      <c r="F50" s="3263" t="s">
        <v>2525</v>
      </c>
      <c r="G50" s="1035"/>
      <c r="H50" s="1025"/>
      <c r="I50" s="1025"/>
    </row>
    <row r="51" spans="1:9" s="1408" customFormat="1" ht="14.25" thickBot="1">
      <c r="A51" s="3929"/>
      <c r="B51" s="3931"/>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24" t="s">
        <v>2529</v>
      </c>
      <c r="C73" s="3253" t="s">
        <v>2530</v>
      </c>
      <c r="D73" s="3253" t="s">
        <v>2531</v>
      </c>
      <c r="E73" s="3276">
        <v>0.2</v>
      </c>
      <c r="F73" s="3275">
        <v>25</v>
      </c>
      <c r="H73" s="1025">
        <f>SUMIF(C71:C139,基准地价!C8,E71:E139)</f>
        <v>0</v>
      </c>
    </row>
    <row r="74" spans="1:8" s="1025" customFormat="1" ht="24">
      <c r="A74" s="3275">
        <v>2</v>
      </c>
      <c r="B74" s="3926"/>
      <c r="C74" s="3253" t="s">
        <v>2532</v>
      </c>
      <c r="D74" s="3253" t="s">
        <v>2533</v>
      </c>
      <c r="E74" s="3276">
        <v>0.2</v>
      </c>
      <c r="F74" s="3275">
        <v>25</v>
      </c>
    </row>
    <row r="75" spans="1:8" s="1025" customFormat="1" ht="24">
      <c r="A75" s="3275">
        <v>3</v>
      </c>
      <c r="B75" s="3926"/>
      <c r="C75" s="3253" t="s">
        <v>2534</v>
      </c>
      <c r="D75" s="3253" t="s">
        <v>2535</v>
      </c>
      <c r="E75" s="3276">
        <v>0.2</v>
      </c>
      <c r="F75" s="3275">
        <v>25</v>
      </c>
    </row>
    <row r="76" spans="1:8" s="1025" customFormat="1">
      <c r="A76" s="3275">
        <v>4</v>
      </c>
      <c r="B76" s="3926"/>
      <c r="C76" s="3253" t="s">
        <v>2536</v>
      </c>
      <c r="D76" s="3253" t="s">
        <v>2537</v>
      </c>
      <c r="E76" s="3276">
        <v>0.15</v>
      </c>
      <c r="F76" s="3275">
        <v>20</v>
      </c>
    </row>
    <row r="77" spans="1:8" s="1025" customFormat="1" ht="24">
      <c r="A77" s="3275">
        <v>5</v>
      </c>
      <c r="B77" s="3926"/>
      <c r="C77" s="3253" t="s">
        <v>2538</v>
      </c>
      <c r="D77" s="3253" t="s">
        <v>2539</v>
      </c>
      <c r="E77" s="3276">
        <v>0.15</v>
      </c>
      <c r="F77" s="3275">
        <v>20</v>
      </c>
    </row>
    <row r="78" spans="1:8" s="1025" customFormat="1" ht="24">
      <c r="A78" s="3275">
        <v>6</v>
      </c>
      <c r="B78" s="3926"/>
      <c r="C78" s="3253" t="s">
        <v>2540</v>
      </c>
      <c r="D78" s="3253" t="s">
        <v>2541</v>
      </c>
      <c r="E78" s="3276">
        <v>0.15</v>
      </c>
      <c r="F78" s="3275">
        <v>20</v>
      </c>
    </row>
    <row r="79" spans="1:8" s="1025" customFormat="1" ht="24">
      <c r="A79" s="3275">
        <v>7</v>
      </c>
      <c r="B79" s="3926"/>
      <c r="C79" s="3253" t="s">
        <v>2542</v>
      </c>
      <c r="D79" s="3253" t="s">
        <v>2543</v>
      </c>
      <c r="E79" s="3276">
        <v>0.15</v>
      </c>
      <c r="F79" s="3275">
        <v>20</v>
      </c>
    </row>
    <row r="80" spans="1:8" s="1025" customFormat="1" ht="24">
      <c r="A80" s="3275">
        <v>8</v>
      </c>
      <c r="B80" s="3926"/>
      <c r="C80" s="3253" t="s">
        <v>2544</v>
      </c>
      <c r="D80" s="3253" t="s">
        <v>2545</v>
      </c>
      <c r="E80" s="3276">
        <v>0.1</v>
      </c>
      <c r="F80" s="3275">
        <v>15</v>
      </c>
    </row>
    <row r="81" spans="1:6" s="1025" customFormat="1" ht="24">
      <c r="A81" s="3275">
        <v>9</v>
      </c>
      <c r="B81" s="3926"/>
      <c r="C81" s="3253" t="s">
        <v>2546</v>
      </c>
      <c r="D81" s="3253" t="s">
        <v>2547</v>
      </c>
      <c r="E81" s="3276">
        <v>0.1</v>
      </c>
      <c r="F81" s="3275">
        <v>15</v>
      </c>
    </row>
    <row r="82" spans="1:6" s="1025" customFormat="1" ht="24">
      <c r="A82" s="3275">
        <v>10</v>
      </c>
      <c r="B82" s="3926"/>
      <c r="C82" s="3253" t="s">
        <v>2548</v>
      </c>
      <c r="D82" s="3253" t="s">
        <v>2549</v>
      </c>
      <c r="E82" s="3276">
        <v>0.1</v>
      </c>
      <c r="F82" s="3275">
        <v>15</v>
      </c>
    </row>
    <row r="83" spans="1:6" s="1025" customFormat="1" ht="24">
      <c r="A83" s="3275">
        <v>11</v>
      </c>
      <c r="B83" s="3926"/>
      <c r="C83" s="3253" t="s">
        <v>2550</v>
      </c>
      <c r="D83" s="3253" t="s">
        <v>2551</v>
      </c>
      <c r="E83" s="3276">
        <v>0.1</v>
      </c>
      <c r="F83" s="3275">
        <v>15</v>
      </c>
    </row>
    <row r="84" spans="1:6" s="1025" customFormat="1" ht="24">
      <c r="A84" s="3275">
        <v>12</v>
      </c>
      <c r="B84" s="3926"/>
      <c r="C84" s="3253" t="s">
        <v>2552</v>
      </c>
      <c r="D84" s="3253" t="s">
        <v>2553</v>
      </c>
      <c r="E84" s="3276">
        <v>0.1</v>
      </c>
      <c r="F84" s="3275">
        <v>15</v>
      </c>
    </row>
    <row r="85" spans="1:6" s="1025" customFormat="1">
      <c r="A85" s="3275">
        <v>13</v>
      </c>
      <c r="B85" s="3926"/>
      <c r="C85" s="3253" t="s">
        <v>2554</v>
      </c>
      <c r="D85" s="3253" t="s">
        <v>2555</v>
      </c>
      <c r="E85" s="3276">
        <v>0.1</v>
      </c>
      <c r="F85" s="3275">
        <v>15</v>
      </c>
    </row>
    <row r="86" spans="1:6" s="1025" customFormat="1">
      <c r="A86" s="3275">
        <v>14</v>
      </c>
      <c r="B86" s="3926"/>
      <c r="C86" s="3253" t="s">
        <v>2556</v>
      </c>
      <c r="D86" s="3253" t="s">
        <v>2557</v>
      </c>
      <c r="E86" s="3276">
        <v>0.1</v>
      </c>
      <c r="F86" s="3275">
        <v>15</v>
      </c>
    </row>
    <row r="87" spans="1:6" s="1025" customFormat="1">
      <c r="A87" s="3275">
        <v>15</v>
      </c>
      <c r="B87" s="3926"/>
      <c r="C87" s="3253" t="s">
        <v>2558</v>
      </c>
      <c r="D87" s="3253" t="s">
        <v>2559</v>
      </c>
      <c r="E87" s="3276">
        <v>0.1</v>
      </c>
      <c r="F87" s="3275">
        <v>15</v>
      </c>
    </row>
    <row r="88" spans="1:6" s="1025" customFormat="1" ht="24">
      <c r="A88" s="3275">
        <v>16</v>
      </c>
      <c r="B88" s="3926"/>
      <c r="C88" s="3253" t="s">
        <v>2560</v>
      </c>
      <c r="D88" s="3253" t="s">
        <v>2561</v>
      </c>
      <c r="E88" s="3276">
        <v>0.1</v>
      </c>
      <c r="F88" s="3275">
        <v>15</v>
      </c>
    </row>
    <row r="89" spans="1:6" s="1025" customFormat="1" ht="24">
      <c r="A89" s="3275">
        <v>17</v>
      </c>
      <c r="B89" s="3925"/>
      <c r="C89" s="3253" t="s">
        <v>2562</v>
      </c>
      <c r="D89" s="3253" t="s">
        <v>2563</v>
      </c>
      <c r="E89" s="3276">
        <v>0.1</v>
      </c>
      <c r="F89" s="3275">
        <v>15</v>
      </c>
    </row>
    <row r="90" spans="1:6" s="1025" customFormat="1">
      <c r="A90" s="3275">
        <v>18</v>
      </c>
      <c r="B90" s="3924" t="s">
        <v>2564</v>
      </c>
      <c r="C90" s="3253" t="s">
        <v>2565</v>
      </c>
      <c r="D90" s="3253" t="s">
        <v>2566</v>
      </c>
      <c r="E90" s="3276">
        <v>0.2</v>
      </c>
      <c r="F90" s="3275">
        <v>25</v>
      </c>
    </row>
    <row r="91" spans="1:6" s="1025" customFormat="1" ht="24">
      <c r="A91" s="3275">
        <v>19</v>
      </c>
      <c r="B91" s="3926"/>
      <c r="C91" s="3253" t="s">
        <v>2567</v>
      </c>
      <c r="D91" s="3253" t="s">
        <v>2568</v>
      </c>
      <c r="E91" s="3276">
        <v>0.2</v>
      </c>
      <c r="F91" s="3275">
        <v>25</v>
      </c>
    </row>
    <row r="92" spans="1:6" s="1025" customFormat="1">
      <c r="A92" s="3275">
        <v>20</v>
      </c>
      <c r="B92" s="3926"/>
      <c r="C92" s="3253" t="s">
        <v>2569</v>
      </c>
      <c r="D92" s="3253" t="s">
        <v>2570</v>
      </c>
      <c r="E92" s="3276">
        <v>0.15</v>
      </c>
      <c r="F92" s="3275">
        <v>20</v>
      </c>
    </row>
    <row r="93" spans="1:6" s="1025" customFormat="1" ht="24">
      <c r="A93" s="3275">
        <v>21</v>
      </c>
      <c r="B93" s="3926"/>
      <c r="C93" s="3253" t="s">
        <v>2571</v>
      </c>
      <c r="D93" s="3253" t="s">
        <v>2572</v>
      </c>
      <c r="E93" s="3276">
        <v>0.15</v>
      </c>
      <c r="F93" s="3275">
        <v>20</v>
      </c>
    </row>
    <row r="94" spans="1:6" s="1025" customFormat="1" ht="24">
      <c r="A94" s="3275">
        <v>22</v>
      </c>
      <c r="B94" s="3926"/>
      <c r="C94" s="3253" t="s">
        <v>2573</v>
      </c>
      <c r="D94" s="3253" t="s">
        <v>2574</v>
      </c>
      <c r="E94" s="3276">
        <v>0.15</v>
      </c>
      <c r="F94" s="3275">
        <v>20</v>
      </c>
    </row>
    <row r="95" spans="1:6" s="1025" customFormat="1" ht="36">
      <c r="A95" s="3275">
        <v>23</v>
      </c>
      <c r="B95" s="3926"/>
      <c r="C95" s="3253" t="s">
        <v>2575</v>
      </c>
      <c r="D95" s="3253" t="s">
        <v>2576</v>
      </c>
      <c r="E95" s="3276">
        <v>0.15</v>
      </c>
      <c r="F95" s="3275">
        <v>20</v>
      </c>
    </row>
    <row r="96" spans="1:6" s="1025" customFormat="1">
      <c r="A96" s="3275">
        <v>24</v>
      </c>
      <c r="B96" s="3926"/>
      <c r="C96" s="3253" t="s">
        <v>2577</v>
      </c>
      <c r="D96" s="3253" t="s">
        <v>2578</v>
      </c>
      <c r="E96" s="3276">
        <v>0.1</v>
      </c>
      <c r="F96" s="3275">
        <v>15</v>
      </c>
    </row>
    <row r="97" spans="1:6" s="1025" customFormat="1" ht="24">
      <c r="A97" s="3275">
        <v>25</v>
      </c>
      <c r="B97" s="3926"/>
      <c r="C97" s="3253" t="s">
        <v>2579</v>
      </c>
      <c r="D97" s="3253" t="s">
        <v>2580</v>
      </c>
      <c r="E97" s="3276">
        <v>0.1</v>
      </c>
      <c r="F97" s="3275">
        <v>15</v>
      </c>
    </row>
    <row r="98" spans="1:6" s="1025" customFormat="1" ht="24">
      <c r="A98" s="3275">
        <v>26</v>
      </c>
      <c r="B98" s="3926"/>
      <c r="C98" s="3253" t="s">
        <v>2581</v>
      </c>
      <c r="D98" s="3253" t="s">
        <v>2582</v>
      </c>
      <c r="E98" s="3276">
        <v>0.1</v>
      </c>
      <c r="F98" s="3275">
        <v>15</v>
      </c>
    </row>
    <row r="99" spans="1:6" s="1025" customFormat="1" ht="24">
      <c r="A99" s="3275">
        <v>27</v>
      </c>
      <c r="B99" s="3926"/>
      <c r="C99" s="3253" t="s">
        <v>2583</v>
      </c>
      <c r="D99" s="3253" t="s">
        <v>2584</v>
      </c>
      <c r="E99" s="3276">
        <v>0.1</v>
      </c>
      <c r="F99" s="3275">
        <v>15</v>
      </c>
    </row>
    <row r="100" spans="1:6" s="1025" customFormat="1" ht="24">
      <c r="A100" s="3275">
        <v>28</v>
      </c>
      <c r="B100" s="3926"/>
      <c r="C100" s="3253" t="s">
        <v>2585</v>
      </c>
      <c r="D100" s="3253" t="s">
        <v>2586</v>
      </c>
      <c r="E100" s="3276">
        <v>0.1</v>
      </c>
      <c r="F100" s="3275">
        <v>15</v>
      </c>
    </row>
    <row r="101" spans="1:6" s="1025" customFormat="1" ht="24">
      <c r="A101" s="3275">
        <v>29</v>
      </c>
      <c r="B101" s="3926"/>
      <c r="C101" s="3253" t="s">
        <v>2587</v>
      </c>
      <c r="D101" s="3253" t="s">
        <v>2588</v>
      </c>
      <c r="E101" s="3276">
        <v>0.1</v>
      </c>
      <c r="F101" s="3275">
        <v>15</v>
      </c>
    </row>
    <row r="102" spans="1:6" s="1025" customFormat="1" ht="24">
      <c r="A102" s="3275">
        <v>30</v>
      </c>
      <c r="B102" s="3926"/>
      <c r="C102" s="3253" t="s">
        <v>2589</v>
      </c>
      <c r="D102" s="3253" t="s">
        <v>2590</v>
      </c>
      <c r="E102" s="3276">
        <v>0.1</v>
      </c>
      <c r="F102" s="3275">
        <v>15</v>
      </c>
    </row>
    <row r="103" spans="1:6" s="1025" customFormat="1" ht="24">
      <c r="A103" s="3275">
        <v>31</v>
      </c>
      <c r="B103" s="3926"/>
      <c r="C103" s="3253" t="s">
        <v>2591</v>
      </c>
      <c r="D103" s="3253" t="s">
        <v>2592</v>
      </c>
      <c r="E103" s="3276">
        <v>0.1</v>
      </c>
      <c r="F103" s="3275">
        <v>15</v>
      </c>
    </row>
    <row r="104" spans="1:6" s="1025" customFormat="1" ht="24">
      <c r="A104" s="3275">
        <v>32</v>
      </c>
      <c r="B104" s="3926"/>
      <c r="C104" s="3253" t="s">
        <v>2593</v>
      </c>
      <c r="D104" s="3253" t="s">
        <v>2594</v>
      </c>
      <c r="E104" s="3276">
        <v>0.1</v>
      </c>
      <c r="F104" s="3275">
        <v>15</v>
      </c>
    </row>
    <row r="105" spans="1:6" s="1025" customFormat="1" ht="24">
      <c r="A105" s="3275">
        <v>33</v>
      </c>
      <c r="B105" s="3926"/>
      <c r="C105" s="3253" t="s">
        <v>2595</v>
      </c>
      <c r="D105" s="3253" t="s">
        <v>2596</v>
      </c>
      <c r="E105" s="3276">
        <v>0.1</v>
      </c>
      <c r="F105" s="3275">
        <v>15</v>
      </c>
    </row>
    <row r="106" spans="1:6" s="1025" customFormat="1" ht="24">
      <c r="A106" s="3275">
        <v>34</v>
      </c>
      <c r="B106" s="3925"/>
      <c r="C106" s="3253" t="s">
        <v>2597</v>
      </c>
      <c r="D106" s="3253" t="s">
        <v>2598</v>
      </c>
      <c r="E106" s="3276">
        <v>0.1</v>
      </c>
      <c r="F106" s="3275">
        <v>15</v>
      </c>
    </row>
    <row r="107" spans="1:6" s="1025" customFormat="1" ht="24">
      <c r="A107" s="3275">
        <v>35</v>
      </c>
      <c r="B107" s="3924" t="s">
        <v>2599</v>
      </c>
      <c r="C107" s="3275" t="s">
        <v>2600</v>
      </c>
      <c r="D107" s="3253" t="s">
        <v>2601</v>
      </c>
      <c r="E107" s="3276">
        <v>0.15</v>
      </c>
      <c r="F107" s="3275">
        <v>20</v>
      </c>
    </row>
    <row r="108" spans="1:6" s="1025" customFormat="1" ht="24">
      <c r="A108" s="3275">
        <v>36</v>
      </c>
      <c r="B108" s="3926"/>
      <c r="C108" s="3275" t="s">
        <v>2602</v>
      </c>
      <c r="D108" s="3253" t="s">
        <v>2603</v>
      </c>
      <c r="E108" s="3276">
        <v>0.15</v>
      </c>
      <c r="F108" s="3275">
        <v>20</v>
      </c>
    </row>
    <row r="109" spans="1:6" s="1025" customFormat="1" ht="24">
      <c r="A109" s="3275">
        <v>37</v>
      </c>
      <c r="B109" s="3926"/>
      <c r="C109" s="3275" t="s">
        <v>2604</v>
      </c>
      <c r="D109" s="3253" t="s">
        <v>2605</v>
      </c>
      <c r="E109" s="3276">
        <v>0.15</v>
      </c>
      <c r="F109" s="3275">
        <v>20</v>
      </c>
    </row>
    <row r="110" spans="1:6" s="1025" customFormat="1">
      <c r="A110" s="3275">
        <v>38</v>
      </c>
      <c r="B110" s="3926"/>
      <c r="C110" s="3275" t="s">
        <v>2606</v>
      </c>
      <c r="D110" s="3253" t="s">
        <v>2607</v>
      </c>
      <c r="E110" s="3276">
        <v>0.1</v>
      </c>
      <c r="F110" s="3275">
        <v>15</v>
      </c>
    </row>
    <row r="111" spans="1:6" s="1025" customFormat="1" ht="24">
      <c r="A111" s="3275">
        <v>39</v>
      </c>
      <c r="B111" s="3926"/>
      <c r="C111" s="3275" t="s">
        <v>2608</v>
      </c>
      <c r="D111" s="3253" t="s">
        <v>2609</v>
      </c>
      <c r="E111" s="3276">
        <v>0.1</v>
      </c>
      <c r="F111" s="3275">
        <v>15</v>
      </c>
    </row>
    <row r="112" spans="1:6" s="1025" customFormat="1" ht="24">
      <c r="A112" s="3275">
        <v>40</v>
      </c>
      <c r="B112" s="3925"/>
      <c r="C112" s="3275" t="s">
        <v>2610</v>
      </c>
      <c r="D112" s="3253" t="s">
        <v>2611</v>
      </c>
      <c r="E112" s="3276">
        <v>0.1</v>
      </c>
      <c r="F112" s="3275">
        <v>15</v>
      </c>
    </row>
    <row r="113" spans="1:6" s="1025" customFormat="1" ht="24">
      <c r="A113" s="3275">
        <v>41</v>
      </c>
      <c r="B113" s="3923" t="s">
        <v>2612</v>
      </c>
      <c r="C113" s="3275" t="s">
        <v>2613</v>
      </c>
      <c r="D113" s="3253" t="s">
        <v>2614</v>
      </c>
      <c r="E113" s="3276">
        <v>0.1</v>
      </c>
      <c r="F113" s="3275">
        <v>15</v>
      </c>
    </row>
    <row r="114" spans="1:6" s="1025" customFormat="1">
      <c r="A114" s="3275">
        <v>42</v>
      </c>
      <c r="B114" s="3923"/>
      <c r="C114" s="3275" t="s">
        <v>2615</v>
      </c>
      <c r="D114" s="3253" t="s">
        <v>2616</v>
      </c>
      <c r="E114" s="3276">
        <v>0.1</v>
      </c>
      <c r="F114" s="3275">
        <v>15</v>
      </c>
    </row>
    <row r="115" spans="1:6" s="1025" customFormat="1" ht="24">
      <c r="A115" s="3275">
        <v>43</v>
      </c>
      <c r="B115" s="3923"/>
      <c r="C115" s="3275" t="s">
        <v>2617</v>
      </c>
      <c r="D115" s="3253" t="s">
        <v>2618</v>
      </c>
      <c r="E115" s="3276">
        <v>0.1</v>
      </c>
      <c r="F115" s="3275">
        <v>15</v>
      </c>
    </row>
    <row r="116" spans="1:6" s="1025" customFormat="1" ht="24">
      <c r="A116" s="3275">
        <v>44</v>
      </c>
      <c r="B116" s="3924" t="s">
        <v>2619</v>
      </c>
      <c r="C116" s="3275" t="s">
        <v>2620</v>
      </c>
      <c r="D116" s="3253" t="s">
        <v>2621</v>
      </c>
      <c r="E116" s="3276">
        <v>0.1</v>
      </c>
      <c r="F116" s="3275">
        <v>15</v>
      </c>
    </row>
    <row r="117" spans="1:6" s="1025" customFormat="1" ht="24">
      <c r="A117" s="3275">
        <v>45</v>
      </c>
      <c r="B117" s="3925"/>
      <c r="C117" s="3253" t="s">
        <v>2622</v>
      </c>
      <c r="D117" s="3253" t="s">
        <v>2623</v>
      </c>
      <c r="E117" s="3276">
        <v>0.1</v>
      </c>
      <c r="F117" s="3275">
        <v>15</v>
      </c>
    </row>
    <row r="118" spans="1:6" s="1025" customFormat="1" ht="24">
      <c r="A118" s="3275">
        <v>46</v>
      </c>
      <c r="B118" s="3924" t="s">
        <v>2624</v>
      </c>
      <c r="C118" s="3275" t="s">
        <v>2625</v>
      </c>
      <c r="D118" s="3253" t="s">
        <v>2626</v>
      </c>
      <c r="E118" s="3276">
        <v>0.1</v>
      </c>
      <c r="F118" s="3275">
        <v>15</v>
      </c>
    </row>
    <row r="119" spans="1:6" s="1025" customFormat="1" ht="24">
      <c r="A119" s="3275">
        <v>47</v>
      </c>
      <c r="B119" s="3925"/>
      <c r="C119" s="3275" t="s">
        <v>2627</v>
      </c>
      <c r="D119" s="3253" t="s">
        <v>2628</v>
      </c>
      <c r="E119" s="3276">
        <v>0.1</v>
      </c>
      <c r="F119" s="3275">
        <v>15</v>
      </c>
    </row>
    <row r="120" spans="1:6" s="1025" customFormat="1" ht="24">
      <c r="A120" s="3275">
        <v>48</v>
      </c>
      <c r="B120" s="3924" t="s">
        <v>2629</v>
      </c>
      <c r="C120" s="3275" t="s">
        <v>2630</v>
      </c>
      <c r="D120" s="3253" t="s">
        <v>2631</v>
      </c>
      <c r="E120" s="3276">
        <v>0.1</v>
      </c>
      <c r="F120" s="3275">
        <v>15</v>
      </c>
    </row>
    <row r="121" spans="1:6" s="1025" customFormat="1">
      <c r="A121" s="3275">
        <v>49</v>
      </c>
      <c r="B121" s="3925"/>
      <c r="C121" s="3275" t="s">
        <v>2632</v>
      </c>
      <c r="D121" s="3253" t="s">
        <v>2633</v>
      </c>
      <c r="E121" s="3276">
        <v>0.1</v>
      </c>
      <c r="F121" s="3275">
        <v>15</v>
      </c>
    </row>
    <row r="122" spans="1:6" s="1025" customFormat="1" ht="24">
      <c r="A122" s="3275">
        <v>50</v>
      </c>
      <c r="B122" s="3923" t="s">
        <v>2634</v>
      </c>
      <c r="C122" s="3275" t="s">
        <v>2635</v>
      </c>
      <c r="D122" s="3253" t="s">
        <v>2636</v>
      </c>
      <c r="E122" s="3276">
        <v>0.1</v>
      </c>
      <c r="F122" s="3275">
        <v>15</v>
      </c>
    </row>
    <row r="123" spans="1:6" s="1025" customFormat="1" ht="24">
      <c r="A123" s="3275">
        <v>51</v>
      </c>
      <c r="B123" s="3923"/>
      <c r="C123" s="3275" t="s">
        <v>2637</v>
      </c>
      <c r="D123" s="3253" t="s">
        <v>2638</v>
      </c>
      <c r="E123" s="3276">
        <v>0.1</v>
      </c>
      <c r="F123" s="3275">
        <v>15</v>
      </c>
    </row>
    <row r="124" spans="1:6" s="1025" customFormat="1" ht="24">
      <c r="A124" s="3275">
        <v>52</v>
      </c>
      <c r="B124" s="3923" t="s">
        <v>2639</v>
      </c>
      <c r="C124" s="3275" t="s">
        <v>2640</v>
      </c>
      <c r="D124" s="3253" t="s">
        <v>2641</v>
      </c>
      <c r="E124" s="3276">
        <v>0.1</v>
      </c>
      <c r="F124" s="3275">
        <v>15</v>
      </c>
    </row>
    <row r="125" spans="1:6" s="1025" customFormat="1" ht="24">
      <c r="A125" s="3275">
        <v>53</v>
      </c>
      <c r="B125" s="3923"/>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23" t="s">
        <v>2647</v>
      </c>
      <c r="C127" s="3275" t="s">
        <v>2648</v>
      </c>
      <c r="D127" s="3253" t="s">
        <v>2649</v>
      </c>
      <c r="E127" s="3276">
        <v>0.1</v>
      </c>
      <c r="F127" s="3275">
        <v>15</v>
      </c>
    </row>
    <row r="128" spans="1:6">
      <c r="A128" s="3275">
        <v>56</v>
      </c>
      <c r="B128" s="3923"/>
      <c r="C128" s="3275" t="s">
        <v>2650</v>
      </c>
      <c r="D128" s="3253" t="s">
        <v>2651</v>
      </c>
      <c r="E128" s="3276">
        <v>0.1</v>
      </c>
      <c r="F128" s="3275">
        <v>15</v>
      </c>
    </row>
    <row r="129" spans="1:14" ht="24">
      <c r="A129" s="3275">
        <v>57</v>
      </c>
      <c r="B129" s="3923"/>
      <c r="C129" s="3275" t="s">
        <v>2652</v>
      </c>
      <c r="D129" s="3253" t="s">
        <v>2653</v>
      </c>
      <c r="E129" s="3276">
        <v>0.1</v>
      </c>
      <c r="F129" s="3275">
        <v>15</v>
      </c>
    </row>
    <row r="130" spans="1:14" ht="24">
      <c r="A130" s="3275">
        <v>58</v>
      </c>
      <c r="B130" s="3923" t="s">
        <v>2654</v>
      </c>
      <c r="C130" s="3275" t="s">
        <v>2655</v>
      </c>
      <c r="D130" s="3253" t="s">
        <v>2656</v>
      </c>
      <c r="E130" s="3276">
        <v>0.1</v>
      </c>
      <c r="F130" s="3275">
        <v>15</v>
      </c>
    </row>
    <row r="131" spans="1:14" ht="24">
      <c r="A131" s="3275">
        <v>59</v>
      </c>
      <c r="B131" s="3923"/>
      <c r="C131" s="3275" t="s">
        <v>2657</v>
      </c>
      <c r="D131" s="3253" t="s">
        <v>2658</v>
      </c>
      <c r="E131" s="3276">
        <v>0.1</v>
      </c>
      <c r="F131" s="3275">
        <v>15</v>
      </c>
    </row>
    <row r="132" spans="1:14" ht="24">
      <c r="A132" s="3275">
        <v>60</v>
      </c>
      <c r="B132" s="3924" t="s">
        <v>2659</v>
      </c>
      <c r="C132" s="3275" t="s">
        <v>2660</v>
      </c>
      <c r="D132" s="3253" t="s">
        <v>2661</v>
      </c>
      <c r="E132" s="3276">
        <v>0.1</v>
      </c>
      <c r="F132" s="3275">
        <v>15</v>
      </c>
    </row>
    <row r="133" spans="1:14" ht="24">
      <c r="A133" s="3275">
        <v>61</v>
      </c>
      <c r="B133" s="3925"/>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23" t="s">
        <v>2667</v>
      </c>
      <c r="C135" s="3275" t="s">
        <v>2668</v>
      </c>
      <c r="D135" s="3253" t="s">
        <v>2669</v>
      </c>
      <c r="E135" s="3276">
        <v>0.1</v>
      </c>
      <c r="F135" s="3275">
        <v>15</v>
      </c>
    </row>
    <row r="136" spans="1:14">
      <c r="A136" s="3275">
        <v>64</v>
      </c>
      <c r="B136" s="3923"/>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5" t="s">
        <v>2816</v>
      </c>
      <c r="B1" s="3935"/>
      <c r="C1" s="3935"/>
      <c r="D1" s="3935"/>
      <c r="E1" s="3935"/>
      <c r="F1" s="3935"/>
      <c r="G1" s="393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37" t="s">
        <v>2819</v>
      </c>
      <c r="B3" s="3416"/>
      <c r="C3" s="3417" t="s">
        <v>2796</v>
      </c>
      <c r="D3" s="3417" t="s">
        <v>2820</v>
      </c>
      <c r="E3" s="3417" t="s">
        <v>2798</v>
      </c>
      <c r="F3" s="3417" t="s">
        <v>2821</v>
      </c>
      <c r="G3" s="3417" t="s">
        <v>2739</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38"/>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4.2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9" t="s">
        <v>3191</v>
      </c>
      <c r="B1" s="3939"/>
      <c r="C1" s="3939"/>
      <c r="D1" s="3939"/>
      <c r="E1" s="3939"/>
      <c r="F1" s="3940"/>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2740</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1" t="s">
        <v>3029</v>
      </c>
      <c r="B1" s="3941"/>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4" t="s">
        <v>1858</v>
      </c>
      <c r="C1" s="3944"/>
      <c r="D1" s="3944"/>
      <c r="E1" s="3944"/>
      <c r="F1" s="3944"/>
      <c r="G1" s="3943" t="s">
        <v>1859</v>
      </c>
      <c r="H1" s="3943"/>
      <c r="I1" s="3943"/>
      <c r="J1" s="3943"/>
      <c r="K1" s="3943"/>
      <c r="L1" s="3943"/>
      <c r="N1" s="3943" t="s">
        <v>1860</v>
      </c>
      <c r="O1" s="3943"/>
      <c r="P1" s="3943"/>
      <c r="Q1" s="3943"/>
      <c r="S1" s="3943" t="s">
        <v>1861</v>
      </c>
      <c r="T1" s="3943"/>
      <c r="U1" s="3943"/>
      <c r="V1" s="3943"/>
      <c r="X1" s="3942" t="s">
        <v>1921</v>
      </c>
      <c r="Y1" s="3943"/>
      <c r="Z1" s="3943"/>
      <c r="AA1" s="3943"/>
      <c r="AB1" s="3943"/>
      <c r="AD1" s="3942" t="s">
        <v>1925</v>
      </c>
      <c r="AE1" s="3943"/>
      <c r="AF1" s="3943"/>
      <c r="AG1" s="3943"/>
      <c r="AH1" s="3943"/>
    </row>
    <row r="2" spans="1:34" s="2618" customFormat="1" ht="14.25" thickBot="1">
      <c r="B2" s="2619" t="s">
        <v>1862</v>
      </c>
      <c r="C2" s="2619" t="s">
        <v>1923</v>
      </c>
      <c r="D2" s="2620" t="s">
        <v>1179</v>
      </c>
      <c r="E2" s="2620" t="s">
        <v>1469</v>
      </c>
      <c r="F2" s="2619" t="s">
        <v>1924</v>
      </c>
      <c r="G2" s="2621"/>
      <c r="I2" s="2619" t="s">
        <v>2216</v>
      </c>
      <c r="J2" s="2620" t="s">
        <v>2218</v>
      </c>
      <c r="K2" s="2620" t="s">
        <v>2219</v>
      </c>
      <c r="L2" s="2619" t="s">
        <v>2220</v>
      </c>
      <c r="N2" s="2619" t="s">
        <v>1862</v>
      </c>
      <c r="O2" s="2620" t="s">
        <v>2217</v>
      </c>
      <c r="P2" s="2620" t="s">
        <v>1469</v>
      </c>
      <c r="Q2" s="2619" t="s">
        <v>1924</v>
      </c>
      <c r="S2" s="2619" t="s">
        <v>1862</v>
      </c>
      <c r="T2" s="2620" t="s">
        <v>2217</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5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5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7">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45028</v>
      </c>
      <c r="B1" s="3348" t="s">
        <v>2792</v>
      </c>
      <c r="C1" s="3349"/>
      <c r="D1" s="3349"/>
      <c r="E1" s="3349"/>
      <c r="F1" s="3349"/>
      <c r="G1" s="3349"/>
      <c r="H1" s="3349"/>
      <c r="I1" s="3349"/>
      <c r="J1" s="3350"/>
      <c r="K1" s="3349" t="s">
        <v>2793</v>
      </c>
      <c r="L1" s="3349"/>
      <c r="M1" s="3349"/>
      <c r="N1" s="3349"/>
      <c r="O1" s="3349"/>
      <c r="P1" s="3349"/>
      <c r="Q1" s="3350"/>
      <c r="R1" s="3953" t="s">
        <v>2802</v>
      </c>
      <c r="S1" s="3954"/>
      <c r="T1" s="3954"/>
      <c r="U1" s="3954"/>
      <c r="V1" s="3954"/>
      <c r="W1" s="3954"/>
      <c r="X1" s="3350"/>
      <c r="Y1" s="3953" t="s">
        <v>2813</v>
      </c>
      <c r="Z1" s="3954"/>
      <c r="AA1" s="3954"/>
      <c r="AB1" s="3954"/>
      <c r="AC1" s="3954"/>
      <c r="AD1" s="3954"/>
    </row>
    <row r="2" spans="1:30" ht="14.25" thickBot="1">
      <c r="A2" s="3341"/>
      <c r="B2" s="3351"/>
      <c r="C2" s="3352"/>
      <c r="D2" s="3353" t="s">
        <v>2795</v>
      </c>
      <c r="E2" s="3354" t="s">
        <v>2796</v>
      </c>
      <c r="F2" s="3354" t="s">
        <v>2797</v>
      </c>
      <c r="G2" s="3354" t="s">
        <v>2798</v>
      </c>
      <c r="H2" s="3354" t="s">
        <v>2799</v>
      </c>
      <c r="I2" s="3354" t="s">
        <v>2739</v>
      </c>
      <c r="J2" s="3355"/>
      <c r="K2" s="3353" t="s">
        <v>2795</v>
      </c>
      <c r="L2" s="3354" t="s">
        <v>2796</v>
      </c>
      <c r="M2" s="3354" t="s">
        <v>2797</v>
      </c>
      <c r="N2" s="3354" t="s">
        <v>2798</v>
      </c>
      <c r="O2" s="3354" t="s">
        <v>2799</v>
      </c>
      <c r="P2" s="3354" t="s">
        <v>2739</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2456</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53" t="s">
        <v>2809</v>
      </c>
      <c r="S21" s="3954"/>
      <c r="T21" s="3954"/>
      <c r="U21" s="3954"/>
      <c r="V21" s="3954"/>
      <c r="W21" s="3954"/>
      <c r="X21" s="3350"/>
      <c r="Y21" s="3953" t="s">
        <v>1925</v>
      </c>
      <c r="Z21" s="3954"/>
      <c r="AA21" s="3954"/>
      <c r="AB21" s="3954"/>
      <c r="AC21" s="3954"/>
      <c r="AD21" s="3954"/>
    </row>
    <row r="22" spans="1:30" ht="14.25" thickBot="1">
      <c r="A22" s="3341"/>
      <c r="B22" s="3351"/>
      <c r="C22" s="3352"/>
      <c r="D22" s="3353" t="s">
        <v>2795</v>
      </c>
      <c r="E22" s="3354" t="s">
        <v>2796</v>
      </c>
      <c r="F22" s="3354" t="s">
        <v>2797</v>
      </c>
      <c r="G22" s="3354" t="s">
        <v>1469</v>
      </c>
      <c r="H22" s="3354"/>
      <c r="I22" s="3354" t="s">
        <v>2739</v>
      </c>
      <c r="J22" s="3355"/>
      <c r="K22" s="3353" t="s">
        <v>2795</v>
      </c>
      <c r="L22" s="3354" t="s">
        <v>2796</v>
      </c>
      <c r="M22" s="3354" t="s">
        <v>2797</v>
      </c>
      <c r="N22" s="3354" t="s">
        <v>2798</v>
      </c>
      <c r="O22" s="3354"/>
      <c r="P22" s="3354" t="s">
        <v>2739</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1596</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1596</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6" t="s">
        <v>1807</v>
      </c>
      <c r="C8" s="1612">
        <f ca="1">ROUND(F8*F10*F9*(1-F11)/10000,0)</f>
        <v>0</v>
      </c>
      <c r="D8" s="1609" t="s">
        <v>1817</v>
      </c>
      <c r="E8" s="59" t="s">
        <v>585</v>
      </c>
      <c r="F8" s="751">
        <f ca="1">INDIRECT("'数据-取费表'!u"&amp;$G$1)</f>
        <v>0</v>
      </c>
      <c r="G8" s="1405"/>
      <c r="H8" s="2151" t="s">
        <v>1353</v>
      </c>
      <c r="I8" s="3956" t="s">
        <v>1807</v>
      </c>
      <c r="J8" s="749">
        <f ca="1">ROUND(M8*M10*M9*(1-M11)/10000,0)</f>
        <v>0</v>
      </c>
      <c r="K8" s="332" t="s">
        <v>1817</v>
      </c>
      <c r="L8" s="750" t="s">
        <v>1267</v>
      </c>
      <c r="M8" s="751">
        <f ca="1">INDIRECT("'数据-取费表'!z"&amp;$G$1)</f>
        <v>0</v>
      </c>
    </row>
    <row r="9" spans="1:25" ht="18" customHeight="1">
      <c r="A9" s="2147"/>
      <c r="B9" s="3957"/>
      <c r="C9" s="1613"/>
      <c r="D9" s="1610"/>
      <c r="E9" s="59" t="s">
        <v>586</v>
      </c>
      <c r="F9" s="751">
        <f ca="1">IF(INDIRECT("'数据-取费表'!ah"&amp;$G$1)="",INDIRECT("'数据-取费表'!k"&amp;$G$1),INDIRECT("'数据-取费表'!ah"&amp;$G$1))</f>
        <v>0</v>
      </c>
      <c r="G9" s="1405"/>
      <c r="H9" s="2136"/>
      <c r="I9" s="3957"/>
      <c r="J9" s="754"/>
      <c r="K9" s="755"/>
      <c r="L9" s="750" t="s">
        <v>1268</v>
      </c>
      <c r="M9" s="751">
        <f ca="1">F9</f>
        <v>0</v>
      </c>
    </row>
    <row r="10" spans="1:25" ht="18" customHeight="1">
      <c r="A10" s="2140"/>
      <c r="B10" s="3958"/>
      <c r="C10" s="1613"/>
      <c r="D10" s="1610"/>
      <c r="E10" s="59" t="s">
        <v>587</v>
      </c>
      <c r="F10" s="751">
        <f ca="1">INDIRECT("'数据-取费表'!ai"&amp;$G$1)</f>
        <v>0</v>
      </c>
      <c r="G10" s="1405"/>
      <c r="H10" s="2136"/>
      <c r="I10" s="3958"/>
      <c r="J10" s="754"/>
      <c r="K10" s="755"/>
      <c r="L10" s="750" t="s">
        <v>1269</v>
      </c>
      <c r="M10" s="751">
        <f ca="1">INDIRECT("'数据-取费表'!ai"&amp;$G$1)</f>
        <v>0</v>
      </c>
    </row>
    <row r="11" spans="1:25" ht="18" customHeight="1">
      <c r="A11" s="752"/>
      <c r="B11" s="3959"/>
      <c r="C11" s="1613"/>
      <c r="D11" s="1610"/>
      <c r="E11" s="59" t="s">
        <v>588</v>
      </c>
      <c r="F11" s="760">
        <f ca="1">INDIRECT("'数据-取费表'!w"&amp;$G$1)</f>
        <v>0</v>
      </c>
      <c r="G11" s="1405"/>
      <c r="H11" s="2152"/>
      <c r="I11" s="395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2231</v>
      </c>
      <c r="E12" s="2145" t="s">
        <v>1808</v>
      </c>
      <c r="F12" s="2229"/>
      <c r="G12" s="1405"/>
      <c r="H12" s="2179" t="s">
        <v>1354</v>
      </c>
      <c r="I12" s="2184" t="s">
        <v>1803</v>
      </c>
      <c r="J12" s="749">
        <f ca="1">ROUND(IF(M12="押一",J8/12*M13,IF(M12="押二",J8/12*2*M13,IF(M12="押三",J8/12*3*M13,J13*M13))),0)</f>
        <v>0</v>
      </c>
      <c r="K12" s="2148" t="s">
        <v>2231</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5"/>
      <c r="J36" s="1803"/>
      <c r="K36" s="1804"/>
      <c r="L36" s="1803"/>
      <c r="M36" s="1803"/>
    </row>
    <row r="37" spans="1:18" ht="18" customHeight="1">
      <c r="A37" s="780"/>
      <c r="B37" s="759"/>
      <c r="C37" s="67"/>
      <c r="D37" s="781"/>
      <c r="E37" s="750" t="s">
        <v>621</v>
      </c>
      <c r="F37" s="751">
        <f ca="1">INDIRECT("'数据-取费表'!r"&amp;$G$1)</f>
        <v>0</v>
      </c>
      <c r="G37" s="1786"/>
      <c r="H37" s="1789"/>
      <c r="I37" s="395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2221</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2235</v>
      </c>
      <c r="J54" s="2611">
        <f ca="1">IF(M48="住宅",MAX(J52,L49-'数据-取费表'!B20),MIN(J52,L49-'数据-取费表'!B20))</f>
        <v>-3</v>
      </c>
      <c r="K54" s="3960"/>
      <c r="L54" s="396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2204</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37" sqref="J3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3325</v>
      </c>
      <c r="E1" s="2079" t="s">
        <v>1728</v>
      </c>
      <c r="F1" s="2080">
        <f ca="1">J53</f>
        <v>36.590000000000003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62722</v>
      </c>
      <c r="C2" s="3006"/>
      <c r="D2" s="3007"/>
      <c r="E2" s="3008"/>
      <c r="F2" s="3008"/>
      <c r="G2" s="3002"/>
      <c r="H2" s="1781"/>
      <c r="I2" s="1781"/>
      <c r="J2" s="1781"/>
      <c r="K2" s="1782"/>
      <c r="L2" s="1781"/>
      <c r="M2" s="1781"/>
    </row>
    <row r="3" spans="1:33" ht="18" customHeight="1" thickBot="1">
      <c r="A3" s="798" t="s">
        <v>1256</v>
      </c>
      <c r="B3" s="799">
        <f ca="1">IF(ISERROR(B2*10000/F43),0,ROUND(B2*10000/F43,0))</f>
        <v>22403</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4605</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4599</v>
      </c>
      <c r="D6" s="2144" t="s">
        <v>1806</v>
      </c>
      <c r="E6" s="750" t="s">
        <v>1267</v>
      </c>
      <c r="F6" s="751">
        <f ca="1">INDIRECT("'数据-取费表'!u"&amp;$G$1)</f>
        <v>5</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27997.13</v>
      </c>
      <c r="G7" s="1786"/>
      <c r="H7" s="2136"/>
      <c r="I7" s="3957"/>
      <c r="J7" s="754"/>
      <c r="K7" s="755"/>
      <c r="L7" s="750" t="s">
        <v>1268</v>
      </c>
      <c r="M7" s="751">
        <f ca="1">F7</f>
        <v>27997.13</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6</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19200</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13135</v>
      </c>
      <c r="D14" s="1734" t="s">
        <v>1274</v>
      </c>
      <c r="E14" s="1735"/>
      <c r="F14" s="771"/>
      <c r="G14" s="1786"/>
      <c r="H14" s="1454" t="s">
        <v>1359</v>
      </c>
      <c r="I14" s="1950" t="s">
        <v>2103</v>
      </c>
      <c r="J14" s="51">
        <f ca="1">C29</f>
        <v>19200</v>
      </c>
      <c r="K14" s="24"/>
      <c r="L14" s="767"/>
      <c r="M14" s="768"/>
    </row>
    <row r="15" spans="1:33" s="1788" customFormat="1" ht="18" customHeight="1" thickBot="1">
      <c r="A15" s="1453" t="s">
        <v>1410</v>
      </c>
      <c r="B15" s="750" t="s">
        <v>595</v>
      </c>
      <c r="C15" s="51">
        <f ca="1">ROUND(C14*F15,0)</f>
        <v>394</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192</v>
      </c>
      <c r="K16" s="1608" t="s">
        <v>1279</v>
      </c>
      <c r="L16" s="2133"/>
      <c r="M16" s="2138"/>
    </row>
    <row r="17" spans="1:33" s="1788" customFormat="1" ht="18" customHeight="1">
      <c r="A17" s="1453" t="s">
        <v>1412</v>
      </c>
      <c r="B17" s="750" t="s">
        <v>601</v>
      </c>
      <c r="C17" s="51">
        <f ca="1">ROUND(F17*(F43+INDIRECT("'数据-取费表'!S"&amp;$G$1))/10000,0)</f>
        <v>603</v>
      </c>
      <c r="D17" s="750" t="s">
        <v>1280</v>
      </c>
      <c r="E17" s="750" t="s">
        <v>1281</v>
      </c>
      <c r="F17" s="54">
        <f>'数据-取费表'!B35</f>
        <v>200</v>
      </c>
      <c r="G17" s="3003"/>
      <c r="H17" s="1454" t="s">
        <v>1359</v>
      </c>
      <c r="I17" s="750" t="s">
        <v>604</v>
      </c>
      <c r="J17" s="2762">
        <f ca="1">ROUND(IF(AND(项目基本情况!B11="自然人",项目基本情况!B10="北京市"),J6*M17/(1+'数据-取费表'!C42),J18+J19+J20),2)</f>
        <v>0.46</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197</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14329</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287</v>
      </c>
      <c r="D20" s="777" t="s">
        <v>1288</v>
      </c>
      <c r="E20" s="750" t="s">
        <v>1276</v>
      </c>
      <c r="F20" s="775">
        <f>'数据-取费表'!B37</f>
        <v>0.02</v>
      </c>
      <c r="G20" s="3003"/>
      <c r="H20" s="1456" t="s">
        <v>1405</v>
      </c>
      <c r="I20" s="332" t="s">
        <v>1289</v>
      </c>
      <c r="J20" s="52">
        <f ca="1">ROUND(M20*M21/10000,2)</f>
        <v>0.46</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3041.11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192</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919</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-192</v>
      </c>
      <c r="K25" s="2166" t="s">
        <v>1306</v>
      </c>
      <c r="L25" s="2167"/>
      <c r="M25" s="2168"/>
    </row>
    <row r="26" spans="1:33" ht="18" customHeight="1">
      <c r="A26" s="1453" t="s">
        <v>1360</v>
      </c>
      <c r="B26" s="750" t="s">
        <v>1785</v>
      </c>
      <c r="C26" s="51">
        <f ca="1">ROUND((C19+C20)*F26,0)</f>
        <v>2192</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19200</v>
      </c>
      <c r="D29" s="2163"/>
      <c r="E29" s="2164"/>
      <c r="F29" s="2165"/>
      <c r="G29" s="3003"/>
      <c r="H29" s="788" t="s">
        <v>1316</v>
      </c>
      <c r="I29" s="789" t="s">
        <v>1317</v>
      </c>
      <c r="J29" s="790">
        <f ca="1">ROUND(J26/(1+F40)^F41,0)</f>
        <v>0</v>
      </c>
      <c r="K29" s="791" t="s">
        <v>1318</v>
      </c>
      <c r="L29" s="792"/>
      <c r="M29" s="793">
        <f ca="1">INDIRECT("'数据-取费表'!k"&amp;$G$1)</f>
        <v>27997.13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1057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766.96</v>
      </c>
      <c r="D31" s="1734" t="s">
        <v>1321</v>
      </c>
      <c r="E31" s="1732" t="s">
        <v>1322</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1360</v>
      </c>
      <c r="B32" s="750" t="s">
        <v>1323</v>
      </c>
      <c r="C32" s="51">
        <f ca="1">ROUND(C6*F32/(1+'数据-取费表'!C42),2)</f>
        <v>240.9</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525.6</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0.46</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3041.11</v>
      </c>
      <c r="G35" s="1786"/>
      <c r="H35" s="1789"/>
      <c r="I35" s="802" t="s">
        <v>1343</v>
      </c>
      <c r="J35" s="803">
        <f ca="1">ROUND(C13*J36,0)</f>
        <v>1632</v>
      </c>
      <c r="K35" s="1802"/>
      <c r="L35" s="1801"/>
      <c r="M35" s="1801"/>
    </row>
    <row r="36" spans="1:18" ht="18" customHeight="1">
      <c r="A36" s="1454" t="s">
        <v>1414</v>
      </c>
      <c r="B36" s="750" t="s">
        <v>1331</v>
      </c>
      <c r="C36" s="51">
        <f ca="1">ROUND(C29*F36,2)</f>
        <v>192</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28.8</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69.08</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3548</v>
      </c>
      <c r="D39" s="2166" t="s">
        <v>1335</v>
      </c>
      <c r="E39" s="2167"/>
      <c r="F39" s="2168"/>
      <c r="G39" s="1786"/>
      <c r="H39" s="1801"/>
      <c r="I39" s="802" t="s">
        <v>1347</v>
      </c>
      <c r="J39" s="810">
        <f ca="1">ROUND(J35/C39,3)</f>
        <v>0.46</v>
      </c>
      <c r="K39" s="1806"/>
      <c r="L39" s="1801"/>
      <c r="M39" s="1801"/>
    </row>
    <row r="40" spans="1:18" ht="18" customHeight="1">
      <c r="A40" s="747" t="s">
        <v>1420</v>
      </c>
      <c r="B40" s="1951" t="s">
        <v>1658</v>
      </c>
      <c r="C40" s="749">
        <f ca="1">ROUND(C39*(1-((1+F42)/(1+F40))^F41)/(F40-F42),0)</f>
        <v>62722</v>
      </c>
      <c r="D40" s="779" t="s">
        <v>1336</v>
      </c>
      <c r="E40" s="750" t="s">
        <v>1773</v>
      </c>
      <c r="F40" s="760">
        <f ca="1">INDIRECT("'数据-取费表'!I"&amp;$G$1)</f>
        <v>0.06</v>
      </c>
      <c r="G40" s="1786"/>
      <c r="H40" s="1786"/>
      <c r="I40" s="802" t="s">
        <v>1348</v>
      </c>
      <c r="J40" s="810">
        <f ca="1">1-J39</f>
        <v>0.54</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0.30599999999999999</v>
      </c>
      <c r="K42" s="1805"/>
      <c r="L42" s="1741"/>
      <c r="M42" s="1741"/>
    </row>
    <row r="43" spans="1:18" ht="18" customHeight="1" thickBot="1">
      <c r="A43" s="788" t="s">
        <v>1316</v>
      </c>
      <c r="B43" s="789" t="s">
        <v>1339</v>
      </c>
      <c r="C43" s="790">
        <f ca="1">ROUND(C40*10000/F43,0)</f>
        <v>22403</v>
      </c>
      <c r="D43" s="791" t="s">
        <v>1340</v>
      </c>
      <c r="E43" s="792" t="s">
        <v>1341</v>
      </c>
      <c r="F43" s="793">
        <f ca="1">INDIRECT("'数据-取费表'!k"&amp;$G$1)</f>
        <v>27997.13</v>
      </c>
      <c r="G43" s="1786"/>
      <c r="H43" s="1741"/>
      <c r="I43" s="812" t="s">
        <v>1351</v>
      </c>
      <c r="J43" s="813">
        <f ca="1">1-J42</f>
        <v>0.69399999999999995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-65969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62722</v>
      </c>
      <c r="R48" s="2091" t="s">
        <v>1734</v>
      </c>
    </row>
    <row r="49" spans="1:18" s="1783" customFormat="1" ht="18" customHeight="1" thickBot="1">
      <c r="A49" s="752"/>
      <c r="B49" s="753"/>
      <c r="C49" s="754"/>
      <c r="D49" s="755"/>
      <c r="E49" s="750" t="s">
        <v>1268</v>
      </c>
      <c r="F49" s="751">
        <f ca="1">F7</f>
        <v>27997.13</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19200</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36366</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2232</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62722</v>
      </c>
      <c r="R54" s="2095" t="s">
        <v>1746</v>
      </c>
    </row>
    <row r="55" spans="1:18" s="1783" customFormat="1" ht="18" customHeight="1" thickTop="1" thickBot="1">
      <c r="A55" s="763">
        <v>2</v>
      </c>
      <c r="B55" s="764" t="s">
        <v>592</v>
      </c>
      <c r="C55" s="765">
        <f ca="1">C13</f>
        <v>19200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19200</v>
      </c>
      <c r="D56" s="2245"/>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221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62722</v>
      </c>
      <c r="R57" s="2091" t="s">
        <v>1734</v>
      </c>
    </row>
    <row r="58" spans="1:18" s="1783" customFormat="1" ht="28.5" customHeight="1" thickBot="1">
      <c r="A58" s="1454" t="s">
        <v>1353</v>
      </c>
      <c r="B58" s="750" t="s">
        <v>604</v>
      </c>
      <c r="C58" s="2762">
        <f ca="1">ROUND(IF(AND(项目基本情况!B11="自然人",项目基本情况!B10="北京市"),C48*F58/(1+'数据-取费表'!C42),C59+C60+C61),2)</f>
        <v>0.46</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0.46</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3041.11</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192</v>
      </c>
      <c r="D63" s="2245" t="s">
        <v>1332</v>
      </c>
      <c r="E63" s="750" t="s">
        <v>1276</v>
      </c>
      <c r="F63" s="782">
        <f t="shared" ca="1" si="0"/>
        <v>0.01</v>
      </c>
      <c r="I63" s="2579" t="s">
        <v>1724</v>
      </c>
      <c r="J63" s="2580">
        <v>70</v>
      </c>
      <c r="K63" s="2580">
        <v>50</v>
      </c>
      <c r="L63" s="2580">
        <v>80</v>
      </c>
      <c r="M63" s="2582">
        <v>0.02</v>
      </c>
      <c r="O63" s="2090" t="s">
        <v>1745</v>
      </c>
      <c r="P63" s="2091" t="s">
        <v>1762</v>
      </c>
      <c r="Q63" s="2092">
        <f ca="1">Q57+Q58</f>
        <v>62722</v>
      </c>
      <c r="R63" s="2095" t="s">
        <v>1746</v>
      </c>
    </row>
    <row r="64" spans="1:18" s="1783" customFormat="1" ht="16.5" thickBot="1">
      <c r="A64" s="1454" t="s">
        <v>1415</v>
      </c>
      <c r="B64" s="750" t="s">
        <v>626</v>
      </c>
      <c r="C64" s="51">
        <f ca="1">ROUND(C55*F64,2)</f>
        <v>28.8</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-221</v>
      </c>
      <c r="D66" s="2244" t="s">
        <v>647</v>
      </c>
      <c r="E66" s="2243"/>
      <c r="F66" s="785"/>
      <c r="K66" s="1809"/>
      <c r="O66" s="2090" t="s">
        <v>1733</v>
      </c>
      <c r="P66" s="2091" t="s">
        <v>1763</v>
      </c>
      <c r="Q66" s="2092">
        <f ca="1">C40+J29</f>
        <v>62722</v>
      </c>
      <c r="R66" s="2091" t="s">
        <v>1734</v>
      </c>
    </row>
    <row r="67" spans="1:18" s="1783" customFormat="1" ht="20.25" thickBot="1">
      <c r="A67" s="747" t="s">
        <v>1309</v>
      </c>
      <c r="B67" s="1951" t="s">
        <v>1658</v>
      </c>
      <c r="C67" s="749">
        <f ca="1">ROUND(C66*(1-((1+F69)/(1+F67))^F68)/(F67-F69),0)</f>
        <v>-3247</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36366</v>
      </c>
      <c r="R68" s="2098" t="s">
        <v>1770</v>
      </c>
    </row>
    <row r="69" spans="1:18" ht="20.25" thickBot="1">
      <c r="A69" s="756"/>
      <c r="B69" s="757"/>
      <c r="C69" s="758"/>
      <c r="D69" s="781"/>
      <c r="E69" s="750" t="s">
        <v>657</v>
      </c>
      <c r="F69" s="2065"/>
      <c r="O69" s="2093" t="s">
        <v>1738</v>
      </c>
      <c r="P69" s="2099" t="s">
        <v>1752</v>
      </c>
      <c r="Q69" s="2092">
        <f ca="1">ROUND(Q70-Q71*Q72,0)</f>
        <v>1916</v>
      </c>
      <c r="R69" s="2095"/>
    </row>
    <row r="70" spans="1:18" ht="15.75" thickBot="1">
      <c r="A70" s="788" t="s">
        <v>1316</v>
      </c>
      <c r="B70" s="789" t="s">
        <v>1339</v>
      </c>
      <c r="C70" s="790">
        <f ca="1">ROUND(C67*10000/F70,0)</f>
        <v>-1160</v>
      </c>
      <c r="D70" s="791" t="s">
        <v>1340</v>
      </c>
      <c r="E70" s="792" t="s">
        <v>1341</v>
      </c>
      <c r="F70" s="793">
        <f ca="1">F43</f>
        <v>27997.13</v>
      </c>
      <c r="O70" s="2093" t="s">
        <v>1753</v>
      </c>
      <c r="P70" s="2099" t="s">
        <v>1754</v>
      </c>
      <c r="Q70" s="2092">
        <f ca="1">C39</f>
        <v>3548</v>
      </c>
      <c r="R70" s="2091" t="s">
        <v>1734</v>
      </c>
    </row>
    <row r="71" spans="1:18" ht="15.75" thickBot="1">
      <c r="O71" s="2093" t="s">
        <v>1755</v>
      </c>
      <c r="P71" s="2099" t="s">
        <v>1756</v>
      </c>
      <c r="Q71" s="2092">
        <f ca="1">C13</f>
        <v>19200</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62722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46" sqref="D4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2740</v>
      </c>
      <c r="D1" s="2553" t="s">
        <v>3325</v>
      </c>
      <c r="E1" s="2079" t="s">
        <v>1728</v>
      </c>
      <c r="F1" s="2080">
        <f ca="1">J53</f>
        <v>26.58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92070</v>
      </c>
      <c r="C2" s="3006"/>
      <c r="D2" s="3007"/>
      <c r="E2" s="3008"/>
      <c r="F2" s="3008"/>
      <c r="G2" s="3002"/>
      <c r="H2" s="1781"/>
      <c r="I2" s="1781"/>
      <c r="J2" s="1781"/>
      <c r="K2" s="1782"/>
      <c r="L2" s="1781"/>
      <c r="M2" s="1781"/>
    </row>
    <row r="3" spans="1:33" ht="18" customHeight="1" thickBot="1">
      <c r="A3" s="798" t="s">
        <v>1256</v>
      </c>
      <c r="B3" s="799">
        <f ca="1">IF(ISERROR(B2*10000/F43),0,ROUND(B2*10000/F43,0))</f>
        <v>20728</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8181</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8171</v>
      </c>
      <c r="D6" s="2144" t="s">
        <v>1806</v>
      </c>
      <c r="E6" s="750" t="s">
        <v>1267</v>
      </c>
      <c r="F6" s="751">
        <f ca="1">INDIRECT("'数据-取费表'!u"&amp;$G$1)</f>
        <v>5.6</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44418.490000000005</v>
      </c>
      <c r="G7" s="1786"/>
      <c r="H7" s="2136"/>
      <c r="I7" s="3957"/>
      <c r="J7" s="754"/>
      <c r="K7" s="755"/>
      <c r="L7" s="750" t="s">
        <v>1268</v>
      </c>
      <c r="M7" s="751">
        <f ca="1">F7</f>
        <v>44418.490000000005</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10</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27349</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18617</v>
      </c>
      <c r="D14" s="3665" t="s">
        <v>1274</v>
      </c>
      <c r="E14" s="3664"/>
      <c r="F14" s="771"/>
      <c r="G14" s="1786"/>
      <c r="H14" s="1454" t="s">
        <v>1359</v>
      </c>
      <c r="I14" s="1950" t="s">
        <v>2102</v>
      </c>
      <c r="J14" s="51">
        <f ca="1">C29</f>
        <v>27349</v>
      </c>
      <c r="K14" s="24"/>
      <c r="L14" s="767"/>
      <c r="M14" s="768"/>
    </row>
    <row r="15" spans="1:33" s="1788" customFormat="1" ht="18" customHeight="1" thickBot="1">
      <c r="A15" s="1453" t="s">
        <v>1410</v>
      </c>
      <c r="B15" s="750" t="s">
        <v>595</v>
      </c>
      <c r="C15" s="51">
        <f ca="1">ROUND(C14*F15,0)</f>
        <v>559</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274</v>
      </c>
      <c r="K16" s="1608" t="s">
        <v>1279</v>
      </c>
      <c r="L16" s="3667"/>
      <c r="M16" s="2138"/>
    </row>
    <row r="17" spans="1:33" s="1788" customFormat="1" ht="18" customHeight="1">
      <c r="A17" s="1453" t="s">
        <v>1412</v>
      </c>
      <c r="B17" s="750" t="s">
        <v>601</v>
      </c>
      <c r="C17" s="51">
        <f ca="1">ROUND(F17*(F43+INDIRECT("'数据-取费表'!S"&amp;$G$1))/10000,0)</f>
        <v>956</v>
      </c>
      <c r="D17" s="750" t="s">
        <v>1280</v>
      </c>
      <c r="E17" s="750" t="s">
        <v>1281</v>
      </c>
      <c r="F17" s="54">
        <f>'数据-取费表'!B35</f>
        <v>200</v>
      </c>
      <c r="G17" s="3003"/>
      <c r="H17" s="1454" t="s">
        <v>1359</v>
      </c>
      <c r="I17" s="750" t="s">
        <v>604</v>
      </c>
      <c r="J17" s="2762">
        <f ca="1">ROUND(IF(AND(项目基本情况!B11="自然人",项目基本情况!B10="北京市"),J6*M17/(1+'数据-取费表'!C42),J18+J19+J20),2)</f>
        <v>0.72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279</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20411</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408</v>
      </c>
      <c r="D20" s="777" t="s">
        <v>1288</v>
      </c>
      <c r="E20" s="750" t="s">
        <v>1276</v>
      </c>
      <c r="F20" s="775">
        <f>'数据-取费表'!B37</f>
        <v>0.02</v>
      </c>
      <c r="G20" s="3003"/>
      <c r="H20" s="1456" t="s">
        <v>1405</v>
      </c>
      <c r="I20" s="332" t="s">
        <v>1289</v>
      </c>
      <c r="J20" s="52">
        <f ca="1">ROUND(M20*M21/10000,2)</f>
        <v>0.72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4824.84</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273.49</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1309</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-274</v>
      </c>
      <c r="K25" s="2166" t="s">
        <v>1306</v>
      </c>
      <c r="L25" s="2167"/>
      <c r="M25" s="2168"/>
    </row>
    <row r="26" spans="1:33" ht="18" customHeight="1">
      <c r="A26" s="1453" t="s">
        <v>1360</v>
      </c>
      <c r="B26" s="750" t="s">
        <v>1785</v>
      </c>
      <c r="C26" s="51">
        <f ca="1">ROUND((C19+C20)*F26,0)</f>
        <v>3123</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6.5000000000000002E-2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27349</v>
      </c>
      <c r="D29" s="2163"/>
      <c r="E29" s="2164"/>
      <c r="F29" s="2165"/>
      <c r="G29" s="3003"/>
      <c r="H29" s="788" t="s">
        <v>1316</v>
      </c>
      <c r="I29" s="789" t="s">
        <v>1317</v>
      </c>
      <c r="J29" s="790">
        <f ca="1">ROUND(J26/(1+F40)^F41,0)</f>
        <v>0</v>
      </c>
      <c r="K29" s="791" t="s">
        <v>1318</v>
      </c>
      <c r="L29" s="792"/>
      <c r="M29" s="793">
        <f ca="1">INDIRECT("'数据-取费表'!k"&amp;$G$1)</f>
        <v>44418.490000000005</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1800</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1362.55</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428</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933.83</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0.72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4824.84</v>
      </c>
      <c r="G35" s="1786"/>
      <c r="H35" s="1789"/>
      <c r="I35" s="802" t="s">
        <v>1343</v>
      </c>
      <c r="J35" s="803">
        <f ca="1">ROUND(C13*J36,0)</f>
        <v>2325</v>
      </c>
      <c r="K35" s="1802"/>
      <c r="L35" s="1801"/>
      <c r="M35" s="1801"/>
    </row>
    <row r="36" spans="1:18" ht="18" customHeight="1">
      <c r="A36" s="1454" t="s">
        <v>1414</v>
      </c>
      <c r="B36" s="750" t="s">
        <v>1331</v>
      </c>
      <c r="C36" s="51">
        <f ca="1">ROUND(C29*F36,2)</f>
        <v>273.49</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41.02</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122.72</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6381</v>
      </c>
      <c r="D39" s="2166" t="s">
        <v>1335</v>
      </c>
      <c r="E39" s="2167"/>
      <c r="F39" s="2168"/>
      <c r="G39" s="1786"/>
      <c r="H39" s="1801"/>
      <c r="I39" s="802" t="s">
        <v>1347</v>
      </c>
      <c r="J39" s="810">
        <f ca="1">ROUND(J35/C39,3)</f>
        <v>0.36399999999999999</v>
      </c>
      <c r="K39" s="1806"/>
      <c r="L39" s="1801"/>
      <c r="M39" s="1801"/>
    </row>
    <row r="40" spans="1:18" ht="18" customHeight="1">
      <c r="A40" s="747" t="s">
        <v>1420</v>
      </c>
      <c r="B40" s="1951" t="s">
        <v>1658</v>
      </c>
      <c r="C40" s="749">
        <f ca="1">ROUND(C39*(1-((1+F42)/(1+F40))^F41)/(F40-F42),0)</f>
        <v>92070</v>
      </c>
      <c r="D40" s="779" t="s">
        <v>1336</v>
      </c>
      <c r="E40" s="750" t="s">
        <v>1773</v>
      </c>
      <c r="F40" s="760">
        <f ca="1">INDIRECT("'数据-取费表'!I"&amp;$G$1)</f>
        <v>6.5000000000000002E-2</v>
      </c>
      <c r="G40" s="1786"/>
      <c r="H40" s="1786"/>
      <c r="I40" s="802" t="s">
        <v>1348</v>
      </c>
      <c r="J40" s="810">
        <f ca="1">1-J39</f>
        <v>0.63600000000000001</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26.58</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0.29699999999999999</v>
      </c>
      <c r="K42" s="1805"/>
      <c r="L42" s="1741"/>
      <c r="M42" s="1741"/>
    </row>
    <row r="43" spans="1:18" ht="18" customHeight="1" thickBot="1">
      <c r="A43" s="788" t="s">
        <v>1316</v>
      </c>
      <c r="B43" s="789" t="s">
        <v>1339</v>
      </c>
      <c r="C43" s="790">
        <f ca="1">ROUND(C40*10000/F43,0)</f>
        <v>20728</v>
      </c>
      <c r="D43" s="791" t="s">
        <v>1340</v>
      </c>
      <c r="E43" s="792" t="s">
        <v>1341</v>
      </c>
      <c r="F43" s="793">
        <f ca="1">INDIRECT("'数据-取费表'!k"&amp;$G$1)</f>
        <v>44418.490000000005</v>
      </c>
      <c r="G43" s="1786"/>
      <c r="H43" s="1741"/>
      <c r="I43" s="812" t="s">
        <v>1351</v>
      </c>
      <c r="J43" s="813">
        <f ca="1">1-J42</f>
        <v>0.70300000000000007</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-96007</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29.58</v>
      </c>
      <c r="M48" s="3005"/>
      <c r="O48" s="2090" t="s">
        <v>1733</v>
      </c>
      <c r="P48" s="2091" t="s">
        <v>1759</v>
      </c>
      <c r="Q48" s="2092">
        <f ca="1">C40+J29</f>
        <v>92070</v>
      </c>
      <c r="R48" s="2091" t="s">
        <v>1734</v>
      </c>
    </row>
    <row r="49" spans="1:18" s="1783" customFormat="1" ht="18" customHeight="1" thickBot="1">
      <c r="A49" s="752"/>
      <c r="B49" s="753"/>
      <c r="C49" s="754"/>
      <c r="D49" s="755"/>
      <c r="E49" s="750" t="s">
        <v>1268</v>
      </c>
      <c r="F49" s="751">
        <f ca="1">F7</f>
        <v>44418.490000000005</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27349</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70937</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26.58</v>
      </c>
      <c r="K53" s="3962" t="s">
        <v>2225</v>
      </c>
      <c r="L53" s="3963"/>
      <c r="M53" s="3005"/>
      <c r="O53" s="2093" t="s">
        <v>1742</v>
      </c>
      <c r="P53" s="2091" t="s">
        <v>1743</v>
      </c>
      <c r="Q53" s="2092">
        <f ca="1">J53</f>
        <v>26.58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92070</v>
      </c>
      <c r="R54" s="2095" t="s">
        <v>1746</v>
      </c>
    </row>
    <row r="55" spans="1:18" s="1783" customFormat="1" ht="18" customHeight="1" thickTop="1" thickBot="1">
      <c r="A55" s="763">
        <v>2</v>
      </c>
      <c r="B55" s="764" t="s">
        <v>592</v>
      </c>
      <c r="C55" s="765">
        <f ca="1">C13</f>
        <v>27349</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27349</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315</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92070</v>
      </c>
      <c r="R57" s="2091" t="s">
        <v>1734</v>
      </c>
    </row>
    <row r="58" spans="1:18" s="1783" customFormat="1" ht="28.5" customHeight="1" thickBot="1">
      <c r="A58" s="1454" t="s">
        <v>1353</v>
      </c>
      <c r="B58" s="750" t="s">
        <v>604</v>
      </c>
      <c r="C58" s="2762">
        <f ca="1">ROUND(IF(AND(项目基本情况!B11="自然人",项目基本情况!B10="北京市"),C48*F58/(1+'数据-取费表'!C42),C59+C60+C61),2)</f>
        <v>0.72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0.72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4824.84</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273.49</v>
      </c>
      <c r="D63" s="3666" t="s">
        <v>1332</v>
      </c>
      <c r="E63" s="750" t="s">
        <v>1276</v>
      </c>
      <c r="F63" s="782">
        <f t="shared" ca="1" si="0"/>
        <v>0.01</v>
      </c>
      <c r="I63" s="2579" t="s">
        <v>1724</v>
      </c>
      <c r="J63" s="2580">
        <v>70</v>
      </c>
      <c r="K63" s="2580">
        <v>50</v>
      </c>
      <c r="L63" s="2580">
        <v>80</v>
      </c>
      <c r="M63" s="2582">
        <v>0.02</v>
      </c>
      <c r="O63" s="2090" t="s">
        <v>1745</v>
      </c>
      <c r="P63" s="2091" t="s">
        <v>1762</v>
      </c>
      <c r="Q63" s="2092">
        <f ca="1">Q57+Q58</f>
        <v>92070</v>
      </c>
      <c r="R63" s="2095" t="s">
        <v>1746</v>
      </c>
    </row>
    <row r="64" spans="1:18" s="1783" customFormat="1" ht="16.5" thickBot="1">
      <c r="A64" s="1454" t="s">
        <v>1415</v>
      </c>
      <c r="B64" s="750" t="s">
        <v>626</v>
      </c>
      <c r="C64" s="51">
        <f ca="1">ROUND(C55*F64,2)</f>
        <v>41.02</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-315</v>
      </c>
      <c r="D66" s="3665" t="s">
        <v>647</v>
      </c>
      <c r="E66" s="3663"/>
      <c r="F66" s="785"/>
      <c r="K66" s="1809"/>
      <c r="O66" s="2090" t="s">
        <v>1733</v>
      </c>
      <c r="P66" s="2091" t="s">
        <v>1763</v>
      </c>
      <c r="Q66" s="2092">
        <f ca="1">C40+J29</f>
        <v>92070</v>
      </c>
      <c r="R66" s="2091" t="s">
        <v>1734</v>
      </c>
    </row>
    <row r="67" spans="1:18" s="1783" customFormat="1" ht="20.25" thickBot="1">
      <c r="A67" s="747" t="s">
        <v>1309</v>
      </c>
      <c r="B67" s="1951" t="s">
        <v>1658</v>
      </c>
      <c r="C67" s="749">
        <f ca="1">ROUND(C66*(1-((1+F69)/(1+F67))^F68)/(F67-F69),0)</f>
        <v>-3937</v>
      </c>
      <c r="D67" s="779" t="s">
        <v>651</v>
      </c>
      <c r="E67" s="750" t="s">
        <v>652</v>
      </c>
      <c r="F67" s="760">
        <f ca="1">F40</f>
        <v>6.5000000000000002E-2</v>
      </c>
      <c r="K67" s="1809"/>
      <c r="O67" s="2090" t="s">
        <v>1735</v>
      </c>
      <c r="P67" s="2091" t="s">
        <v>1766</v>
      </c>
      <c r="Q67" s="2092">
        <f ca="1">L60</f>
        <v>0</v>
      </c>
      <c r="R67" s="2095" t="s">
        <v>1768</v>
      </c>
    </row>
    <row r="68" spans="1:18" ht="21.75" thickBot="1">
      <c r="A68" s="752"/>
      <c r="B68" s="753"/>
      <c r="C68" s="754"/>
      <c r="D68" s="786" t="s">
        <v>1337</v>
      </c>
      <c r="E68" s="750" t="s">
        <v>1313</v>
      </c>
      <c r="F68" s="787">
        <f ca="1">F41</f>
        <v>26.58</v>
      </c>
      <c r="O68" s="2093" t="s">
        <v>1737</v>
      </c>
      <c r="P68" s="2091" t="s">
        <v>1767</v>
      </c>
      <c r="Q68" s="2097">
        <f ca="1">L51</f>
        <v>70937</v>
      </c>
      <c r="R68" s="2098" t="s">
        <v>1770</v>
      </c>
    </row>
    <row r="69" spans="1:18" ht="20.25" thickBot="1">
      <c r="A69" s="756"/>
      <c r="B69" s="757"/>
      <c r="C69" s="758"/>
      <c r="D69" s="781"/>
      <c r="E69" s="750" t="s">
        <v>657</v>
      </c>
      <c r="F69" s="2065"/>
      <c r="O69" s="2093" t="s">
        <v>1738</v>
      </c>
      <c r="P69" s="2099" t="s">
        <v>1752</v>
      </c>
      <c r="Q69" s="2092">
        <f ca="1">ROUND(Q70-Q71*Q72,0)</f>
        <v>4056</v>
      </c>
      <c r="R69" s="2095"/>
    </row>
    <row r="70" spans="1:18" ht="15.75" thickBot="1">
      <c r="A70" s="788" t="s">
        <v>1316</v>
      </c>
      <c r="B70" s="789" t="s">
        <v>1339</v>
      </c>
      <c r="C70" s="790">
        <f ca="1">ROUND(C67*10000/F70,0)</f>
        <v>-886</v>
      </c>
      <c r="D70" s="791" t="s">
        <v>1340</v>
      </c>
      <c r="E70" s="792" t="s">
        <v>1341</v>
      </c>
      <c r="F70" s="793">
        <f ca="1">F43</f>
        <v>44418.490000000005</v>
      </c>
      <c r="O70" s="2093" t="s">
        <v>1753</v>
      </c>
      <c r="P70" s="2099" t="s">
        <v>1754</v>
      </c>
      <c r="Q70" s="2092">
        <f ca="1">C39</f>
        <v>6381</v>
      </c>
      <c r="R70" s="2091" t="s">
        <v>1734</v>
      </c>
    </row>
    <row r="71" spans="1:18" ht="15.75" thickBot="1">
      <c r="O71" s="2093" t="s">
        <v>1755</v>
      </c>
      <c r="P71" s="2099" t="s">
        <v>1756</v>
      </c>
      <c r="Q71" s="2092">
        <f ca="1">C13</f>
        <v>27349</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92070</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2741</v>
      </c>
      <c r="D1" s="2553" t="s">
        <v>3325</v>
      </c>
      <c r="E1" s="2079" t="s">
        <v>1728</v>
      </c>
      <c r="F1" s="2080">
        <f ca="1">J53</f>
        <v>36.590000000000003</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2047</v>
      </c>
      <c r="C2" s="3006"/>
      <c r="D2" s="3007"/>
      <c r="E2" s="3008"/>
      <c r="F2" s="3008"/>
      <c r="G2" s="3002"/>
      <c r="H2" s="1781"/>
      <c r="I2" s="1781"/>
      <c r="J2" s="1781"/>
      <c r="K2" s="1782"/>
      <c r="L2" s="1781"/>
      <c r="M2" s="1781"/>
    </row>
    <row r="3" spans="1:33" ht="18" customHeight="1" thickBot="1">
      <c r="A3" s="798" t="s">
        <v>1256</v>
      </c>
      <c r="B3" s="799">
        <f ca="1">IF(ISERROR(B2*10000/F43),0,ROUND(B2*10000/F43,0))</f>
        <v>1405</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240</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240</v>
      </c>
      <c r="D6" s="2144" t="s">
        <v>1806</v>
      </c>
      <c r="E6" s="750" t="s">
        <v>1267</v>
      </c>
      <c r="F6" s="751">
        <f ca="1">INDIRECT("'数据-取费表'!u"&amp;$G$1)</f>
        <v>600</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416</v>
      </c>
      <c r="G7" s="1786"/>
      <c r="H7" s="2136"/>
      <c r="I7" s="3957"/>
      <c r="J7" s="754"/>
      <c r="K7" s="755"/>
      <c r="L7" s="750" t="s">
        <v>1268</v>
      </c>
      <c r="M7" s="751">
        <f ca="1">F7</f>
        <v>416</v>
      </c>
    </row>
    <row r="8" spans="1:33" ht="18" customHeight="1">
      <c r="A8" s="2140"/>
      <c r="B8" s="3958"/>
      <c r="C8" s="754"/>
      <c r="D8" s="755"/>
      <c r="E8" s="750" t="s">
        <v>1269</v>
      </c>
      <c r="F8" s="751">
        <f ca="1">INDIRECT("'数据-取费表'!ai"&amp;$G$1)</f>
        <v>12</v>
      </c>
      <c r="G8" s="1786"/>
      <c r="H8" s="2136"/>
      <c r="I8" s="3958"/>
      <c r="J8" s="754"/>
      <c r="K8" s="755"/>
      <c r="L8" s="750" t="s">
        <v>1269</v>
      </c>
      <c r="M8" s="751">
        <f ca="1">INDIRECT("'数据-取费表'!ai"&amp;$G$1)</f>
        <v>12</v>
      </c>
    </row>
    <row r="9" spans="1:33" ht="18" customHeight="1">
      <c r="A9" s="752"/>
      <c r="B9" s="3959"/>
      <c r="C9" s="754"/>
      <c r="D9" s="755"/>
      <c r="E9" s="750" t="s">
        <v>1270</v>
      </c>
      <c r="F9" s="760">
        <f ca="1">INDIRECT("'数据-取费表'!w"&amp;$G$1)</f>
        <v>0.2</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2231</v>
      </c>
      <c r="E10" s="2145" t="s">
        <v>1808</v>
      </c>
      <c r="F10" s="2229" t="s">
        <v>3328</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6347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4650</v>
      </c>
      <c r="D14" s="3665" t="s">
        <v>1274</v>
      </c>
      <c r="E14" s="3664"/>
      <c r="F14" s="771"/>
      <c r="G14" s="1786"/>
      <c r="H14" s="1454" t="s">
        <v>1359</v>
      </c>
      <c r="I14" s="1950" t="s">
        <v>2102</v>
      </c>
      <c r="J14" s="51">
        <f ca="1">C29</f>
        <v>6347</v>
      </c>
      <c r="K14" s="24"/>
      <c r="L14" s="767"/>
      <c r="M14" s="768"/>
    </row>
    <row r="15" spans="1:33" s="1788" customFormat="1" ht="18" customHeight="1" thickBot="1">
      <c r="A15" s="1453" t="s">
        <v>1410</v>
      </c>
      <c r="B15" s="750" t="s">
        <v>595</v>
      </c>
      <c r="C15" s="51">
        <f ca="1">ROUND(C14*F15,0)</f>
        <v>140</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64</v>
      </c>
      <c r="K16" s="1608" t="s">
        <v>1279</v>
      </c>
      <c r="L16" s="3667"/>
      <c r="M16" s="2138"/>
    </row>
    <row r="17" spans="1:33" s="1788" customFormat="1" ht="18" customHeight="1">
      <c r="A17" s="1453" t="s">
        <v>1412</v>
      </c>
      <c r="B17" s="750" t="s">
        <v>601</v>
      </c>
      <c r="C17" s="51">
        <f ca="1">ROUND(F17*(F43+INDIRECT("'数据-取费表'!S"&amp;$G$1))/10000,0)</f>
        <v>314</v>
      </c>
      <c r="D17" s="750" t="s">
        <v>1280</v>
      </c>
      <c r="E17" s="750" t="s">
        <v>1281</v>
      </c>
      <c r="F17" s="54">
        <f>'数据-取费表'!B35</f>
        <v>200</v>
      </c>
      <c r="G17" s="3003"/>
      <c r="H17" s="1454" t="s">
        <v>1359</v>
      </c>
      <c r="I17" s="750" t="s">
        <v>604</v>
      </c>
      <c r="J17" s="2762">
        <f ca="1">ROUND(IF(AND(项目基本情况!B11="自然人",项目基本情况!B10="北京市"),J6*M17/(1+'数据-取费表'!C42),J18+J19+J20),2)</f>
        <v>0.24</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70</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5174</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103</v>
      </c>
      <c r="D20" s="777" t="s">
        <v>1288</v>
      </c>
      <c r="E20" s="750" t="s">
        <v>1276</v>
      </c>
      <c r="F20" s="775">
        <f>'数据-取费表'!B37</f>
        <v>0.02</v>
      </c>
      <c r="G20" s="3003"/>
      <c r="H20" s="1456" t="s">
        <v>1405</v>
      </c>
      <c r="I20" s="332" t="s">
        <v>1289</v>
      </c>
      <c r="J20" s="52">
        <f ca="1">ROUND(M20*M21/10000,2)</f>
        <v>0.24</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1582.61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63.47</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332</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-64</v>
      </c>
      <c r="K25" s="2166" t="s">
        <v>1306</v>
      </c>
      <c r="L25" s="2167"/>
      <c r="M25" s="2168"/>
    </row>
    <row r="26" spans="1:33" ht="18" customHeight="1">
      <c r="A26" s="1453" t="s">
        <v>1360</v>
      </c>
      <c r="B26" s="750" t="s">
        <v>1785</v>
      </c>
      <c r="C26" s="51">
        <f ca="1">ROUND((C19+C20)*F26,0)</f>
        <v>264</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6347</v>
      </c>
      <c r="D29" s="2163"/>
      <c r="E29" s="2164"/>
      <c r="F29" s="2165"/>
      <c r="G29" s="3003"/>
      <c r="H29" s="788" t="s">
        <v>1316</v>
      </c>
      <c r="I29" s="789" t="s">
        <v>1317</v>
      </c>
      <c r="J29" s="790">
        <f ca="1">ROUND(J26/(1+F40)^F41,0)</f>
        <v>0</v>
      </c>
      <c r="K29" s="791" t="s">
        <v>1318</v>
      </c>
      <c r="L29" s="792"/>
      <c r="M29" s="793">
        <f ca="1">INDIRECT("'数据-取费表'!k"&amp;$G$1)</f>
        <v>14569.81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117</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40.24</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12.57</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27.43</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0.24</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1582.61</v>
      </c>
      <c r="G35" s="1786"/>
      <c r="H35" s="1789"/>
      <c r="I35" s="802" t="s">
        <v>1343</v>
      </c>
      <c r="J35" s="803">
        <f ca="1">ROUND(C13*J36,0)</f>
        <v>539</v>
      </c>
      <c r="K35" s="1802"/>
      <c r="L35" s="1801"/>
      <c r="M35" s="1801"/>
    </row>
    <row r="36" spans="1:18" ht="18" customHeight="1">
      <c r="A36" s="1454" t="s">
        <v>1414</v>
      </c>
      <c r="B36" s="750" t="s">
        <v>1331</v>
      </c>
      <c r="C36" s="51">
        <f ca="1">ROUND(C29*F36,2)</f>
        <v>63.47</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9.52</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3.6</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123</v>
      </c>
      <c r="D39" s="2166" t="s">
        <v>1335</v>
      </c>
      <c r="E39" s="2167"/>
      <c r="F39" s="2168"/>
      <c r="G39" s="1786"/>
      <c r="H39" s="1801"/>
      <c r="I39" s="802" t="s">
        <v>1347</v>
      </c>
      <c r="J39" s="810">
        <f ca="1">ROUND(J35/C39,3)</f>
        <v>4.3819999999999997</v>
      </c>
      <c r="K39" s="1806"/>
      <c r="L39" s="1801"/>
      <c r="M39" s="1801"/>
    </row>
    <row r="40" spans="1:18" ht="18" customHeight="1">
      <c r="A40" s="747" t="s">
        <v>1420</v>
      </c>
      <c r="B40" s="1951" t="s">
        <v>1658</v>
      </c>
      <c r="C40" s="749">
        <f ca="1">ROUND(C39*(1-((1+F42)/(1+F40))^F41)/(F40-F42),0)</f>
        <v>2047</v>
      </c>
      <c r="D40" s="779" t="s">
        <v>1336</v>
      </c>
      <c r="E40" s="750" t="s">
        <v>1773</v>
      </c>
      <c r="F40" s="760">
        <f ca="1">INDIRECT("'数据-取费表'!I"&amp;$G$1)</f>
        <v>0.05</v>
      </c>
      <c r="G40" s="1786"/>
      <c r="H40" s="1786"/>
      <c r="I40" s="802" t="s">
        <v>1348</v>
      </c>
      <c r="J40" s="810">
        <f ca="1">1-J39</f>
        <v>-3.3819999999999997</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3.101</v>
      </c>
      <c r="K42" s="1805"/>
      <c r="L42" s="1741"/>
      <c r="M42" s="1741"/>
    </row>
    <row r="43" spans="1:18" ht="18" customHeight="1" thickBot="1">
      <c r="A43" s="788" t="s">
        <v>1316</v>
      </c>
      <c r="B43" s="789" t="s">
        <v>1339</v>
      </c>
      <c r="C43" s="790">
        <f ca="1">ROUND(C40*10000/F43,0)</f>
        <v>1405</v>
      </c>
      <c r="D43" s="791" t="s">
        <v>1340</v>
      </c>
      <c r="E43" s="792" t="s">
        <v>1341</v>
      </c>
      <c r="F43" s="793">
        <f ca="1">INDIRECT("'数据-取费表'!k"&amp;$G$1)</f>
        <v>14569.81</v>
      </c>
      <c r="G43" s="1786"/>
      <c r="H43" s="1741"/>
      <c r="I43" s="812" t="s">
        <v>1351</v>
      </c>
      <c r="J43" s="813">
        <f ca="1">1-J42</f>
        <v>-2.101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-3262</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2047</v>
      </c>
      <c r="R48" s="2091" t="s">
        <v>1734</v>
      </c>
    </row>
    <row r="49" spans="1:18" s="1783" customFormat="1" ht="18" customHeight="1" thickBot="1">
      <c r="A49" s="752"/>
      <c r="B49" s="753"/>
      <c r="C49" s="754"/>
      <c r="D49" s="755"/>
      <c r="E49" s="750" t="s">
        <v>1268</v>
      </c>
      <c r="F49" s="751">
        <f ca="1">F7</f>
        <v>416</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60</v>
      </c>
      <c r="K50" s="2565" t="s">
        <v>1707</v>
      </c>
      <c r="L50" s="2076"/>
      <c r="M50" s="3005"/>
      <c r="O50" s="2093" t="s">
        <v>1737</v>
      </c>
      <c r="P50" s="2091" t="s">
        <v>1761</v>
      </c>
      <c r="Q50" s="2092">
        <f ca="1">C29</f>
        <v>6347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-8624</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2047</v>
      </c>
      <c r="R54" s="2095" t="s">
        <v>1746</v>
      </c>
    </row>
    <row r="55" spans="1:18" s="1783" customFormat="1" ht="18" customHeight="1" thickTop="1" thickBot="1">
      <c r="A55" s="763">
        <v>2</v>
      </c>
      <c r="B55" s="764" t="s">
        <v>592</v>
      </c>
      <c r="C55" s="765">
        <f ca="1">C13</f>
        <v>6347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6347</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73</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2047</v>
      </c>
      <c r="R57" s="2091" t="s">
        <v>1734</v>
      </c>
    </row>
    <row r="58" spans="1:18" s="1783" customFormat="1" ht="28.5" customHeight="1" thickBot="1">
      <c r="A58" s="1454" t="s">
        <v>1353</v>
      </c>
      <c r="B58" s="750" t="s">
        <v>604</v>
      </c>
      <c r="C58" s="2762">
        <f ca="1">ROUND(IF(AND(项目基本情况!B11="自然人",项目基本情况!B10="北京市"),C48*F58/(1+'数据-取费表'!C42),C59+C60+C61),2)</f>
        <v>0.24</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0.24</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1582.61</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63.47</v>
      </c>
      <c r="D63" s="3666" t="s">
        <v>1332</v>
      </c>
      <c r="E63" s="750" t="s">
        <v>1276</v>
      </c>
      <c r="F63" s="782">
        <f t="shared" ca="1" si="0"/>
        <v>0.01</v>
      </c>
      <c r="I63" s="2579" t="s">
        <v>1724</v>
      </c>
      <c r="J63" s="2580">
        <v>70</v>
      </c>
      <c r="K63" s="2580">
        <v>50</v>
      </c>
      <c r="L63" s="2580">
        <v>80</v>
      </c>
      <c r="M63" s="2582">
        <v>0.02</v>
      </c>
      <c r="O63" s="2090" t="s">
        <v>1745</v>
      </c>
      <c r="P63" s="2091" t="s">
        <v>1762</v>
      </c>
      <c r="Q63" s="2092">
        <f ca="1">Q57+Q58</f>
        <v>2047</v>
      </c>
      <c r="R63" s="2095" t="s">
        <v>1746</v>
      </c>
    </row>
    <row r="64" spans="1:18" s="1783" customFormat="1" ht="16.5" thickBot="1">
      <c r="A64" s="1454" t="s">
        <v>1415</v>
      </c>
      <c r="B64" s="750" t="s">
        <v>626</v>
      </c>
      <c r="C64" s="51">
        <f ca="1">ROUND(C55*F64,2)</f>
        <v>9.52</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-73</v>
      </c>
      <c r="D66" s="3665" t="s">
        <v>647</v>
      </c>
      <c r="E66" s="3663"/>
      <c r="F66" s="785"/>
      <c r="K66" s="1809"/>
      <c r="O66" s="2090" t="s">
        <v>1733</v>
      </c>
      <c r="P66" s="2091" t="s">
        <v>1763</v>
      </c>
      <c r="Q66" s="2092">
        <f ca="1">C40+J29</f>
        <v>2047</v>
      </c>
      <c r="R66" s="2091" t="s">
        <v>1734</v>
      </c>
    </row>
    <row r="67" spans="1:18" s="1783" customFormat="1" ht="20.25" thickBot="1">
      <c r="A67" s="747" t="s">
        <v>1309</v>
      </c>
      <c r="B67" s="1951" t="s">
        <v>1658</v>
      </c>
      <c r="C67" s="749">
        <f ca="1">ROUND(C66*(1-((1+F69)/(1+F67))^F68)/(F67-F69),0)</f>
        <v>-1215</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-8624</v>
      </c>
      <c r="R68" s="2098" t="s">
        <v>1770</v>
      </c>
    </row>
    <row r="69" spans="1:18" ht="20.25" thickBot="1">
      <c r="A69" s="756"/>
      <c r="B69" s="757"/>
      <c r="C69" s="758"/>
      <c r="D69" s="781"/>
      <c r="E69" s="750" t="s">
        <v>657</v>
      </c>
      <c r="F69" s="2065"/>
      <c r="O69" s="2093" t="s">
        <v>1738</v>
      </c>
      <c r="P69" s="2099" t="s">
        <v>1752</v>
      </c>
      <c r="Q69" s="2092">
        <f ca="1">ROUND(Q70-Q71*Q72,0)</f>
        <v>-416</v>
      </c>
      <c r="R69" s="2095"/>
    </row>
    <row r="70" spans="1:18" ht="15.75" thickBot="1">
      <c r="A70" s="788" t="s">
        <v>1316</v>
      </c>
      <c r="B70" s="789" t="s">
        <v>1339</v>
      </c>
      <c r="C70" s="790">
        <f ca="1">ROUND(C67*10000/F70,0)</f>
        <v>-834</v>
      </c>
      <c r="D70" s="791" t="s">
        <v>1340</v>
      </c>
      <c r="E70" s="792" t="s">
        <v>1341</v>
      </c>
      <c r="F70" s="793">
        <f ca="1">F43</f>
        <v>14569.81</v>
      </c>
      <c r="O70" s="2093" t="s">
        <v>1753</v>
      </c>
      <c r="P70" s="2099" t="s">
        <v>1754</v>
      </c>
      <c r="Q70" s="2092">
        <f ca="1">C39</f>
        <v>123</v>
      </c>
      <c r="R70" s="2091" t="s">
        <v>1734</v>
      </c>
    </row>
    <row r="71" spans="1:18" ht="15.75" thickBot="1">
      <c r="O71" s="2093" t="s">
        <v>1755</v>
      </c>
      <c r="P71" s="2099" t="s">
        <v>1756</v>
      </c>
      <c r="Q71" s="2092">
        <f ca="1">C13</f>
        <v>6347</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2047</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70" t="s">
        <v>2302</v>
      </c>
      <c r="K2" s="3971"/>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72" t="s">
        <v>2312</v>
      </c>
      <c r="K3" s="3973"/>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72" t="s">
        <v>2314</v>
      </c>
      <c r="K4" s="3973"/>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78" t="s">
        <v>2318</v>
      </c>
      <c r="B6" s="3979"/>
      <c r="C6" s="3980"/>
      <c r="D6" s="3098"/>
      <c r="E6" s="3099"/>
      <c r="F6" s="3100"/>
      <c r="G6" s="3101"/>
      <c r="H6" s="3076"/>
      <c r="I6" s="3077"/>
      <c r="J6" s="3964">
        <v>1</v>
      </c>
      <c r="K6" s="3965"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64"/>
      <c r="K7" s="3966"/>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81" t="s">
        <v>2332</v>
      </c>
      <c r="C8" s="3982"/>
      <c r="D8" s="3117" t="s">
        <v>2333</v>
      </c>
      <c r="E8" s="3118" t="s">
        <v>2334</v>
      </c>
      <c r="F8" s="3119" t="s">
        <v>2335</v>
      </c>
      <c r="G8" s="3120"/>
      <c r="H8" s="3076"/>
      <c r="I8" s="3077"/>
      <c r="J8" s="3964"/>
      <c r="K8" s="3966"/>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81" t="s">
        <v>2338</v>
      </c>
      <c r="C9" s="3982"/>
      <c r="D9" s="3117">
        <f>ROUND(D6*E9,0)</f>
        <v>0</v>
      </c>
      <c r="E9" s="3121"/>
      <c r="F9" s="3122" t="s">
        <v>2339</v>
      </c>
      <c r="G9" s="3101"/>
      <c r="H9" s="3076"/>
      <c r="I9" s="3077"/>
      <c r="J9" s="3964"/>
      <c r="K9" s="3966"/>
      <c r="L9" s="3111" t="s">
        <v>2340</v>
      </c>
      <c r="M9" s="3112"/>
      <c r="N9" s="3088"/>
      <c r="O9" s="3113"/>
      <c r="P9" s="3113"/>
      <c r="Q9" s="3114">
        <v>365</v>
      </c>
      <c r="R9" s="3115">
        <f t="shared" si="0"/>
        <v>0</v>
      </c>
      <c r="S9" s="3068"/>
      <c r="T9" s="3068"/>
      <c r="U9" s="3068"/>
      <c r="V9" s="3077"/>
    </row>
    <row r="10" spans="1:22" s="3081" customFormat="1" ht="13.15" customHeight="1">
      <c r="A10" s="3116">
        <v>2</v>
      </c>
      <c r="B10" s="3981" t="s">
        <v>2341</v>
      </c>
      <c r="C10" s="3982"/>
      <c r="D10" s="3117">
        <f>ROUND(D6*E10,0)</f>
        <v>0</v>
      </c>
      <c r="E10" s="3121"/>
      <c r="F10" s="3122" t="s">
        <v>2342</v>
      </c>
      <c r="G10" s="3101"/>
      <c r="H10" s="3076"/>
      <c r="I10" s="3077"/>
      <c r="J10" s="3964"/>
      <c r="K10" s="3966"/>
      <c r="L10" s="3111" t="s">
        <v>2343</v>
      </c>
      <c r="M10" s="3112"/>
      <c r="N10" s="3088"/>
      <c r="O10" s="3113"/>
      <c r="P10" s="3113"/>
      <c r="Q10" s="3114">
        <v>365</v>
      </c>
      <c r="R10" s="3115">
        <f t="shared" si="0"/>
        <v>0</v>
      </c>
      <c r="S10" s="3068"/>
      <c r="T10" s="3068"/>
      <c r="U10" s="3068"/>
      <c r="V10" s="3077"/>
    </row>
    <row r="11" spans="1:22" s="3081" customFormat="1" ht="13.15" customHeight="1">
      <c r="A11" s="3116">
        <v>3</v>
      </c>
      <c r="B11" s="3981" t="s">
        <v>2344</v>
      </c>
      <c r="C11" s="3982"/>
      <c r="D11" s="3117">
        <f>D12+D14+D15+D16</f>
        <v>0</v>
      </c>
      <c r="E11" s="3123" t="e">
        <f>D11/D6</f>
        <v>#DIV/0!</v>
      </c>
      <c r="F11" s="3119"/>
      <c r="G11" s="3120"/>
      <c r="H11" s="3076"/>
      <c r="I11" s="3077"/>
      <c r="J11" s="3964"/>
      <c r="K11" s="3966"/>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4" t="s">
        <v>2347</v>
      </c>
      <c r="C12" s="3975"/>
      <c r="D12" s="3125">
        <f>ROUND(D13*1.2%*(1-30%),0)</f>
        <v>0</v>
      </c>
      <c r="E12" s="3126">
        <v>1.2E-2</v>
      </c>
      <c r="F12" s="3119" t="s">
        <v>2348</v>
      </c>
      <c r="G12" s="3120"/>
      <c r="H12" s="3076"/>
      <c r="I12" s="3077"/>
      <c r="J12" s="3964"/>
      <c r="K12" s="3966"/>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64"/>
      <c r="K13" s="3966"/>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4" t="s">
        <v>2353</v>
      </c>
      <c r="C14" s="3975"/>
      <c r="D14" s="3125">
        <f>ROUND(E14*B5/10000,0)</f>
        <v>0</v>
      </c>
      <c r="E14" s="3114"/>
      <c r="F14" s="3119" t="s">
        <v>2354</v>
      </c>
      <c r="G14" s="3120"/>
      <c r="H14" s="3076"/>
      <c r="I14" s="3077"/>
      <c r="J14" s="3964"/>
      <c r="K14" s="3967"/>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4" t="s">
        <v>2357</v>
      </c>
      <c r="C15" s="3975"/>
      <c r="D15" s="3125">
        <f>ROUND(D6*E15,0)</f>
        <v>0</v>
      </c>
      <c r="E15" s="3126">
        <v>5.5E-2</v>
      </c>
      <c r="F15" s="3119" t="s">
        <v>2358</v>
      </c>
      <c r="G15" s="3101"/>
      <c r="H15" s="3076"/>
      <c r="I15" s="3077"/>
      <c r="J15" s="3964">
        <v>2</v>
      </c>
      <c r="K15" s="3965"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4" t="s">
        <v>2368</v>
      </c>
      <c r="C16" s="3975"/>
      <c r="D16" s="3136">
        <f>D6*E16</f>
        <v>0</v>
      </c>
      <c r="E16" s="3137"/>
      <c r="F16" s="3122" t="s">
        <v>2369</v>
      </c>
      <c r="G16" s="3101"/>
      <c r="H16" s="3076"/>
      <c r="I16" s="3077"/>
      <c r="J16" s="3964"/>
      <c r="K16" s="3966"/>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6" t="s">
        <v>2371</v>
      </c>
      <c r="C17" s="3977"/>
      <c r="D17" s="3139">
        <f>ROUND(D6*E17,0)</f>
        <v>0</v>
      </c>
      <c r="E17" s="3140"/>
      <c r="F17" s="3141" t="s">
        <v>2372</v>
      </c>
      <c r="G17" s="3101"/>
      <c r="H17" s="3076"/>
      <c r="I17" s="3077"/>
      <c r="J17" s="3964"/>
      <c r="K17" s="3966"/>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64"/>
      <c r="K18" s="3966"/>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64"/>
      <c r="K19" s="3967"/>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4">
        <v>3</v>
      </c>
      <c r="K20" s="3965"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64"/>
      <c r="K21" s="3966"/>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64"/>
      <c r="K22" s="3966"/>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64"/>
      <c r="K23" s="3966"/>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64"/>
      <c r="K24" s="3967"/>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8">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69"/>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70" t="s">
        <v>2414</v>
      </c>
      <c r="K32" s="3971"/>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72" t="s">
        <v>2418</v>
      </c>
      <c r="K33" s="3973"/>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72" t="s">
        <v>2420</v>
      </c>
      <c r="K34" s="3973"/>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64">
        <v>1</v>
      </c>
      <c r="K36" s="3965"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64"/>
      <c r="K37" s="3966"/>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4"/>
      <c r="K38" s="3966"/>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64"/>
      <c r="K39" s="3966"/>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64"/>
      <c r="K40" s="3967"/>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8">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69"/>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2284</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1873</v>
      </c>
      <c r="D13" s="3013">
        <f>'数据-汇总表'!E6</f>
        <v>93643.760000000009</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0.81899999999999995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6" t="s">
        <v>471</v>
      </c>
      <c r="D4" s="3877"/>
      <c r="E4" s="3902" t="s">
        <v>472</v>
      </c>
      <c r="F4" s="3903"/>
      <c r="G4" s="3876" t="s">
        <v>473</v>
      </c>
      <c r="H4" s="3877"/>
      <c r="I4" s="3876" t="s">
        <v>474</v>
      </c>
      <c r="J4" s="3877"/>
      <c r="K4" s="818"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2191</v>
      </c>
      <c r="D5" s="3888"/>
      <c r="E5" s="3904" t="s">
        <v>2192</v>
      </c>
      <c r="F5" s="3905"/>
      <c r="G5" s="3887" t="s">
        <v>2193</v>
      </c>
      <c r="H5" s="3888"/>
      <c r="I5" s="3887" t="s">
        <v>2194</v>
      </c>
      <c r="J5" s="3888"/>
      <c r="K5" s="819"/>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819"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0" t="s">
        <v>479</v>
      </c>
      <c r="Q7" s="3869"/>
      <c r="R7" s="1381" t="s">
        <v>10</v>
      </c>
      <c r="S7" s="1382">
        <f t="shared" ref="S7:S15" si="0">F7</f>
        <v>0</v>
      </c>
      <c r="T7" s="1381" t="s">
        <v>10</v>
      </c>
      <c r="U7" s="1382">
        <f t="shared" ref="U7:U15" si="1">H7</f>
        <v>0</v>
      </c>
      <c r="V7" s="1381" t="s">
        <v>10</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0" t="s">
        <v>482</v>
      </c>
      <c r="Q8" s="3861"/>
      <c r="R8" s="1381" t="s">
        <v>10</v>
      </c>
      <c r="S8" s="1382">
        <f t="shared" si="0"/>
        <v>0</v>
      </c>
      <c r="T8" s="1381" t="s">
        <v>10</v>
      </c>
      <c r="U8" s="1382">
        <f t="shared" si="1"/>
        <v>0</v>
      </c>
      <c r="V8" s="1381" t="s">
        <v>10</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8"/>
      <c r="Q11" s="1050" t="str">
        <f t="shared" si="6"/>
        <v>容积率</v>
      </c>
      <c r="R11" s="1381" t="s">
        <v>8</v>
      </c>
      <c r="S11" s="1382" t="e">
        <f t="shared" si="0"/>
        <v>#N/A</v>
      </c>
      <c r="T11" s="1381" t="s">
        <v>8</v>
      </c>
      <c r="U11" s="1382" t="e">
        <f t="shared" si="1"/>
        <v>#N/A</v>
      </c>
      <c r="V11" s="1381" t="s">
        <v>8</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20"/>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5"/>
      <c r="Q46" s="1385">
        <f t="shared" si="8"/>
        <v>111</v>
      </c>
      <c r="R46" s="1386" t="s">
        <v>7</v>
      </c>
      <c r="S46" s="1387">
        <f t="shared" si="9"/>
        <v>100</v>
      </c>
      <c r="T46" s="1386" t="s">
        <v>7</v>
      </c>
      <c r="U46" s="1387">
        <f t="shared" si="10"/>
        <v>100</v>
      </c>
      <c r="V46" s="1386" t="s">
        <v>7</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84"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84"/>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84"/>
      <c r="AC6" s="3859"/>
    </row>
    <row r="7" spans="1:29" s="1118" customFormat="1" ht="15.75" thickBot="1">
      <c r="A7" s="2392"/>
      <c r="B7" s="2399" t="s">
        <v>478</v>
      </c>
      <c r="C7" s="489">
        <f>'数据-取费表'!B2</f>
        <v>45028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5"/>
      <c r="Q46" s="1385">
        <f t="shared" si="8"/>
        <v>111</v>
      </c>
      <c r="R46" s="1386" t="s">
        <v>5</v>
      </c>
      <c r="S46" s="1387">
        <f t="shared" si="9"/>
        <v>100</v>
      </c>
      <c r="T46" s="1386" t="s">
        <v>5</v>
      </c>
      <c r="U46" s="1387">
        <f t="shared" si="10"/>
        <v>100</v>
      </c>
      <c r="V46" s="1386" t="s">
        <v>5</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6" t="s">
        <v>471</v>
      </c>
      <c r="D4" s="3877"/>
      <c r="E4" s="3902" t="s">
        <v>472</v>
      </c>
      <c r="F4" s="3903"/>
      <c r="G4" s="3876" t="s">
        <v>473</v>
      </c>
      <c r="H4" s="3877"/>
      <c r="I4" s="3876" t="s">
        <v>474</v>
      </c>
      <c r="J4" s="3877"/>
      <c r="K4" s="484" t="s">
        <v>475</v>
      </c>
      <c r="L4" s="1856"/>
      <c r="M4" s="1857"/>
      <c r="N4" s="1857"/>
      <c r="O4" s="1857"/>
      <c r="P4" s="3986"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987"/>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988"/>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1"/>
      <c r="R8" s="1381" t="s">
        <v>5</v>
      </c>
      <c r="S8" s="1382">
        <f t="shared" si="0"/>
        <v>0</v>
      </c>
      <c r="T8" s="1381" t="s">
        <v>5</v>
      </c>
      <c r="U8" s="1382">
        <f t="shared" si="1"/>
        <v>0</v>
      </c>
      <c r="V8" s="1381" t="s">
        <v>5</v>
      </c>
      <c r="W8" s="1382">
        <f t="shared" si="2"/>
        <v>0</v>
      </c>
      <c r="X8" s="1383"/>
      <c r="Y8" s="3860" t="s">
        <v>482</v>
      </c>
      <c r="Z8" s="386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5"/>
      <c r="Q47" s="1385">
        <f t="shared" si="8"/>
        <v>111</v>
      </c>
      <c r="R47" s="1386" t="s">
        <v>5</v>
      </c>
      <c r="S47" s="1387">
        <f t="shared" si="9"/>
        <v>100</v>
      </c>
      <c r="T47" s="1386" t="s">
        <v>5</v>
      </c>
      <c r="U47" s="1387">
        <f t="shared" si="10"/>
        <v>100</v>
      </c>
      <c r="V47" s="1386" t="s">
        <v>5</v>
      </c>
      <c r="W47" s="1387">
        <f t="shared" si="11"/>
        <v>100</v>
      </c>
      <c r="X47" s="1380"/>
      <c r="Y47" s="398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5" t="str">
        <f>A48</f>
        <v>成交单价（元/平方米）</v>
      </c>
      <c r="Q48" s="3868"/>
      <c r="R48" s="3984">
        <f>E48</f>
        <v>0</v>
      </c>
      <c r="S48" s="3984"/>
      <c r="T48" s="3984">
        <f>G48</f>
        <v>0</v>
      </c>
      <c r="U48" s="3984"/>
      <c r="V48" s="3984">
        <f>I48</f>
        <v>0</v>
      </c>
      <c r="W48" s="3984"/>
      <c r="X48" s="1375"/>
      <c r="Y48" s="1394"/>
      <c r="Z48" s="1375"/>
      <c r="AA48" s="1375"/>
      <c r="AB48" s="1375"/>
      <c r="AC48" s="1375"/>
    </row>
    <row r="49" spans="1:29" ht="15.75" thickBot="1">
      <c r="A49" s="585" t="s">
        <v>2042</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68"/>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89" t="str">
        <f>A50</f>
        <v>估价对象XX用房的比较价格（楼面单价，元/平方米）</v>
      </c>
      <c r="Q50" s="3875"/>
      <c r="R50" s="3983" t="e">
        <f>IF(F1="售价",ROUND(IF(D49="简单平均",AVERAGE(R49:V49),R49*F49+T49*H49+V49*J49),0),ROUND(IF(D49="简单平均",AVERAGE(R49:V49),R49*F49+T49*H49+V49*J49),1))</f>
        <v>#DIV/0!</v>
      </c>
      <c r="S50" s="3983"/>
      <c r="T50" s="3983"/>
      <c r="U50" s="3983"/>
      <c r="V50" s="3983"/>
      <c r="W50" s="398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2023-4</v>
      </c>
      <c r="D59" s="2284">
        <f>EDATE(C59,-1)</f>
        <v>44986</v>
      </c>
      <c r="E59" s="2284">
        <f t="shared" ref="E59:O59" si="13">EDATE(D59,-1)</f>
        <v>44958</v>
      </c>
      <c r="F59" s="2284">
        <f t="shared" si="13"/>
        <v>44927</v>
      </c>
      <c r="G59" s="2284">
        <f t="shared" si="13"/>
        <v>44896</v>
      </c>
      <c r="H59" s="2284">
        <f t="shared" si="13"/>
        <v>44866</v>
      </c>
      <c r="I59" s="2284">
        <f t="shared" si="13"/>
        <v>44835</v>
      </c>
      <c r="J59" s="2284">
        <f t="shared" si="13"/>
        <v>44805</v>
      </c>
      <c r="K59" s="2284">
        <f t="shared" si="13"/>
        <v>44774</v>
      </c>
      <c r="L59" s="2284">
        <f t="shared" si="13"/>
        <v>44743</v>
      </c>
      <c r="M59" s="2284">
        <f t="shared" si="13"/>
        <v>44713</v>
      </c>
      <c r="N59" s="2284">
        <f t="shared" si="13"/>
        <v>44682</v>
      </c>
      <c r="O59" s="2284">
        <f t="shared" si="13"/>
        <v>44652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8"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5"/>
      <c r="Q40" s="1385">
        <f t="shared" si="8"/>
        <v>111</v>
      </c>
      <c r="R40" s="1386" t="s">
        <v>5</v>
      </c>
      <c r="S40" s="1387">
        <f t="shared" si="9"/>
        <v>100</v>
      </c>
      <c r="T40" s="1386" t="s">
        <v>5</v>
      </c>
      <c r="U40" s="1387">
        <f t="shared" si="10"/>
        <v>100</v>
      </c>
      <c r="V40" s="1386" t="s">
        <v>5</v>
      </c>
      <c r="W40" s="1387">
        <f t="shared" si="11"/>
        <v>100</v>
      </c>
      <c r="X40" s="1380"/>
      <c r="Y40" s="398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8" t="str">
        <f>A41</f>
        <v>成交单价（元/平方米）</v>
      </c>
      <c r="Q41" s="3868"/>
      <c r="R41" s="3984">
        <f>E41</f>
        <v>0</v>
      </c>
      <c r="S41" s="3984"/>
      <c r="T41" s="3984">
        <f>G41</f>
        <v>0</v>
      </c>
      <c r="U41" s="3984"/>
      <c r="V41" s="3984">
        <f>I41</f>
        <v>0</v>
      </c>
      <c r="W41" s="3984"/>
      <c r="X41" s="1375"/>
      <c r="Y41" s="1394"/>
      <c r="Z41" s="1375"/>
      <c r="AA41" s="1375"/>
      <c r="AB41" s="1375"/>
      <c r="AC41" s="1375"/>
    </row>
    <row r="42" spans="1:29" ht="15.75" thickBot="1">
      <c r="A42" s="585" t="s">
        <v>2042</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83" t="e">
        <f>IF(F1="售价",ROUND(IF(D42="简单平均",AVERAGE(R42:V42),R42*F42+T42*H42+V42*J42),0),ROUND(IF(D42="简单平均",AVERAGE(R42:V42),R42*F42+T42*H42+V42*J42),1))</f>
        <v>#DIV/0!</v>
      </c>
      <c r="S43" s="3983"/>
      <c r="T43" s="3983"/>
      <c r="U43" s="3983"/>
      <c r="V43" s="3983"/>
      <c r="W43" s="398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2023-4</v>
      </c>
      <c r="D52" s="2284">
        <f>EDATE(C52,-1)</f>
        <v>44986</v>
      </c>
      <c r="E52" s="2284">
        <f t="shared" ref="E52:O52" si="13">EDATE(D52,-1)</f>
        <v>44958</v>
      </c>
      <c r="F52" s="2284">
        <f t="shared" si="13"/>
        <v>44927</v>
      </c>
      <c r="G52" s="2284">
        <f t="shared" si="13"/>
        <v>44896</v>
      </c>
      <c r="H52" s="2284">
        <f t="shared" si="13"/>
        <v>44866</v>
      </c>
      <c r="I52" s="2284">
        <f t="shared" si="13"/>
        <v>44835</v>
      </c>
      <c r="J52" s="2284">
        <f t="shared" si="13"/>
        <v>44805</v>
      </c>
      <c r="K52" s="2284">
        <f t="shared" si="13"/>
        <v>44774</v>
      </c>
      <c r="L52" s="2284">
        <f t="shared" si="13"/>
        <v>44743</v>
      </c>
      <c r="M52" s="2284">
        <f t="shared" si="13"/>
        <v>44713</v>
      </c>
      <c r="N52" s="2284">
        <f t="shared" si="13"/>
        <v>44682</v>
      </c>
      <c r="O52" s="2284">
        <f t="shared" si="13"/>
        <v>44652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876" t="s">
        <v>739</v>
      </c>
      <c r="F4" s="3877"/>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2191</v>
      </c>
      <c r="D5" s="3888"/>
      <c r="E5" s="3887" t="s">
        <v>2192</v>
      </c>
      <c r="F5" s="3888"/>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889" t="s">
        <v>2195</v>
      </c>
      <c r="F6" s="3890"/>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8" t="str">
        <f>A37</f>
        <v>成交单价</v>
      </c>
      <c r="Q37" s="3868"/>
      <c r="R37" s="3984">
        <f>E37</f>
        <v>0</v>
      </c>
      <c r="S37" s="3984"/>
      <c r="T37" s="3984">
        <f>G37</f>
        <v>0</v>
      </c>
      <c r="U37" s="3984"/>
      <c r="V37" s="3984">
        <f>I37</f>
        <v>0</v>
      </c>
      <c r="W37" s="3984"/>
      <c r="X37" s="1375"/>
      <c r="Y37" s="1394"/>
      <c r="Z37" s="1375"/>
      <c r="AA37" s="1375"/>
      <c r="AB37" s="1375"/>
      <c r="AC37" s="1375"/>
    </row>
    <row r="38" spans="1:29" ht="15.75" thickBot="1">
      <c r="A38" s="585" t="s">
        <v>2042</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68" t="str">
        <f>A38</f>
        <v>比较价格（元/平方米）</v>
      </c>
      <c r="Q38" s="3868"/>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375"/>
      <c r="Y38" s="1375"/>
      <c r="Z38" s="1375"/>
      <c r="AA38" s="1375"/>
      <c r="AB38" s="1375"/>
      <c r="AC38" s="1375"/>
    </row>
    <row r="39" spans="1:29" ht="15.75" thickBot="1">
      <c r="A39" s="589" t="s">
        <v>2197</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83" t="e">
        <f>IF(F1="售价",ROUND(IF(D38="简单平均",AVERAGE(R38:W38),R38*F38+T38*H38+V38*J38),0),ROUND(IF(D38="简单平均",AVERAGE(R38:V38),R38*F38+T38*H38+V38*J38),1))</f>
        <v>#DIV/0!</v>
      </c>
      <c r="S39" s="3983"/>
      <c r="T39" s="3983"/>
      <c r="U39" s="3983"/>
      <c r="V39" s="3983"/>
      <c r="W39" s="398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2023-4</v>
      </c>
      <c r="D48" s="2284">
        <f>EDATE(C48,-1)</f>
        <v>44986</v>
      </c>
      <c r="E48" s="2284">
        <f t="shared" ref="E48:O48" si="13">EDATE(D48,-1)</f>
        <v>44958</v>
      </c>
      <c r="F48" s="2284">
        <f t="shared" si="13"/>
        <v>44927</v>
      </c>
      <c r="G48" s="2284">
        <f t="shared" si="13"/>
        <v>44896</v>
      </c>
      <c r="H48" s="2284">
        <f t="shared" si="13"/>
        <v>44866</v>
      </c>
      <c r="I48" s="2284">
        <f t="shared" si="13"/>
        <v>44835</v>
      </c>
      <c r="J48" s="2284">
        <f t="shared" si="13"/>
        <v>44805</v>
      </c>
      <c r="K48" s="2284">
        <f t="shared" si="13"/>
        <v>44774</v>
      </c>
      <c r="L48" s="2284">
        <f t="shared" si="13"/>
        <v>44743</v>
      </c>
      <c r="M48" s="2284">
        <f t="shared" si="13"/>
        <v>44713</v>
      </c>
      <c r="N48" s="2284">
        <f t="shared" si="13"/>
        <v>44682</v>
      </c>
      <c r="O48" s="2284">
        <f t="shared" si="13"/>
        <v>44652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902" t="s">
        <v>739</v>
      </c>
      <c r="F4" s="3903"/>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8" t="str">
        <f>A35</f>
        <v>成交单价（元/平方米）</v>
      </c>
      <c r="Q35" s="3868"/>
      <c r="R35" s="3984">
        <f>E35</f>
        <v>0</v>
      </c>
      <c r="S35" s="3984"/>
      <c r="T35" s="3984">
        <f>G35</f>
        <v>0</v>
      </c>
      <c r="U35" s="3984"/>
      <c r="V35" s="3984">
        <f>I35</f>
        <v>0</v>
      </c>
      <c r="W35" s="3984"/>
      <c r="X35" s="1375"/>
      <c r="Y35" s="1394"/>
      <c r="Z35" s="1375"/>
      <c r="AA35" s="1375"/>
      <c r="AB35" s="1375"/>
      <c r="AC35" s="1375"/>
    </row>
    <row r="36" spans="1:29" ht="15.75" thickBot="1">
      <c r="A36" s="585" t="s">
        <v>2042</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83" t="e">
        <f>IF(F1="售价",ROUND(IF(D36="简单平均",AVERAGE(R36:W36),R36*F36+T36*H36+V36*J36),0),ROUND(IF(D36="简单平均",AVERAGE(R36:V36),R36*F36+T36*H36+V36*J36),1))</f>
        <v>#DIV/0!</v>
      </c>
      <c r="S37" s="3983"/>
      <c r="T37" s="3983"/>
      <c r="U37" s="3983"/>
      <c r="V37" s="3983"/>
      <c r="W37" s="398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2023-4</v>
      </c>
      <c r="D46" s="2284">
        <f>EDATE(C46,-1)</f>
        <v>44986</v>
      </c>
      <c r="E46" s="2284">
        <f t="shared" ref="E46:O46" si="13">EDATE(D46,-1)</f>
        <v>44958</v>
      </c>
      <c r="F46" s="2284">
        <f t="shared" si="13"/>
        <v>44927</v>
      </c>
      <c r="G46" s="2284">
        <f t="shared" si="13"/>
        <v>44896</v>
      </c>
      <c r="H46" s="2284">
        <f t="shared" si="13"/>
        <v>44866</v>
      </c>
      <c r="I46" s="2284">
        <f t="shared" si="13"/>
        <v>44835</v>
      </c>
      <c r="J46" s="2284">
        <f t="shared" si="13"/>
        <v>44805</v>
      </c>
      <c r="K46" s="2284">
        <f t="shared" si="13"/>
        <v>44774</v>
      </c>
      <c r="L46" s="2284">
        <f t="shared" si="13"/>
        <v>44743</v>
      </c>
      <c r="M46" s="2284">
        <f t="shared" si="13"/>
        <v>44713</v>
      </c>
      <c r="N46" s="2284">
        <f t="shared" si="13"/>
        <v>44682</v>
      </c>
      <c r="O46" s="2284">
        <f t="shared" si="13"/>
        <v>44652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3" t="s">
        <v>1661</v>
      </c>
      <c r="D1" s="3994"/>
      <c r="E1" s="3994"/>
      <c r="F1" s="3994"/>
      <c r="G1" s="3994"/>
      <c r="H1" s="3994"/>
      <c r="I1" s="3994"/>
      <c r="J1" s="3994"/>
      <c r="K1" s="3994"/>
      <c r="L1" s="3994"/>
      <c r="M1" s="3994"/>
      <c r="N1" s="3994"/>
      <c r="O1" s="3994"/>
      <c r="P1" s="3994"/>
      <c r="Q1" s="3994"/>
      <c r="R1" s="3994"/>
      <c r="S1" s="399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0" t="s">
        <v>14</v>
      </c>
      <c r="D22" s="3991"/>
      <c r="E22" s="3991"/>
      <c r="F22" s="3991"/>
      <c r="G22" s="3991"/>
      <c r="H22" s="3991"/>
      <c r="I22" s="3991"/>
      <c r="J22" s="3991"/>
      <c r="K22" s="3991"/>
      <c r="L22" s="3991"/>
      <c r="M22" s="3991"/>
      <c r="N22" s="3991"/>
      <c r="O22" s="3991"/>
      <c r="P22" s="3991"/>
      <c r="Q22" s="3992"/>
      <c r="R22" s="467" t="e">
        <f>ROUND(S22*10000/B22,0)</f>
        <v>#DIV/0!</v>
      </c>
      <c r="S22" s="51">
        <f>SUM(S24:S10000)</f>
        <v>0</v>
      </c>
    </row>
    <row r="23" spans="1:45" s="1421" customFormat="1" ht="24">
      <c r="A23" s="15" t="s">
        <v>770</v>
      </c>
      <c r="B23" s="2614"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45028</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1556</v>
      </c>
      <c r="B1" s="3683"/>
      <c r="C1" s="3683"/>
      <c r="D1" s="3683"/>
      <c r="E1" s="3683"/>
      <c r="F1" s="3683"/>
      <c r="G1" s="3683"/>
      <c r="H1" s="3683"/>
      <c r="I1" s="3683"/>
      <c r="J1" s="3683"/>
      <c r="K1" s="3683"/>
      <c r="L1" s="3683"/>
      <c r="M1" s="3683"/>
      <c r="N1" s="3683"/>
      <c r="O1" s="3683"/>
      <c r="P1" s="3683"/>
      <c r="Q1" s="3683"/>
      <c r="R1" s="3683"/>
    </row>
    <row r="2" spans="1:18">
      <c r="A2" s="1595" t="s">
        <v>1558</v>
      </c>
      <c r="B2" s="1595"/>
      <c r="C2" s="1595"/>
      <c r="D2" s="1595"/>
      <c r="E2" s="1595"/>
      <c r="F2" s="1595"/>
      <c r="G2" s="1595"/>
      <c r="H2" s="1595"/>
      <c r="I2" s="1596"/>
      <c r="J2" s="1596"/>
      <c r="K2" s="1597" t="str">
        <f>"估价期日："&amp;TEXT(项目基本情况!D3,"yyyy年m月d日;;")</f>
        <v>估价期日：2023年4月12日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4" t="s">
        <v>1547</v>
      </c>
      <c r="B3" s="3684" t="s">
        <v>2013</v>
      </c>
      <c r="C3" s="3685" t="s">
        <v>1548</v>
      </c>
      <c r="D3" s="3684" t="s">
        <v>2017</v>
      </c>
      <c r="E3" s="3687" t="s">
        <v>1549</v>
      </c>
      <c r="F3" s="3687"/>
      <c r="G3" s="3687"/>
      <c r="H3" s="3687" t="s">
        <v>1550</v>
      </c>
      <c r="I3" s="3687"/>
      <c r="J3" s="3687"/>
      <c r="K3" s="3685" t="s">
        <v>1551</v>
      </c>
      <c r="L3" s="3685" t="s">
        <v>1552</v>
      </c>
      <c r="M3" s="3684" t="s">
        <v>2014</v>
      </c>
      <c r="N3" s="3686" t="str">
        <f>"（分摊）"&amp;项目基本情况!A17&amp;"国有建设用地使用权面积/㎡"</f>
        <v>（分摊）出让国有建设用地使用权面积/㎡</v>
      </c>
      <c r="O3" s="3684" t="s">
        <v>1581</v>
      </c>
      <c r="P3" s="3685" t="s">
        <v>1561</v>
      </c>
      <c r="Q3" s="3685" t="s">
        <v>1582</v>
      </c>
      <c r="R3" s="3685" t="s">
        <v>1553</v>
      </c>
    </row>
    <row r="4" spans="1:18" ht="36.75" customHeight="1">
      <c r="A4" s="3684"/>
      <c r="B4" s="3684"/>
      <c r="C4" s="3685"/>
      <c r="D4" s="3684"/>
      <c r="E4" s="2254" t="s">
        <v>1560</v>
      </c>
      <c r="F4" s="2254" t="s">
        <v>2026</v>
      </c>
      <c r="G4" s="2254" t="s">
        <v>1554</v>
      </c>
      <c r="H4" s="2254" t="s">
        <v>1555</v>
      </c>
      <c r="I4" s="2254" t="s">
        <v>2027</v>
      </c>
      <c r="J4" s="2254" t="s">
        <v>1554</v>
      </c>
      <c r="K4" s="3685"/>
      <c r="L4" s="3685"/>
      <c r="M4" s="3684"/>
      <c r="N4" s="3686"/>
      <c r="O4" s="3684"/>
      <c r="P4" s="3685"/>
      <c r="Q4" s="3685"/>
      <c r="R4" s="368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9448.5499999999993</v>
      </c>
      <c r="O5" s="1598">
        <f>项目基本情况!C21</f>
        <v>93643.760000000009</v>
      </c>
      <c r="P5" s="1598">
        <f ca="1">结果表!E42</f>
        <v>97343</v>
      </c>
      <c r="Q5" s="1598">
        <f ca="1">结果表!D42</f>
        <v>9822</v>
      </c>
      <c r="R5" s="1599">
        <f ca="1">结果表!C42</f>
        <v>91975</v>
      </c>
    </row>
    <row r="6" spans="1:18">
      <c r="A6" s="3688" t="str">
        <f>IF(项目基本情况!B9="市场价格","——","抵押价格")</f>
        <v>抵押价格</v>
      </c>
      <c r="B6" s="3689"/>
      <c r="C6" s="3689"/>
      <c r="D6" s="3689"/>
      <c r="E6" s="3689"/>
      <c r="F6" s="3689"/>
      <c r="G6" s="3689"/>
      <c r="H6" s="3689"/>
      <c r="I6" s="3689"/>
      <c r="J6" s="3689"/>
      <c r="K6" s="3689"/>
      <c r="L6" s="3689"/>
      <c r="M6" s="3689"/>
      <c r="N6" s="3689"/>
      <c r="O6" s="3689"/>
      <c r="P6" s="3689"/>
      <c r="Q6" s="3690"/>
      <c r="R6" s="1600">
        <f ca="1">结果表!O39</f>
        <v>91975</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600" t="str">
        <f>结果表!O40</f>
        <v>——</v>
      </c>
    </row>
    <row r="8" spans="1:18">
      <c r="A8" s="3688">
        <f>IF(项目基本情况!B9="市场价格","——",项目基本情况!E9)</f>
        <v>0</v>
      </c>
      <c r="B8" s="3689"/>
      <c r="C8" s="3689"/>
      <c r="D8" s="3689"/>
      <c r="E8" s="3689"/>
      <c r="F8" s="3689"/>
      <c r="G8" s="3689"/>
      <c r="H8" s="3689"/>
      <c r="I8" s="3689"/>
      <c r="J8" s="3689"/>
      <c r="K8" s="3689"/>
      <c r="L8" s="3689"/>
      <c r="M8" s="3689"/>
      <c r="N8" s="3689"/>
      <c r="O8" s="3689"/>
      <c r="P8" s="3689"/>
      <c r="Q8" s="369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1" t="s">
        <v>1583</v>
      </c>
      <c r="B1" s="3691"/>
      <c r="C1" s="3691"/>
      <c r="D1" s="3691"/>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4" t="s">
        <v>1584</v>
      </c>
      <c r="B5" s="3694"/>
      <c r="C5" s="3694"/>
      <c r="D5" s="3694"/>
    </row>
    <row r="6" spans="1:4">
      <c r="A6" s="3691" t="s">
        <v>1562</v>
      </c>
      <c r="B6" s="3691"/>
      <c r="C6" s="3691"/>
      <c r="D6" s="3691"/>
    </row>
    <row r="7" spans="1:4" ht="33" customHeight="1">
      <c r="A7" s="3691" t="s">
        <v>1857</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4" t="s">
        <v>1586</v>
      </c>
      <c r="B12" s="3694"/>
      <c r="C12" s="3694"/>
      <c r="D12" s="3694"/>
    </row>
    <row r="13" spans="1:4">
      <c r="A13" s="3692" t="s">
        <v>2028</v>
      </c>
      <c r="B13" s="3692"/>
      <c r="C13" s="3692"/>
      <c r="D13" s="3692"/>
    </row>
    <row r="14" spans="1:4">
      <c r="A14" s="3693" t="str">
        <f>IF(项目基本情况!B8="抵押","综上，"&amp;结果表!K47,"——")</f>
        <v>综上，本次评估不存在估价师知悉的法定优先受偿款</v>
      </c>
      <c r="B14" s="3693"/>
      <c r="C14" s="3693"/>
      <c r="D14" s="3693"/>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1984</v>
      </c>
      <c r="B17" s="3691"/>
      <c r="C17" s="3691"/>
      <c r="D17" s="3691"/>
    </row>
    <row r="18" spans="1:4">
      <c r="A18" s="3691" t="s">
        <v>1976</v>
      </c>
      <c r="B18" s="3691"/>
      <c r="C18" s="3691"/>
      <c r="D18" s="3691"/>
    </row>
    <row r="19" spans="1:4">
      <c r="A19" s="2348" t="s">
        <v>1977</v>
      </c>
      <c r="B19" s="2348" t="s">
        <v>1978</v>
      </c>
      <c r="C19" s="2348" t="s">
        <v>1979</v>
      </c>
      <c r="D19" s="2348" t="s">
        <v>1980</v>
      </c>
    </row>
    <row r="20" spans="1:4">
      <c r="A20" s="2348" t="str">
        <f>项目基本情况!B4</f>
        <v>郑燚</v>
      </c>
      <c r="B20" s="2348">
        <f ca="1">项目基本情况!C4</f>
        <v>2014110011</v>
      </c>
      <c r="C20" s="2350"/>
      <c r="D20" s="1588" t="s">
        <v>1985</v>
      </c>
    </row>
    <row r="21" spans="1:4">
      <c r="A21" s="2348" t="str">
        <f>项目基本情况!D4</f>
        <v>崔锴</v>
      </c>
      <c r="B21" s="2348">
        <f ca="1">项目基本情况!E4</f>
        <v>2010110070</v>
      </c>
      <c r="C21" s="2350"/>
      <c r="D21" s="1588" t="s">
        <v>1986</v>
      </c>
    </row>
    <row r="23" spans="1:4">
      <c r="A23" s="3691" t="s">
        <v>1981</v>
      </c>
      <c r="B23" s="3691"/>
      <c r="C23" s="3691"/>
      <c r="D23" s="369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45038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5" sqref="F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2215</v>
      </c>
      <c r="C18" s="1371"/>
    </row>
    <row r="19" spans="1:3">
      <c r="A19" s="6" t="s">
        <v>88</v>
      </c>
      <c r="B19" s="2547" t="s">
        <v>2222</v>
      </c>
      <c r="C19" s="1371"/>
    </row>
    <row r="20" spans="1:3">
      <c r="A20" s="6" t="s">
        <v>89</v>
      </c>
      <c r="B20" s="2547" t="s">
        <v>2262</v>
      </c>
      <c r="C20" s="1371"/>
    </row>
    <row r="21" spans="1:3">
      <c r="A21" s="6" t="s">
        <v>90</v>
      </c>
      <c r="B21" s="6" t="s">
        <v>2441</v>
      </c>
      <c r="C21" s="1371"/>
    </row>
    <row r="22" spans="1:3">
      <c r="A22" s="6" t="s">
        <v>91</v>
      </c>
      <c r="B22" s="6" t="s">
        <v>3329</v>
      </c>
      <c r="C22" s="1371"/>
    </row>
    <row r="23" spans="1:3">
      <c r="A23" s="6" t="s">
        <v>92</v>
      </c>
      <c r="B23" s="6" t="s">
        <v>3330</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2023-04-22T12:08:00Z</dcterms:modified>
</cp:coreProperties>
</file>