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怀柔-武哥询价\"/>
    </mc:Choice>
  </mc:AlternateContent>
  <xr:revisionPtr revIDLastSave="0" documentId="13_ncr:1_{7DDC8F53-E479-4D30-8AFA-E7840496778E}" xr6:coauthVersionLast="47" xr6:coauthVersionMax="47" xr10:uidLastSave="{00000000-0000-0000-0000-000000000000}"/>
  <bookViews>
    <workbookView xWindow="-110" yWindow="-110" windowWidth="25820" windowHeight="1402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基准地价" sheetId="80" r:id="rId42"/>
    <sheet name="租金" sheetId="81"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25" i="9" l="1"/>
  <c r="C14" i="74"/>
  <c r="B14" i="74"/>
  <c r="H26" i="9"/>
  <c r="I26" i="9"/>
  <c r="C6" i="68"/>
  <c r="D33" i="43" l="1"/>
  <c r="J49" i="15"/>
  <c r="Y6" i="1"/>
  <c r="N6" i="1"/>
  <c r="N20" i="1"/>
  <c r="B59" i="1"/>
  <c r="B21" i="1" l="1"/>
  <c r="F19" i="6"/>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5" i="79"/>
  <c r="AD34"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4" i="79"/>
  <c r="T35" i="79"/>
  <c r="T33"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1" i="79"/>
  <c r="AK11" i="79" s="1"/>
  <c r="AH11" i="79"/>
  <c r="W39" i="79"/>
  <c r="AK39" i="79" s="1"/>
  <c r="W17" i="79"/>
  <c r="AK17" i="79" s="1"/>
  <c r="AH17" i="79"/>
  <c r="W10" i="79"/>
  <c r="AK10" i="79" s="1"/>
  <c r="AH10" i="79"/>
  <c r="W18" i="79"/>
  <c r="AK18" i="79" s="1"/>
  <c r="AH18" i="79"/>
  <c r="W20" i="79"/>
  <c r="AK20" i="79" s="1"/>
  <c r="AH20"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12" i="79"/>
  <c r="AK12" i="79" s="1"/>
  <c r="AH12" i="79"/>
  <c r="W21" i="79"/>
  <c r="AK21" i="79" s="1"/>
  <c r="AH21" i="79"/>
  <c r="W47" i="79"/>
  <c r="AK47" i="79" s="1"/>
  <c r="AH47" i="79"/>
  <c r="W45" i="79"/>
  <c r="AK45" i="79" s="1"/>
  <c r="AH45" i="79"/>
  <c r="C18" i="78"/>
  <c r="W15" i="79"/>
  <c r="AK15" i="79" s="1"/>
  <c r="AH15" i="79"/>
  <c r="W13" i="79"/>
  <c r="AK13" i="79" s="1"/>
  <c r="AH13" i="79"/>
  <c r="W48" i="79"/>
  <c r="AK48" i="79" s="1"/>
  <c r="AH48" i="79"/>
  <c r="W49" i="79"/>
  <c r="AK49" i="79" s="1"/>
  <c r="AH49" i="79"/>
  <c r="W43" i="79"/>
  <c r="AK43" i="79" s="1"/>
  <c r="AH43" i="79"/>
  <c r="W38" i="79"/>
  <c r="AK38" i="79" s="1"/>
  <c r="AH38"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AC18" i="35" s="1"/>
  <c r="H21" i="37"/>
  <c r="F21" i="37"/>
  <c r="AA21" i="37" s="1"/>
  <c r="H21" i="34"/>
  <c r="AB21" i="34" s="1"/>
  <c r="H21" i="33"/>
  <c r="U21" i="33" s="1"/>
  <c r="F21" i="33"/>
  <c r="S21" i="33" s="1"/>
  <c r="E83" i="21"/>
  <c r="F83" i="21" s="1"/>
  <c r="H1" i="69"/>
  <c r="AC25" i="40"/>
  <c r="W25" i="40"/>
  <c r="U25" i="40"/>
  <c r="U29" i="39"/>
  <c r="W29" i="39"/>
  <c r="W18" i="36"/>
  <c r="AB21" i="37"/>
  <c r="U21" i="37"/>
  <c r="AA21" i="33"/>
  <c r="J21" i="37"/>
  <c r="W21" i="37" s="1"/>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L568" i="3" s="1"/>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A570" i="3" s="1"/>
  <c r="BD570" i="3"/>
  <c r="BE570" i="3"/>
  <c r="BF570" i="3"/>
  <c r="BG570" i="3"/>
  <c r="BH570" i="3"/>
  <c r="BI570" i="3"/>
  <c r="BJ570" i="3"/>
  <c r="BK570" i="3"/>
  <c r="BM570" i="3"/>
  <c r="BL570" i="3" s="1"/>
  <c r="BN570" i="3"/>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L575" i="3" s="1"/>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34" i="37"/>
  <c r="S34" i="37" s="1"/>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H14" i="40" s="1"/>
  <c r="AB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H13" i="39" s="1"/>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AB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F24" i="36" s="1"/>
  <c r="B71" i="36"/>
  <c r="H23" i="36" s="1"/>
  <c r="D70" i="36"/>
  <c r="H22" i="36"/>
  <c r="AB22" i="36" s="1"/>
  <c r="D68" i="36"/>
  <c r="E68" i="36" s="1"/>
  <c r="F68" i="36" s="1"/>
  <c r="G68" i="36" s="1"/>
  <c r="D64" i="36"/>
  <c r="E64" i="36" s="1"/>
  <c r="F64" i="36"/>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J25" i="35" s="1"/>
  <c r="B75" i="35"/>
  <c r="J24" i="35" s="1"/>
  <c r="AC24" i="35" s="1"/>
  <c r="B73" i="35"/>
  <c r="J23" i="35" s="1"/>
  <c r="AC23" i="35" s="1"/>
  <c r="H23" i="35"/>
  <c r="U23" i="35" s="1"/>
  <c r="B57" i="35"/>
  <c r="F11" i="35" s="1"/>
  <c r="S11" i="35" s="1"/>
  <c r="B61" i="35"/>
  <c r="B59" i="35"/>
  <c r="F12" i="35" s="1"/>
  <c r="B131" i="34"/>
  <c r="J47" i="34" s="1"/>
  <c r="B129" i="34"/>
  <c r="J46" i="34" s="1"/>
  <c r="B127" i="34"/>
  <c r="B99" i="34"/>
  <c r="B97" i="34"/>
  <c r="H31" i="34" s="1"/>
  <c r="B95" i="34"/>
  <c r="H30" i="34" s="1"/>
  <c r="B93" i="34"/>
  <c r="B75" i="34"/>
  <c r="B73" i="34"/>
  <c r="H13" i="34" s="1"/>
  <c r="U13" i="34" s="1"/>
  <c r="B71" i="34"/>
  <c r="B130" i="33"/>
  <c r="B128" i="33"/>
  <c r="B126" i="33"/>
  <c r="F44" i="33" s="1"/>
  <c r="B98" i="33"/>
  <c r="F31" i="33" s="1"/>
  <c r="B96" i="33"/>
  <c r="B94" i="33"/>
  <c r="B74" i="33"/>
  <c r="J14" i="33" s="1"/>
  <c r="B72" i="33"/>
  <c r="F13" i="33" s="1"/>
  <c r="S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H44" i="21" s="1"/>
  <c r="U44" i="21" s="1"/>
  <c r="B98" i="21"/>
  <c r="H31" i="21"/>
  <c r="B96" i="21"/>
  <c r="J30" i="21" s="1"/>
  <c r="B94" i="21"/>
  <c r="J29" i="21" s="1"/>
  <c r="AC29" i="21" s="1"/>
  <c r="B92" i="21"/>
  <c r="J28" i="21" s="1"/>
  <c r="W28" i="21" s="1"/>
  <c r="B90" i="21"/>
  <c r="B74" i="21"/>
  <c r="J14" i="21" s="1"/>
  <c r="W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I5" i="3" s="1"/>
  <c r="BJ586" i="3"/>
  <c r="BK586" i="3"/>
  <c r="BM586" i="3"/>
  <c r="BN586" i="3"/>
  <c r="BO586" i="3"/>
  <c r="BP586" i="3"/>
  <c r="BQ586" i="3"/>
  <c r="BR586" i="3"/>
  <c r="BR5" i="3" s="1"/>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U9" i="39"/>
  <c r="W40" i="39"/>
  <c r="U30" i="37"/>
  <c r="W31" i="37"/>
  <c r="E103" i="37"/>
  <c r="F103" i="37" s="1"/>
  <c r="G103" i="37" s="1"/>
  <c r="H103" i="37" s="1"/>
  <c r="I103" i="37" s="1"/>
  <c r="J103" i="37" s="1"/>
  <c r="K103" i="37" s="1"/>
  <c r="L103" i="37" s="1"/>
  <c r="M103" i="37" s="1"/>
  <c r="F29" i="36"/>
  <c r="AA29" i="36" s="1"/>
  <c r="F16" i="36"/>
  <c r="AA16" i="36" s="1"/>
  <c r="W28" i="36"/>
  <c r="H22" i="35"/>
  <c r="AB22" i="35" s="1"/>
  <c r="AC27" i="35"/>
  <c r="W28" i="35"/>
  <c r="U31" i="35"/>
  <c r="W22" i="35"/>
  <c r="U34" i="35"/>
  <c r="F36" i="34"/>
  <c r="J35" i="34"/>
  <c r="U34" i="34"/>
  <c r="H39" i="33"/>
  <c r="AB39" i="33"/>
  <c r="U33" i="33"/>
  <c r="W33" i="33"/>
  <c r="W39" i="33"/>
  <c r="H39" i="37"/>
  <c r="AB39" i="37" s="1"/>
  <c r="S27" i="35"/>
  <c r="F11" i="40"/>
  <c r="AA11" i="40"/>
  <c r="H11" i="40"/>
  <c r="AB11" i="40"/>
  <c r="W8" i="40"/>
  <c r="AB39" i="40"/>
  <c r="S34" i="40"/>
  <c r="S38" i="40"/>
  <c r="F42" i="39"/>
  <c r="F41" i="39"/>
  <c r="S41" i="39" s="1"/>
  <c r="H40" i="39"/>
  <c r="AB40" i="39" s="1"/>
  <c r="H39" i="39"/>
  <c r="U39" i="39" s="1"/>
  <c r="S38" i="39"/>
  <c r="S34" i="39"/>
  <c r="H34" i="39"/>
  <c r="U34" i="39" s="1"/>
  <c r="E108" i="39"/>
  <c r="F108" i="39" s="1"/>
  <c r="G108" i="39" s="1"/>
  <c r="H108" i="39" s="1"/>
  <c r="I108" i="39" s="1"/>
  <c r="J108" i="39" s="1"/>
  <c r="K108" i="39" s="1"/>
  <c r="L108" i="39" s="1"/>
  <c r="M108" i="39" s="1"/>
  <c r="F31" i="39"/>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B12" i="35"/>
  <c r="W32" i="40"/>
  <c r="F37" i="39"/>
  <c r="AA37" i="39" s="1"/>
  <c r="J34" i="36"/>
  <c r="W34" i="36" s="1"/>
  <c r="U30" i="36"/>
  <c r="J30" i="35"/>
  <c r="W30" i="35" s="1"/>
  <c r="H30" i="35"/>
  <c r="AB30" i="35" s="1"/>
  <c r="F22" i="35"/>
  <c r="AA22" i="35" s="1"/>
  <c r="H10" i="35"/>
  <c r="U10" i="35" s="1"/>
  <c r="W30" i="36"/>
  <c r="H16" i="36"/>
  <c r="AB16" i="36"/>
  <c r="E85" i="36"/>
  <c r="F85" i="36" s="1"/>
  <c r="G85" i="36" s="1"/>
  <c r="H85" i="36" s="1"/>
  <c r="I85" i="36" s="1"/>
  <c r="J85" i="36"/>
  <c r="K85" i="36" s="1"/>
  <c r="L85" i="36" s="1"/>
  <c r="M85" i="36" s="1"/>
  <c r="J29" i="36"/>
  <c r="AC29" i="36" s="1"/>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AC11" i="40"/>
  <c r="AB30" i="36"/>
  <c r="F29" i="35"/>
  <c r="S29" i="35" s="1"/>
  <c r="H29" i="35"/>
  <c r="AB29" i="35" s="1"/>
  <c r="H33" i="37"/>
  <c r="F33" i="37"/>
  <c r="AA33" i="37" s="1"/>
  <c r="U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AB17" i="34"/>
  <c r="S41" i="33"/>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AA44" i="34" s="1"/>
  <c r="J10" i="35"/>
  <c r="AC10" i="35" s="1"/>
  <c r="F14" i="21"/>
  <c r="S14" i="21" s="1"/>
  <c r="H14" i="21"/>
  <c r="U14" i="21" s="1"/>
  <c r="H28" i="21"/>
  <c r="AB28" i="21" s="1"/>
  <c r="F28" i="21"/>
  <c r="AA28" i="21"/>
  <c r="H30" i="21"/>
  <c r="AC30" i="21"/>
  <c r="J44" i="21"/>
  <c r="H46" i="21"/>
  <c r="U46" i="21" s="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7" i="21"/>
  <c r="AB27" i="21"/>
  <c r="H29" i="21"/>
  <c r="U29" i="21" s="1"/>
  <c r="J31" i="21"/>
  <c r="AC31" i="21" s="1"/>
  <c r="F31" i="21"/>
  <c r="S31" i="21"/>
  <c r="F45" i="21"/>
  <c r="AA45" i="21" s="1"/>
  <c r="F27" i="33"/>
  <c r="AA27" i="33" s="1"/>
  <c r="J13" i="33"/>
  <c r="H13" i="33"/>
  <c r="U13" i="33" s="1"/>
  <c r="J29" i="33"/>
  <c r="H29" i="33"/>
  <c r="U29" i="33"/>
  <c r="F29" i="33"/>
  <c r="S29" i="33" s="1"/>
  <c r="H31" i="33"/>
  <c r="H45" i="33"/>
  <c r="U45" i="33" s="1"/>
  <c r="J45" i="33"/>
  <c r="F45" i="33"/>
  <c r="AA45" i="33"/>
  <c r="J14" i="34"/>
  <c r="W14" i="34" s="1"/>
  <c r="F14" i="34"/>
  <c r="S14" i="34" s="1"/>
  <c r="H14" i="34"/>
  <c r="J30" i="34"/>
  <c r="H32" i="34"/>
  <c r="F32" i="34"/>
  <c r="J32" i="34"/>
  <c r="W32" i="34" s="1"/>
  <c r="H46" i="34"/>
  <c r="AB46" i="34" s="1"/>
  <c r="U46" i="34"/>
  <c r="J11" i="35"/>
  <c r="W11" i="35" s="1"/>
  <c r="AC11" i="35"/>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c r="F40" i="37"/>
  <c r="AA40" i="37" s="1"/>
  <c r="AC12" i="40"/>
  <c r="F14" i="33"/>
  <c r="AA14" i="33" s="1"/>
  <c r="S14" i="33"/>
  <c r="H30" i="33"/>
  <c r="AB30" i="33" s="1"/>
  <c r="F30" i="33"/>
  <c r="J30" i="33"/>
  <c r="J46" i="33"/>
  <c r="AC46" i="33" s="1"/>
  <c r="F46" i="33"/>
  <c r="AA46" i="33" s="1"/>
  <c r="H46" i="33"/>
  <c r="AB46" i="33"/>
  <c r="F13" i="34"/>
  <c r="AA13" i="34" s="1"/>
  <c r="J29" i="34"/>
  <c r="F29" i="34"/>
  <c r="S29" i="34" s="1"/>
  <c r="H29" i="34"/>
  <c r="AB29" i="34" s="1"/>
  <c r="J31" i="34"/>
  <c r="AC31" i="34"/>
  <c r="H45" i="34"/>
  <c r="U45" i="34" s="1"/>
  <c r="J45" i="34"/>
  <c r="W45" i="34"/>
  <c r="F45" i="34"/>
  <c r="S45" i="34" s="1"/>
  <c r="H47" i="34"/>
  <c r="U47" i="34" s="1"/>
  <c r="F47" i="34"/>
  <c r="S47" i="34" s="1"/>
  <c r="F13" i="35"/>
  <c r="J13" i="35"/>
  <c r="AC13" i="35" s="1"/>
  <c r="H13" i="35"/>
  <c r="U13" i="35" s="1"/>
  <c r="W25" i="35"/>
  <c r="F25" i="35"/>
  <c r="S25" i="35" s="1"/>
  <c r="J35" i="35"/>
  <c r="AC35" i="35" s="1"/>
  <c r="F35" i="35"/>
  <c r="AA35" i="35"/>
  <c r="H35" i="35"/>
  <c r="J25" i="36"/>
  <c r="W25" i="36"/>
  <c r="F25" i="36"/>
  <c r="S25" i="36" s="1"/>
  <c r="H25" i="36"/>
  <c r="AB25" i="36"/>
  <c r="H13" i="37"/>
  <c r="AB13" i="37" s="1"/>
  <c r="F13" i="37"/>
  <c r="S13" i="37" s="1"/>
  <c r="J13" i="37"/>
  <c r="W13" i="37" s="1"/>
  <c r="F28" i="37"/>
  <c r="AA28" i="37" s="1"/>
  <c r="J28" i="37"/>
  <c r="AC28" i="37" s="1"/>
  <c r="H28" i="37"/>
  <c r="H38" i="37"/>
  <c r="AB38" i="37" s="1"/>
  <c r="F38" i="37"/>
  <c r="S38" i="37"/>
  <c r="F43" i="39"/>
  <c r="AA43" i="39" s="1"/>
  <c r="J14" i="39"/>
  <c r="AC14" i="39" s="1"/>
  <c r="F14" i="39"/>
  <c r="H14" i="39"/>
  <c r="AB14" i="39" s="1"/>
  <c r="F12" i="40"/>
  <c r="S12" i="40" s="1"/>
  <c r="H12" i="40"/>
  <c r="AB12" i="40" s="1"/>
  <c r="H30" i="40"/>
  <c r="AB30" i="40" s="1"/>
  <c r="H33" i="40"/>
  <c r="AB33" i="40" s="1"/>
  <c r="U33" i="40"/>
  <c r="J35" i="40"/>
  <c r="AC35" i="40" s="1"/>
  <c r="J37" i="40"/>
  <c r="AC37" i="40"/>
  <c r="H13" i="40"/>
  <c r="U13" i="40" s="1"/>
  <c r="J13" i="40"/>
  <c r="W13" i="40" s="1"/>
  <c r="F13" i="40"/>
  <c r="AA13" i="40" s="1"/>
  <c r="F14" i="37"/>
  <c r="S14" i="37" s="1"/>
  <c r="F27" i="37"/>
  <c r="AA27" i="37" s="1"/>
  <c r="F13" i="39"/>
  <c r="J13" i="39"/>
  <c r="W13" i="39" s="1"/>
  <c r="J14" i="40"/>
  <c r="W14" i="40" s="1"/>
  <c r="F14" i="40"/>
  <c r="AA14" i="40" s="1"/>
  <c r="J14" i="37"/>
  <c r="J27" i="37"/>
  <c r="AC27" i="37"/>
  <c r="U46" i="33"/>
  <c r="J36" i="37"/>
  <c r="AC36" i="37"/>
  <c r="J10" i="36"/>
  <c r="AC10" i="36" s="1"/>
  <c r="AA14" i="37"/>
  <c r="W31" i="34"/>
  <c r="S11" i="36"/>
  <c r="AA14" i="34"/>
  <c r="S45" i="33"/>
  <c r="AB45" i="33"/>
  <c r="AC28" i="21"/>
  <c r="S44" i="34"/>
  <c r="BA586" i="3"/>
  <c r="F17" i="21"/>
  <c r="AA17" i="21" s="1"/>
  <c r="H17" i="21"/>
  <c r="AB17" i="21" s="1"/>
  <c r="F15" i="21"/>
  <c r="S15" i="21" s="1"/>
  <c r="J41" i="39"/>
  <c r="W41" i="39" s="1"/>
  <c r="U36" i="39"/>
  <c r="G544" i="3"/>
  <c r="G540" i="3"/>
  <c r="G536" i="3"/>
  <c r="G535" i="3"/>
  <c r="G532" i="3"/>
  <c r="G531" i="3"/>
  <c r="G528" i="3"/>
  <c r="G527" i="3"/>
  <c r="G523" i="3"/>
  <c r="G518" i="3"/>
  <c r="G514" i="3"/>
  <c r="G510" i="3"/>
  <c r="G508" i="3"/>
  <c r="G504" i="3"/>
  <c r="G500" i="3"/>
  <c r="G496" i="3"/>
  <c r="G584" i="3"/>
  <c r="G576" i="3"/>
  <c r="G572" i="3"/>
  <c r="G568" i="3"/>
  <c r="G564" i="3"/>
  <c r="G560" i="3"/>
  <c r="G554" i="3"/>
  <c r="G550" i="3"/>
  <c r="BL580" i="3"/>
  <c r="BL576" i="3"/>
  <c r="BL572" i="3"/>
  <c r="BL564" i="3"/>
  <c r="BL560" i="3"/>
  <c r="BL554" i="3"/>
  <c r="BL546" i="3"/>
  <c r="BL542" i="3"/>
  <c r="BL538" i="3"/>
  <c r="BL534" i="3"/>
  <c r="BL530" i="3"/>
  <c r="BL526" i="3"/>
  <c r="BL522" i="3"/>
  <c r="BL516" i="3"/>
  <c r="BL512" i="3"/>
  <c r="BL506" i="3"/>
  <c r="BL502" i="3"/>
  <c r="AZ502" i="3" s="1"/>
  <c r="BL498" i="3"/>
  <c r="BL494" i="3"/>
  <c r="BL582" i="3"/>
  <c r="BL578" i="3"/>
  <c r="BL574"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6" i="3"/>
  <c r="AZ576" i="3" s="1"/>
  <c r="BA574" i="3"/>
  <c r="AZ574" i="3" s="1"/>
  <c r="BA572" i="3"/>
  <c r="AZ572" i="3" s="1"/>
  <c r="BA568" i="3"/>
  <c r="AZ568" i="3" s="1"/>
  <c r="BA566" i="3"/>
  <c r="AZ566" i="3" s="1"/>
  <c r="BA564" i="3"/>
  <c r="BA562" i="3"/>
  <c r="BA560" i="3"/>
  <c r="AZ560" i="3" s="1"/>
  <c r="BA558" i="3"/>
  <c r="AZ558" i="3" s="1"/>
  <c r="BA556" i="3"/>
  <c r="AZ556" i="3"/>
  <c r="BA554" i="3"/>
  <c r="AZ554" i="3" s="1"/>
  <c r="BA552" i="3"/>
  <c r="AZ552" i="3"/>
  <c r="BA548" i="3"/>
  <c r="BA546" i="3"/>
  <c r="AZ546" i="3" s="1"/>
  <c r="BA544" i="3"/>
  <c r="AZ544" i="3"/>
  <c r="BA542" i="3"/>
  <c r="AZ542" i="3" s="1"/>
  <c r="BA540" i="3"/>
  <c r="BA538" i="3"/>
  <c r="AZ538" i="3" s="1"/>
  <c r="BA536" i="3"/>
  <c r="AZ536" i="3" s="1"/>
  <c r="BA534" i="3"/>
  <c r="AZ534" i="3"/>
  <c r="BA532" i="3"/>
  <c r="AZ532" i="3" s="1"/>
  <c r="BA530" i="3"/>
  <c r="AZ530" i="3" s="1"/>
  <c r="BA528" i="3"/>
  <c r="AZ528" i="3" s="1"/>
  <c r="BA526" i="3"/>
  <c r="BA524" i="3"/>
  <c r="BA522" i="3"/>
  <c r="BA520" i="3"/>
  <c r="BA518" i="3"/>
  <c r="BA516" i="3"/>
  <c r="BA514" i="3"/>
  <c r="BA512" i="3"/>
  <c r="AZ512" i="3" s="1"/>
  <c r="BA510" i="3"/>
  <c r="AZ510" i="3"/>
  <c r="BA508" i="3"/>
  <c r="BA506" i="3"/>
  <c r="BA504" i="3"/>
  <c r="AZ504" i="3"/>
  <c r="BA502" i="3"/>
  <c r="BA500" i="3"/>
  <c r="BA498" i="3"/>
  <c r="AZ498" i="3"/>
  <c r="BA496" i="3"/>
  <c r="BA494" i="3"/>
  <c r="BA583" i="3"/>
  <c r="BA581" i="3"/>
  <c r="BA577" i="3"/>
  <c r="BA575" i="3"/>
  <c r="AZ575" i="3" s="1"/>
  <c r="BA573" i="3"/>
  <c r="BA569" i="3"/>
  <c r="BA567" i="3"/>
  <c r="BA565" i="3"/>
  <c r="AZ565" i="3" s="1"/>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BQ575" i="3"/>
  <c r="BQ573" i="3"/>
  <c r="BL573" i="3" s="1"/>
  <c r="AZ573" i="3" s="1"/>
  <c r="BQ571" i="3"/>
  <c r="BL571" i="3" s="1"/>
  <c r="BQ569" i="3"/>
  <c r="BQ567" i="3"/>
  <c r="BL567" i="3"/>
  <c r="BQ565" i="3"/>
  <c r="BL565" i="3" s="1"/>
  <c r="BQ563" i="3"/>
  <c r="BL563" i="3"/>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AC5" i="3" s="1"/>
  <c r="BQ509" i="3"/>
  <c r="BL509" i="3" s="1"/>
  <c r="AZ509" i="3" s="1"/>
  <c r="BL508" i="3"/>
  <c r="AZ508" i="3"/>
  <c r="G507" i="3"/>
  <c r="G505" i="3"/>
  <c r="G503" i="3"/>
  <c r="G501" i="3"/>
  <c r="G499" i="3"/>
  <c r="G497" i="3"/>
  <c r="G495" i="3"/>
  <c r="BQ507" i="3"/>
  <c r="BQ505" i="3"/>
  <c r="BL505" i="3" s="1"/>
  <c r="AZ505" i="3" s="1"/>
  <c r="BQ503" i="3"/>
  <c r="BL503" i="3" s="1"/>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W23" i="35"/>
  <c r="U39" i="37"/>
  <c r="U26" i="37"/>
  <c r="AC36" i="34"/>
  <c r="AA13" i="33"/>
  <c r="U11" i="33"/>
  <c r="U19"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J12" i="37"/>
  <c r="H12" i="37"/>
  <c r="AB12" i="37" s="1"/>
  <c r="F12" i="37"/>
  <c r="S12" i="37" s="1"/>
  <c r="E71" i="37"/>
  <c r="F71" i="37" s="1"/>
  <c r="G71" i="37" s="1"/>
  <c r="F15" i="37"/>
  <c r="S15" i="37" s="1"/>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AA25" i="21"/>
  <c r="H19" i="40"/>
  <c r="U19" i="40" s="1"/>
  <c r="F88" i="40"/>
  <c r="G88" i="40" s="1"/>
  <c r="F19" i="40"/>
  <c r="S19" i="40" s="1"/>
  <c r="AC13" i="40"/>
  <c r="W2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W35" i="40"/>
  <c r="A118" i="9"/>
  <c r="A4" i="52"/>
  <c r="B41" i="72" s="1"/>
  <c r="J11" i="39"/>
  <c r="AC11" i="39" s="1"/>
  <c r="W11" i="39"/>
  <c r="F11" i="39"/>
  <c r="S11" i="39" s="1"/>
  <c r="G4" i="4"/>
  <c r="I4" i="4"/>
  <c r="A2" i="9"/>
  <c r="F61" i="43"/>
  <c r="H64" i="43" s="1"/>
  <c r="BL549" i="3"/>
  <c r="AZ494" i="3"/>
  <c r="AZ514"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AZ355" i="3" s="1"/>
  <c r="G356" i="3"/>
  <c r="BL357" i="3"/>
  <c r="BA359" i="3"/>
  <c r="AZ359" i="3"/>
  <c r="BA360" i="3"/>
  <c r="AZ360" i="3" s="1"/>
  <c r="BL360" i="3"/>
  <c r="G361" i="3"/>
  <c r="BA362" i="3"/>
  <c r="G370" i="3"/>
  <c r="BL371" i="3"/>
  <c r="G372" i="3"/>
  <c r="BL373" i="3"/>
  <c r="AZ373" i="3" s="1"/>
  <c r="BA375" i="3"/>
  <c r="BA376" i="3"/>
  <c r="BL376" i="3"/>
  <c r="G377" i="3"/>
  <c r="BA378" i="3"/>
  <c r="BL378" i="3"/>
  <c r="G379" i="3"/>
  <c r="BA380" i="3"/>
  <c r="G388" i="3"/>
  <c r="BL389" i="3"/>
  <c r="G390" i="3"/>
  <c r="BL391" i="3"/>
  <c r="BA393" i="3"/>
  <c r="BA394" i="3"/>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BL164" i="3"/>
  <c r="AZ164" i="3" s="1"/>
  <c r="G165" i="3"/>
  <c r="BA167" i="3"/>
  <c r="AZ167" i="3" s="1"/>
  <c r="BL168" i="3"/>
  <c r="G169" i="3"/>
  <c r="BA171" i="3"/>
  <c r="AZ171" i="3" s="1"/>
  <c r="BL172" i="3"/>
  <c r="G173" i="3"/>
  <c r="BA175" i="3"/>
  <c r="BL176" i="3"/>
  <c r="AZ176" i="3" s="1"/>
  <c r="G177" i="3"/>
  <c r="BA179" i="3"/>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55" i="3"/>
  <c r="AZ144" i="3"/>
  <c r="AZ184"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BA337" i="3"/>
  <c r="BL337" i="3"/>
  <c r="G338" i="3"/>
  <c r="G341" i="3"/>
  <c r="BA342" i="3"/>
  <c r="BL342" i="3"/>
  <c r="AZ342" i="3"/>
  <c r="BA344" i="3"/>
  <c r="AZ344" i="3" s="1"/>
  <c r="BL344" i="3"/>
  <c r="BA346" i="3"/>
  <c r="AZ346" i="3" s="1"/>
  <c r="BA347" i="3"/>
  <c r="BL347" i="3"/>
  <c r="G350" i="3"/>
  <c r="BA351" i="3"/>
  <c r="BL351" i="3"/>
  <c r="AZ351" i="3" s="1"/>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AZ166" i="3"/>
  <c r="AZ500" i="3"/>
  <c r="BA16" i="3"/>
  <c r="BL303" i="3"/>
  <c r="G304" i="3"/>
  <c r="BA306" i="3"/>
  <c r="BL307" i="3"/>
  <c r="G308" i="3"/>
  <c r="BA310" i="3"/>
  <c r="AZ310" i="3"/>
  <c r="BL311" i="3"/>
  <c r="AZ311" i="3" s="1"/>
  <c r="G312" i="3"/>
  <c r="BA314" i="3"/>
  <c r="BL315" i="3"/>
  <c r="AZ315" i="3" s="1"/>
  <c r="G316" i="3"/>
  <c r="BA318" i="3"/>
  <c r="AZ318" i="3" s="1"/>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AZ362" i="3" s="1"/>
  <c r="G363" i="3"/>
  <c r="BA365" i="3"/>
  <c r="BL366" i="3"/>
  <c r="G367" i="3"/>
  <c r="BA369" i="3"/>
  <c r="AZ369" i="3"/>
  <c r="BL370" i="3"/>
  <c r="AZ370" i="3" s="1"/>
  <c r="G371" i="3"/>
  <c r="BA373" i="3"/>
  <c r="BL374" i="3"/>
  <c r="G375" i="3"/>
  <c r="BA377" i="3"/>
  <c r="AZ377" i="3"/>
  <c r="AZ229" i="3"/>
  <c r="AZ233" i="3"/>
  <c r="AZ237" i="3"/>
  <c r="AZ245" i="3"/>
  <c r="AZ257" i="3"/>
  <c r="AZ265" i="3"/>
  <c r="BA379" i="3"/>
  <c r="AZ379" i="3" s="1"/>
  <c r="BL380" i="3"/>
  <c r="AZ380" i="3" s="1"/>
  <c r="G381" i="3"/>
  <c r="BA383" i="3"/>
  <c r="AZ383" i="3" s="1"/>
  <c r="BL384" i="3"/>
  <c r="G385" i="3"/>
  <c r="BA387" i="3"/>
  <c r="AZ387" i="3" s="1"/>
  <c r="BL388" i="3"/>
  <c r="G389" i="3"/>
  <c r="BA391" i="3"/>
  <c r="AZ391" i="3" s="1"/>
  <c r="BL392" i="3"/>
  <c r="G393" i="3"/>
  <c r="AZ283" i="3"/>
  <c r="BO5" i="3"/>
  <c r="BM5" i="3"/>
  <c r="BJ5" i="3"/>
  <c r="BH5" i="3"/>
  <c r="BF5" i="3"/>
  <c r="BD5" i="3"/>
  <c r="AZ325" i="3"/>
  <c r="AZ506" i="3"/>
  <c r="AZ496" i="3"/>
  <c r="G548" i="3"/>
  <c r="G538" i="3"/>
  <c r="G520" i="3"/>
  <c r="G502" i="3"/>
  <c r="BS5" i="3"/>
  <c r="BP5" i="3"/>
  <c r="BN5" i="3"/>
  <c r="BK5" i="3"/>
  <c r="BG5" i="3"/>
  <c r="BE5" i="3"/>
  <c r="BC5" i="3"/>
  <c r="G17" i="3"/>
  <c r="BA17" i="3"/>
  <c r="BT5" i="3"/>
  <c r="BA15" i="3"/>
  <c r="AZ499" i="3"/>
  <c r="BL493" i="3"/>
  <c r="AZ493" i="3" s="1"/>
  <c r="U36" i="40"/>
  <c r="F83" i="43"/>
  <c r="H85" i="43" s="1"/>
  <c r="F50" i="43"/>
  <c r="H54" i="43" s="1"/>
  <c r="F72" i="43"/>
  <c r="H75" i="43" s="1"/>
  <c r="U17" i="39"/>
  <c r="S14" i="35"/>
  <c r="U43" i="21"/>
  <c r="U35" i="21"/>
  <c r="AC35" i="2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S20" i="35" s="1"/>
  <c r="AB23" i="35"/>
  <c r="AB29" i="36"/>
  <c r="U29" i="36"/>
  <c r="H32" i="37"/>
  <c r="AB32" i="37" s="1"/>
  <c r="F96" i="37"/>
  <c r="H27" i="40"/>
  <c r="U27" i="40"/>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40" i="3"/>
  <c r="AZ280" i="3"/>
  <c r="AZ69"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G29" i="6"/>
  <c r="W27" i="34"/>
  <c r="AC27" i="34"/>
  <c r="U34" i="36"/>
  <c r="AC12" i="39"/>
  <c r="W12" i="39"/>
  <c r="AC39" i="40"/>
  <c r="W39" i="40"/>
  <c r="AZ465" i="3"/>
  <c r="W12" i="33"/>
  <c r="AC12" i="33"/>
  <c r="AA32" i="36"/>
  <c r="S32" i="36"/>
  <c r="BL14" i="3"/>
  <c r="U30" i="33"/>
  <c r="AA47" i="34"/>
  <c r="W28" i="37"/>
  <c r="S19" i="39"/>
  <c r="F12" i="33"/>
  <c r="H12" i="39"/>
  <c r="AB12" i="39" s="1"/>
  <c r="F39" i="40"/>
  <c r="BA14" i="3"/>
  <c r="AZ14" i="3" s="1"/>
  <c r="AZ367" i="3"/>
  <c r="AZ157" i="3"/>
  <c r="AZ189" i="3"/>
  <c r="B12" i="1"/>
  <c r="E12" i="1" s="1"/>
  <c r="B10" i="1"/>
  <c r="E10" i="1" s="1"/>
  <c r="K12" i="1"/>
  <c r="M12" i="1" s="1"/>
  <c r="S13" i="1"/>
  <c r="AR13" i="1" s="1"/>
  <c r="R13" i="1"/>
  <c r="J51" i="67"/>
  <c r="C42" i="1"/>
  <c r="C24" i="12" s="1"/>
  <c r="AC34" i="33"/>
  <c r="AA34" i="33"/>
  <c r="B41" i="1"/>
  <c r="F48" i="9" s="1"/>
  <c r="O52" i="9" s="1"/>
  <c r="AB37" i="40"/>
  <c r="S35" i="40"/>
  <c r="AC36" i="40"/>
  <c r="W38" i="40"/>
  <c r="AA32" i="40"/>
  <c r="S17" i="40"/>
  <c r="S23" i="40"/>
  <c r="AC17" i="40"/>
  <c r="AC15" i="40"/>
  <c r="AB27" i="40"/>
  <c r="S30"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AC13"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AB25" i="33" s="1"/>
  <c r="F25" i="33"/>
  <c r="J23" i="33"/>
  <c r="AC23" i="33" s="1"/>
  <c r="F85" i="33"/>
  <c r="H23" i="33"/>
  <c r="AB23" i="33" s="1"/>
  <c r="F81" i="33"/>
  <c r="F19" i="33"/>
  <c r="S19" i="33" s="1"/>
  <c r="W19" i="33"/>
  <c r="J17" i="33"/>
  <c r="W17" i="33" s="1"/>
  <c r="F79" i="33"/>
  <c r="G79" i="33" s="1"/>
  <c r="S15" i="33"/>
  <c r="W15" i="33"/>
  <c r="U9" i="33"/>
  <c r="J10" i="33"/>
  <c r="W10" i="33" s="1"/>
  <c r="H10" i="33"/>
  <c r="U10" i="33" s="1"/>
  <c r="AC11" i="33"/>
  <c r="W43" i="21"/>
  <c r="W36" i="21"/>
  <c r="W41" i="21"/>
  <c r="AB39" i="21"/>
  <c r="AA43" i="21"/>
  <c r="S39" i="21"/>
  <c r="AA38" i="21"/>
  <c r="AA36" i="21"/>
  <c r="AC40" i="21"/>
  <c r="J15" i="21"/>
  <c r="W15" i="21"/>
  <c r="F77" i="21"/>
  <c r="G77" i="21" s="1"/>
  <c r="F23" i="21"/>
  <c r="S23" i="21"/>
  <c r="E85" i="21"/>
  <c r="AA14" i="21"/>
  <c r="D120" i="9"/>
  <c r="D121" i="9" s="1"/>
  <c r="D7" i="52"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11"/>
  <c r="C6" i="43"/>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U32" i="34"/>
  <c r="AB32" i="34"/>
  <c r="U14" i="34"/>
  <c r="AB14" i="34"/>
  <c r="AC43" i="34"/>
  <c r="W43" i="34"/>
  <c r="W23" i="34"/>
  <c r="AC23" i="34"/>
  <c r="AC35" i="34"/>
  <c r="W35" i="34"/>
  <c r="AB28" i="33"/>
  <c r="AC37" i="33"/>
  <c r="W46" i="33"/>
  <c r="U39" i="33"/>
  <c r="U38" i="33"/>
  <c r="S33" i="33"/>
  <c r="AB34" i="33"/>
  <c r="S30" i="33"/>
  <c r="AA30" i="33"/>
  <c r="AC14" i="33"/>
  <c r="W14" i="33"/>
  <c r="AC30" i="33"/>
  <c r="W30" i="33"/>
  <c r="S31" i="33"/>
  <c r="AA31" i="33"/>
  <c r="W13" i="33"/>
  <c r="AC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W42" i="21"/>
  <c r="AC45"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S25" i="33"/>
  <c r="AA25" i="33"/>
  <c r="G87" i="33"/>
  <c r="H87" i="33" s="1"/>
  <c r="I87" i="33" s="1"/>
  <c r="J87" i="33" s="1"/>
  <c r="K87" i="33" s="1"/>
  <c r="L87" i="33" s="1"/>
  <c r="M87" i="33" s="1"/>
  <c r="J25" i="33"/>
  <c r="AC25" i="33" s="1"/>
  <c r="F23" i="33"/>
  <c r="G85" i="33"/>
  <c r="AA19" i="33"/>
  <c r="H19" i="33"/>
  <c r="G81" i="33"/>
  <c r="H17" i="33"/>
  <c r="U17" i="33" s="1"/>
  <c r="F17" i="33"/>
  <c r="S17" i="33" s="1"/>
  <c r="S37" i="21"/>
  <c r="AA23" i="21"/>
  <c r="AB15" i="21"/>
  <c r="J23" i="21"/>
  <c r="AC23" i="21" s="1"/>
  <c r="F85" i="21"/>
  <c r="G85" i="21" s="1"/>
  <c r="H23" i="21"/>
  <c r="AB23" i="21" s="1"/>
  <c r="D6" i="52"/>
  <c r="AP7" i="1"/>
  <c r="AB45" i="21"/>
  <c r="AA32" i="21"/>
  <c r="S32" i="21"/>
  <c r="AC9" i="21"/>
  <c r="AB32" i="21"/>
  <c r="U32" i="21"/>
  <c r="U32" i="39"/>
  <c r="AC32" i="39"/>
  <c r="W32" i="39"/>
  <c r="J63" i="37"/>
  <c r="K63" i="37" s="1"/>
  <c r="L63" i="37" s="1"/>
  <c r="M63" i="37" s="1"/>
  <c r="J11" i="37"/>
  <c r="AC11" i="37" s="1"/>
  <c r="J11" i="34"/>
  <c r="W11" i="34" s="1"/>
  <c r="AB36" i="33"/>
  <c r="W25" i="33"/>
  <c r="AB19" i="33"/>
  <c r="U19" i="33"/>
  <c r="AA17" i="33"/>
  <c r="U23" i="21"/>
  <c r="W23" i="21"/>
  <c r="H109" i="9"/>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48" i="15"/>
  <c r="C76" i="15"/>
  <c r="B7" i="76"/>
  <c r="E7" i="76"/>
  <c r="F42" i="15"/>
  <c r="F43" i="67"/>
  <c r="E10" i="76"/>
  <c r="M22" i="15"/>
  <c r="F6" i="15"/>
  <c r="E11" i="76"/>
  <c r="B8" i="76"/>
  <c r="M9" i="15"/>
  <c r="M22" i="67"/>
  <c r="F38" i="67"/>
  <c r="M24" i="67"/>
  <c r="M28" i="15"/>
  <c r="F40" i="15"/>
  <c r="E2" i="69"/>
  <c r="F16" i="15"/>
  <c r="M23" i="15"/>
  <c r="F7" i="73"/>
  <c r="B11" i="76"/>
  <c r="B13" i="76"/>
  <c r="J15" i="15"/>
  <c r="F16" i="67"/>
  <c r="B12" i="76"/>
  <c r="F36" i="67"/>
  <c r="E9" i="76"/>
  <c r="C76" i="67"/>
  <c r="M23" i="67"/>
  <c r="F4" i="73"/>
  <c r="AO13" i="1"/>
  <c r="F7" i="67"/>
  <c r="M8" i="67"/>
  <c r="F42" i="67"/>
  <c r="F9" i="67"/>
  <c r="M29" i="67"/>
  <c r="M26" i="67"/>
  <c r="J15" i="67"/>
  <c r="F20" i="31"/>
  <c r="M9" i="67"/>
  <c r="B10" i="76"/>
  <c r="F3" i="73"/>
  <c r="E8" i="76"/>
  <c r="L47" i="67"/>
  <c r="F37" i="67"/>
  <c r="F5" i="73"/>
  <c r="L48" i="67"/>
  <c r="F6" i="73"/>
  <c r="F8" i="67"/>
  <c r="M28" i="67"/>
  <c r="E2" i="68"/>
  <c r="F36" i="15"/>
  <c r="F7" i="15"/>
  <c r="F38" i="15"/>
  <c r="B9" i="76"/>
  <c r="E12" i="76"/>
  <c r="M6" i="67"/>
  <c r="F40" i="67"/>
  <c r="M6" i="15"/>
  <c r="E13" i="76"/>
  <c r="F26" i="67"/>
  <c r="F13" i="15"/>
  <c r="F13" i="67"/>
  <c r="M26" i="15"/>
  <c r="F6" i="67"/>
  <c r="F43" i="15"/>
  <c r="C18" i="9" l="1"/>
  <c r="D18" i="9" s="1"/>
  <c r="D22" i="15"/>
  <c r="G22" i="69"/>
  <c r="G26" i="12"/>
  <c r="G22" i="68"/>
  <c r="C21" i="68"/>
  <c r="K6" i="1"/>
  <c r="AP6" i="1" s="1"/>
  <c r="BB5" i="3"/>
  <c r="F29" i="6"/>
  <c r="B19" i="53"/>
  <c r="B37" i="72" s="1"/>
  <c r="H111" i="9"/>
  <c r="D126" i="9" s="1"/>
  <c r="H112" i="9"/>
  <c r="D21" i="53" s="1"/>
  <c r="B39" i="72" s="1"/>
  <c r="M47" i="9"/>
  <c r="C7" i="35"/>
  <c r="C48" i="35" s="1"/>
  <c r="D48" i="35" s="1"/>
  <c r="C7" i="36"/>
  <c r="C46" i="36" s="1"/>
  <c r="D46" i="36" s="1"/>
  <c r="E46" i="36" s="1"/>
  <c r="F46" i="36" s="1"/>
  <c r="G46" i="36" s="1"/>
  <c r="H46" i="36" s="1"/>
  <c r="I46" i="36" s="1"/>
  <c r="C7" i="34"/>
  <c r="J1" i="73"/>
  <c r="C7" i="40"/>
  <c r="C63" i="40" s="1"/>
  <c r="C7" i="39"/>
  <c r="C67" i="39" s="1"/>
  <c r="C7" i="21"/>
  <c r="C58" i="21" s="1"/>
  <c r="D58" i="21" s="1"/>
  <c r="AA20" i="35"/>
  <c r="AZ336" i="3"/>
  <c r="AZ513" i="3"/>
  <c r="AZ520" i="3"/>
  <c r="W45" i="33"/>
  <c r="AC45" i="33"/>
  <c r="AC17" i="33"/>
  <c r="AZ364" i="3"/>
  <c r="AZ329" i="3"/>
  <c r="AZ394" i="3"/>
  <c r="AZ521" i="3"/>
  <c r="AZ497" i="3"/>
  <c r="AZ522" i="3"/>
  <c r="AC44" i="21"/>
  <c r="W44" i="21"/>
  <c r="AC27" i="33"/>
  <c r="AC23" i="37"/>
  <c r="U9" i="21"/>
  <c r="S13" i="21"/>
  <c r="U23" i="33"/>
  <c r="AA19" i="37"/>
  <c r="W17" i="21"/>
  <c r="AA35" i="33"/>
  <c r="U12" i="39"/>
  <c r="AA12" i="39"/>
  <c r="AA27" i="40"/>
  <c r="U35" i="40"/>
  <c r="G509" i="3"/>
  <c r="AZ389" i="3"/>
  <c r="AZ313" i="3"/>
  <c r="AZ378" i="3"/>
  <c r="S14" i="40"/>
  <c r="AA15" i="37"/>
  <c r="AZ525" i="3"/>
  <c r="AZ531" i="3"/>
  <c r="AZ577" i="3"/>
  <c r="G586" i="3"/>
  <c r="H5" i="3"/>
  <c r="AZ306" i="3"/>
  <c r="W12" i="37"/>
  <c r="AC12" i="37"/>
  <c r="U30" i="21"/>
  <c r="AB30" i="21"/>
  <c r="AA31" i="39"/>
  <c r="S31" i="39"/>
  <c r="AA42" i="39"/>
  <c r="S42" i="39"/>
  <c r="AC47" i="34"/>
  <c r="W47" i="34"/>
  <c r="AZ579" i="3"/>
  <c r="AZ571" i="3"/>
  <c r="AZ570" i="3"/>
  <c r="F26" i="33"/>
  <c r="H26" i="33"/>
  <c r="J12" i="34"/>
  <c r="H12" i="34"/>
  <c r="H25" i="37"/>
  <c r="F25" i="37"/>
  <c r="U8" i="39"/>
  <c r="AB8" i="39"/>
  <c r="AB34" i="40"/>
  <c r="U34" i="40"/>
  <c r="AC31" i="40"/>
  <c r="W31" i="40"/>
  <c r="S44" i="33"/>
  <c r="AA44" i="33"/>
  <c r="J33" i="36"/>
  <c r="AC33" i="36" s="1"/>
  <c r="H33" i="36"/>
  <c r="AB31" i="36"/>
  <c r="U31" i="36"/>
  <c r="AA44" i="39"/>
  <c r="S44" i="39"/>
  <c r="S9" i="40"/>
  <c r="AA9" i="40"/>
  <c r="AA31" i="35"/>
  <c r="S31" i="35"/>
  <c r="AZ345" i="3"/>
  <c r="AZ334" i="3"/>
  <c r="AZ372" i="3"/>
  <c r="AZ347" i="3"/>
  <c r="AZ337" i="3"/>
  <c r="AZ376" i="3"/>
  <c r="AZ324" i="3"/>
  <c r="AZ309" i="3"/>
  <c r="AZ549" i="3"/>
  <c r="AA11" i="39"/>
  <c r="U14" i="40"/>
  <c r="AZ515" i="3"/>
  <c r="AZ523" i="3"/>
  <c r="AZ547" i="3"/>
  <c r="BL569" i="3"/>
  <c r="AZ569" i="3" s="1"/>
  <c r="AZ516" i="3"/>
  <c r="AZ524" i="3"/>
  <c r="F33" i="40"/>
  <c r="J13" i="34"/>
  <c r="J44" i="33"/>
  <c r="H14" i="33"/>
  <c r="H11" i="35"/>
  <c r="AB11" i="35" s="1"/>
  <c r="F30" i="34"/>
  <c r="J31" i="33"/>
  <c r="F44" i="21"/>
  <c r="F30" i="21"/>
  <c r="AA34" i="37"/>
  <c r="F12" i="36"/>
  <c r="F33" i="36"/>
  <c r="U38" i="40"/>
  <c r="U35" i="33"/>
  <c r="J27" i="21"/>
  <c r="F27" i="21"/>
  <c r="F12" i="34"/>
  <c r="S12" i="34" s="1"/>
  <c r="F9" i="34"/>
  <c r="AA9" i="34" s="1"/>
  <c r="J9" i="34"/>
  <c r="J43" i="39"/>
  <c r="H43" i="39"/>
  <c r="AB9" i="40"/>
  <c r="U9" i="40"/>
  <c r="AZ451" i="3"/>
  <c r="AA36" i="39"/>
  <c r="AZ539" i="3"/>
  <c r="AZ529" i="3"/>
  <c r="AZ537" i="3"/>
  <c r="AZ518" i="3"/>
  <c r="AZ526" i="3"/>
  <c r="AZ564" i="3"/>
  <c r="AZ580" i="3"/>
  <c r="H25" i="35"/>
  <c r="F31" i="34"/>
  <c r="H44" i="33"/>
  <c r="F46" i="34"/>
  <c r="J13" i="21"/>
  <c r="AB12" i="36"/>
  <c r="S40" i="21"/>
  <c r="W25" i="37"/>
  <c r="F35" i="39"/>
  <c r="BL585" i="3"/>
  <c r="AZ585" i="3" s="1"/>
  <c r="B72" i="43"/>
  <c r="C15" i="39"/>
  <c r="B75" i="43"/>
  <c r="J26" i="33"/>
  <c r="H36" i="35"/>
  <c r="J12" i="36"/>
  <c r="J24" i="36"/>
  <c r="J39" i="37"/>
  <c r="F39" i="37"/>
  <c r="S39" i="37" s="1"/>
  <c r="H35" i="39"/>
  <c r="H44" i="39"/>
  <c r="J44" i="39"/>
  <c r="BL550" i="3"/>
  <c r="G587" i="3"/>
  <c r="J12" i="35"/>
  <c r="BA551" i="3"/>
  <c r="AZ551" i="3" s="1"/>
  <c r="BA550" i="3"/>
  <c r="BL548" i="3"/>
  <c r="AZ548" i="3" s="1"/>
  <c r="AZ458" i="3"/>
  <c r="AZ462" i="3"/>
  <c r="BL324" i="3"/>
  <c r="BL328" i="3"/>
  <c r="AZ328" i="3" s="1"/>
  <c r="G329" i="3"/>
  <c r="BA335" i="3"/>
  <c r="AZ335" i="3" s="1"/>
  <c r="BA339" i="3"/>
  <c r="AZ339" i="3" s="1"/>
  <c r="G343" i="3"/>
  <c r="G347" i="3"/>
  <c r="BA348" i="3"/>
  <c r="BA350" i="3"/>
  <c r="AZ350" i="3" s="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G351" i="3"/>
  <c r="BL15" i="3"/>
  <c r="AZ15" i="3" s="1"/>
  <c r="BA398" i="3"/>
  <c r="AZ398" i="3" s="1"/>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AZ457" i="3" s="1"/>
  <c r="BA459" i="3"/>
  <c r="AZ459" i="3" s="1"/>
  <c r="BA460" i="3"/>
  <c r="BA461" i="3"/>
  <c r="BL464" i="3"/>
  <c r="BL466" i="3"/>
  <c r="AZ466" i="3" s="1"/>
  <c r="BL476" i="3"/>
  <c r="AZ476" i="3" s="1"/>
  <c r="BL477" i="3"/>
  <c r="BL478" i="3"/>
  <c r="BL480" i="3"/>
  <c r="AZ480" i="3" s="1"/>
  <c r="BA483" i="3"/>
  <c r="BL483" i="3"/>
  <c r="BA486" i="3"/>
  <c r="BL489" i="3"/>
  <c r="BL491" i="3"/>
  <c r="AZ491" i="3" s="1"/>
  <c r="BL492" i="3"/>
  <c r="G585" i="3"/>
  <c r="BL587" i="3"/>
  <c r="AZ587" i="3" s="1"/>
  <c r="BL586" i="3"/>
  <c r="AZ586" i="3" s="1"/>
  <c r="G574" i="3"/>
  <c r="BL16" i="3"/>
  <c r="AZ16" i="3" s="1"/>
  <c r="BA401" i="3"/>
  <c r="BA403" i="3"/>
  <c r="BA404" i="3"/>
  <c r="AZ404" i="3" s="1"/>
  <c r="BA405" i="3"/>
  <c r="AZ405" i="3" s="1"/>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BA332" i="3"/>
  <c r="AZ332" i="3" s="1"/>
  <c r="BL332" i="3"/>
  <c r="G339" i="3"/>
  <c r="BA354" i="3"/>
  <c r="BA392" i="3"/>
  <c r="AZ392" i="3" s="1"/>
  <c r="G374" i="3"/>
  <c r="BA384" i="3"/>
  <c r="AZ384" i="3" s="1"/>
  <c r="BA395" i="3"/>
  <c r="AZ395" i="3" s="1"/>
  <c r="BA208" i="3"/>
  <c r="AZ208" i="3" s="1"/>
  <c r="BA211" i="3"/>
  <c r="AZ211" i="3" s="1"/>
  <c r="BL213" i="3"/>
  <c r="BL215" i="3"/>
  <c r="BA222" i="3"/>
  <c r="AZ222" i="3" s="1"/>
  <c r="BA224" i="3"/>
  <c r="AZ224" i="3" s="1"/>
  <c r="BA226" i="3"/>
  <c r="BL301" i="3"/>
  <c r="BL302" i="3"/>
  <c r="BA114" i="3"/>
  <c r="BL123" i="3"/>
  <c r="AZ123" i="3" s="1"/>
  <c r="BA128" i="3"/>
  <c r="AZ128" i="3" s="1"/>
  <c r="BL134" i="3"/>
  <c r="BL137" i="3"/>
  <c r="G143" i="3"/>
  <c r="BA146" i="3"/>
  <c r="BL154" i="3"/>
  <c r="G156" i="3"/>
  <c r="BL238" i="3"/>
  <c r="BL243" i="3"/>
  <c r="BA247" i="3"/>
  <c r="BL247" i="3"/>
  <c r="BA249" i="3"/>
  <c r="AZ249" i="3" s="1"/>
  <c r="BL249" i="3"/>
  <c r="BA251" i="3"/>
  <c r="BL251" i="3"/>
  <c r="BA253" i="3"/>
  <c r="BL260" i="3"/>
  <c r="BL263" i="3"/>
  <c r="BL270" i="3"/>
  <c r="AZ270" i="3" s="1"/>
  <c r="BA272" i="3"/>
  <c r="AZ272" i="3" s="1"/>
  <c r="BL275" i="3"/>
  <c r="AZ275" i="3" s="1"/>
  <c r="BL285" i="3"/>
  <c r="BL287" i="3"/>
  <c r="BA290" i="3"/>
  <c r="BL299" i="3"/>
  <c r="AZ301" i="3"/>
  <c r="G159" i="3"/>
  <c r="BL163" i="3"/>
  <c r="AZ163" i="3" s="1"/>
  <c r="G164" i="3"/>
  <c r="G170" i="3"/>
  <c r="BL175" i="3"/>
  <c r="AZ175" i="3" s="1"/>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AZ273" i="3" s="1"/>
  <c r="BA277" i="3"/>
  <c r="AZ277" i="3" s="1"/>
  <c r="BL277" i="3"/>
  <c r="BA282" i="3"/>
  <c r="BL282" i="3"/>
  <c r="BA284" i="3"/>
  <c r="AZ284" i="3" s="1"/>
  <c r="BL290" i="3"/>
  <c r="BL291" i="3"/>
  <c r="AZ291" i="3" s="1"/>
  <c r="BL293" i="3"/>
  <c r="BL294" i="3"/>
  <c r="AZ294" i="3" s="1"/>
  <c r="BA297" i="3"/>
  <c r="BL297" i="3"/>
  <c r="BL300" i="3"/>
  <c r="BA302" i="3"/>
  <c r="AZ302" i="3" s="1"/>
  <c r="BA117" i="3"/>
  <c r="BA130" i="3"/>
  <c r="BL130" i="3"/>
  <c r="BA137" i="3"/>
  <c r="BL146" i="3"/>
  <c r="BA150" i="3"/>
  <c r="BL155" i="3"/>
  <c r="AZ155" i="3" s="1"/>
  <c r="G163"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BA296" i="3"/>
  <c r="BA116" i="3"/>
  <c r="AZ116" i="3" s="1"/>
  <c r="BA121" i="3"/>
  <c r="AZ121" i="3" s="1"/>
  <c r="BL121" i="3"/>
  <c r="BA124" i="3"/>
  <c r="AZ124" i="3" s="1"/>
  <c r="BA126" i="3"/>
  <c r="AZ126" i="3" s="1"/>
  <c r="BA129" i="3"/>
  <c r="BL133" i="3"/>
  <c r="AZ133" i="3" s="1"/>
  <c r="BL139" i="3"/>
  <c r="AZ139" i="3" s="1"/>
  <c r="G140" i="3"/>
  <c r="BL141" i="3"/>
  <c r="BL143" i="3"/>
  <c r="AZ143" i="3" s="1"/>
  <c r="G146" i="3"/>
  <c r="BA153" i="3"/>
  <c r="G167" i="3"/>
  <c r="BA168" i="3"/>
  <c r="AZ168" i="3" s="1"/>
  <c r="AZ27" i="3"/>
  <c r="AZ64" i="3"/>
  <c r="AZ70" i="3"/>
  <c r="B13" i="1"/>
  <c r="E13" i="1" s="1"/>
  <c r="K13" i="1"/>
  <c r="M13" i="1" s="1"/>
  <c r="O13" i="1" s="1"/>
  <c r="P13" i="1" s="1"/>
  <c r="V24" i="71"/>
  <c r="E23" i="71"/>
  <c r="E22" i="71" s="1"/>
  <c r="E21" i="71" s="1"/>
  <c r="E20" i="71"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AZ31" i="3" s="1"/>
  <c r="G35" i="3"/>
  <c r="G36" i="3"/>
  <c r="G37" i="3"/>
  <c r="G40" i="3"/>
  <c r="BL40" i="3"/>
  <c r="BL41" i="3"/>
  <c r="AZ41" i="3" s="1"/>
  <c r="G45" i="3"/>
  <c r="BL45" i="3"/>
  <c r="BA48" i="3"/>
  <c r="BA49" i="3"/>
  <c r="BA51" i="3"/>
  <c r="AZ51" i="3" s="1"/>
  <c r="G55" i="3"/>
  <c r="BL56" i="3"/>
  <c r="BA58" i="3"/>
  <c r="BL59" i="3"/>
  <c r="AZ59" i="3" s="1"/>
  <c r="BL60" i="3"/>
  <c r="BA61" i="3"/>
  <c r="AZ61" i="3" s="1"/>
  <c r="BA68" i="3"/>
  <c r="BA71" i="3"/>
  <c r="AZ71" i="3" s="1"/>
  <c r="BL72" i="3"/>
  <c r="BL75" i="3"/>
  <c r="BA78" i="3"/>
  <c r="BL86" i="3"/>
  <c r="C44" i="71"/>
  <c r="D43" i="7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G29" i="3"/>
  <c r="BL29" i="3"/>
  <c r="BA37" i="3"/>
  <c r="G39" i="3"/>
  <c r="BL39" i="3"/>
  <c r="BA45" i="3"/>
  <c r="BA46" i="3"/>
  <c r="BL49" i="3"/>
  <c r="BL50" i="3"/>
  <c r="AZ50" i="3" s="1"/>
  <c r="BL51" i="3"/>
  <c r="G53" i="3"/>
  <c r="BL53" i="3"/>
  <c r="BA56" i="3"/>
  <c r="BA57" i="3"/>
  <c r="BL58" i="3"/>
  <c r="G60" i="3"/>
  <c r="BA60" i="3"/>
  <c r="BA63" i="3"/>
  <c r="BA66" i="3"/>
  <c r="BL70" i="3"/>
  <c r="BL71" i="3"/>
  <c r="BL79" i="3"/>
  <c r="BL81" i="3"/>
  <c r="BA82" i="3"/>
  <c r="AZ82" i="3" s="1"/>
  <c r="BL83" i="3"/>
  <c r="AZ103" i="3"/>
  <c r="C47" i="71"/>
  <c r="D47" i="71" s="1"/>
  <c r="D46" i="7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A72" i="3"/>
  <c r="AZ72" i="3" s="1"/>
  <c r="BA73" i="3"/>
  <c r="D31" i="71"/>
  <c r="C32" i="71"/>
  <c r="C52" i="71"/>
  <c r="D51" i="71"/>
  <c r="C55" i="71"/>
  <c r="D54" i="71"/>
  <c r="N67" i="71"/>
  <c r="B66" i="71"/>
  <c r="F66" i="71"/>
  <c r="Q67" i="71"/>
  <c r="G72" i="3"/>
  <c r="BL73" i="3"/>
  <c r="BA74" i="3"/>
  <c r="AZ74" i="3" s="1"/>
  <c r="BA75" i="3"/>
  <c r="G81" i="3"/>
  <c r="G85" i="3"/>
  <c r="BL85" i="3"/>
  <c r="BA86" i="3"/>
  <c r="BA87" i="3"/>
  <c r="BA91" i="3"/>
  <c r="AZ91" i="3" s="1"/>
  <c r="G96" i="3"/>
  <c r="BL97" i="3"/>
  <c r="AZ97" i="3" s="1"/>
  <c r="BL101" i="3"/>
  <c r="BL102" i="3"/>
  <c r="G104" i="3"/>
  <c r="G105" i="3"/>
  <c r="BL106" i="3"/>
  <c r="BA108" i="3"/>
  <c r="AZ108" i="3" s="1"/>
  <c r="BA110" i="3"/>
  <c r="AZ110" i="3" s="1"/>
  <c r="F3" i="35"/>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77" i="3"/>
  <c r="AZ77" i="3" s="1"/>
  <c r="BA79" i="3"/>
  <c r="AZ79" i="3" s="1"/>
  <c r="G82" i="3"/>
  <c r="G83" i="3"/>
  <c r="BA84" i="3"/>
  <c r="AZ84" i="3" s="1"/>
  <c r="BL88" i="3"/>
  <c r="AZ88" i="3" s="1"/>
  <c r="G90" i="3"/>
  <c r="BL90" i="3"/>
  <c r="BL92" i="3"/>
  <c r="G101" i="3"/>
  <c r="BA101" i="3"/>
  <c r="G108" i="3"/>
  <c r="G109" i="3"/>
  <c r="BL112" i="3"/>
  <c r="W18" i="35"/>
  <c r="AB21" i="33"/>
  <c r="S21" i="34"/>
  <c r="B88" i="43"/>
  <c r="BA90" i="3"/>
  <c r="BL94" i="3"/>
  <c r="AZ94" i="3" s="1"/>
  <c r="BA100" i="3"/>
  <c r="AZ100" i="3" s="1"/>
  <c r="BA102" i="3"/>
  <c r="AZ102" i="3" s="1"/>
  <c r="BL105" i="3"/>
  <c r="AZ105" i="3" s="1"/>
  <c r="BL107" i="3"/>
  <c r="BA111" i="3"/>
  <c r="AZ111" i="3" s="1"/>
  <c r="AC21" i="37"/>
  <c r="U21" i="34"/>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T13" i="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71" i="15"/>
  <c r="F66" i="67"/>
  <c r="F66" i="15"/>
  <c r="Q71" i="67"/>
  <c r="F64" i="15"/>
  <c r="C27" i="67"/>
  <c r="F71" i="67"/>
  <c r="N59" i="67"/>
  <c r="L59" i="67"/>
  <c r="L58" i="67"/>
  <c r="M59" i="67"/>
  <c r="B13" i="70"/>
  <c r="M7" i="67"/>
  <c r="J6" i="67" s="1"/>
  <c r="F50" i="67"/>
  <c r="F68" i="67"/>
  <c r="F64" i="67"/>
  <c r="F68" i="15"/>
  <c r="D9" i="69"/>
  <c r="C36" i="69"/>
  <c r="C36" i="68"/>
  <c r="D9" i="68"/>
  <c r="D6" i="73"/>
  <c r="F26" i="15"/>
  <c r="F8" i="15"/>
  <c r="D5" i="73"/>
  <c r="F37" i="15"/>
  <c r="F9" i="15"/>
  <c r="M8" i="15"/>
  <c r="M24" i="15"/>
  <c r="C16" i="15"/>
  <c r="D4" i="73"/>
  <c r="D7" i="73"/>
  <c r="D3" i="73"/>
  <c r="C16" i="67"/>
  <c r="M29" i="15"/>
  <c r="L47" i="15"/>
  <c r="J26" i="43" l="1"/>
  <c r="K16" i="1"/>
  <c r="F26" i="43"/>
  <c r="N94" i="46"/>
  <c r="E26" i="43"/>
  <c r="H26" i="43"/>
  <c r="P6" i="1"/>
  <c r="C13" i="12" s="1"/>
  <c r="Q16" i="1"/>
  <c r="F27" i="69" s="1"/>
  <c r="C47" i="69" s="1"/>
  <c r="D45" i="69" s="1"/>
  <c r="M59" i="15"/>
  <c r="L59" i="15"/>
  <c r="Q61" i="15" s="1"/>
  <c r="L58" i="15"/>
  <c r="Q60" i="15" s="1"/>
  <c r="N59" i="15"/>
  <c r="F65" i="15"/>
  <c r="F31" i="15"/>
  <c r="F51" i="15"/>
  <c r="C49" i="15" s="1"/>
  <c r="C6" i="15"/>
  <c r="C32" i="15" s="1"/>
  <c r="C27" i="15"/>
  <c r="AZ101" i="3"/>
  <c r="T28" i="71"/>
  <c r="D28" i="71"/>
  <c r="U28" i="71" s="1"/>
  <c r="C27" i="71"/>
  <c r="D79" i="71"/>
  <c r="C78" i="71"/>
  <c r="D78" i="71" s="1"/>
  <c r="C56" i="71"/>
  <c r="D55" i="71"/>
  <c r="AZ274" i="3"/>
  <c r="AZ297" i="3"/>
  <c r="AZ256" i="3"/>
  <c r="AZ146" i="3"/>
  <c r="AZ401" i="3"/>
  <c r="AZ483" i="3"/>
  <c r="AZ461" i="3"/>
  <c r="AZ550" i="3"/>
  <c r="AB35" i="39"/>
  <c r="U35" i="39"/>
  <c r="AC12" i="36"/>
  <c r="W12" i="36"/>
  <c r="S46" i="34"/>
  <c r="AA46" i="34"/>
  <c r="AC43" i="39"/>
  <c r="W43" i="39"/>
  <c r="AA27" i="21"/>
  <c r="S27" i="21"/>
  <c r="AA33" i="36"/>
  <c r="S33" i="36"/>
  <c r="AA44" i="21"/>
  <c r="S44" i="21"/>
  <c r="U14" i="33"/>
  <c r="AB14" i="33"/>
  <c r="W12" i="34"/>
  <c r="AC12" i="34"/>
  <c r="J6" i="15"/>
  <c r="J18" i="15" s="1"/>
  <c r="G5" i="3"/>
  <c r="B3" i="3" s="1"/>
  <c r="E536" i="3" s="1"/>
  <c r="D83" i="71"/>
  <c r="C82" i="71"/>
  <c r="D82" i="71" s="1"/>
  <c r="O65" i="71"/>
  <c r="D66" i="71"/>
  <c r="O66" i="71"/>
  <c r="N65" i="71"/>
  <c r="N66" i="71"/>
  <c r="D44" i="71"/>
  <c r="T44" i="71"/>
  <c r="AZ137" i="3"/>
  <c r="AZ460" i="3"/>
  <c r="AB36" i="35"/>
  <c r="U36" i="35"/>
  <c r="AB44" i="33"/>
  <c r="U44" i="33"/>
  <c r="AC9" i="34"/>
  <c r="W9" i="34"/>
  <c r="W27" i="21"/>
  <c r="AC27" i="21"/>
  <c r="S12" i="36"/>
  <c r="AA12" i="36"/>
  <c r="AC31" i="33"/>
  <c r="W31" i="33"/>
  <c r="AC44" i="33"/>
  <c r="W44" i="33"/>
  <c r="AA25" i="37"/>
  <c r="S25" i="37"/>
  <c r="U26" i="33"/>
  <c r="AB26" i="33"/>
  <c r="C40" i="71"/>
  <c r="D39" i="71"/>
  <c r="T52" i="71"/>
  <c r="D52" i="71"/>
  <c r="AZ66" i="3"/>
  <c r="W12" i="35"/>
  <c r="AC12" i="35"/>
  <c r="AC44" i="39"/>
  <c r="W44" i="39"/>
  <c r="AC39" i="37"/>
  <c r="W39" i="37"/>
  <c r="AC26" i="33"/>
  <c r="W26" i="33"/>
  <c r="S31" i="34"/>
  <c r="AA31" i="34"/>
  <c r="S30" i="34"/>
  <c r="AA30" i="34"/>
  <c r="W13" i="34"/>
  <c r="AC13" i="34"/>
  <c r="AB33" i="36"/>
  <c r="U33" i="36"/>
  <c r="U25" i="37"/>
  <c r="AB25" i="37"/>
  <c r="AA26" i="33"/>
  <c r="S26" i="33"/>
  <c r="C70" i="71"/>
  <c r="D70" i="71" s="1"/>
  <c r="D71" i="71"/>
  <c r="C36" i="71"/>
  <c r="D35" i="71"/>
  <c r="AZ86" i="3"/>
  <c r="AZ75" i="3"/>
  <c r="T32" i="71"/>
  <c r="D32" i="71"/>
  <c r="AZ63" i="3"/>
  <c r="AZ57" i="3"/>
  <c r="AZ45" i="3"/>
  <c r="AZ58" i="3"/>
  <c r="AZ49" i="3"/>
  <c r="AZ353" i="3"/>
  <c r="AZ150" i="3"/>
  <c r="AZ130" i="3"/>
  <c r="AZ282" i="3"/>
  <c r="AZ241" i="3"/>
  <c r="AZ210" i="3"/>
  <c r="AZ251" i="3"/>
  <c r="AZ247" i="3"/>
  <c r="AZ403" i="3"/>
  <c r="AZ415" i="3"/>
  <c r="AB44" i="39"/>
  <c r="U44" i="39"/>
  <c r="AC24" i="36"/>
  <c r="W24" i="36"/>
  <c r="AA35" i="39"/>
  <c r="S35" i="39"/>
  <c r="AC13" i="21"/>
  <c r="W13" i="21"/>
  <c r="AB25" i="35"/>
  <c r="U25" i="35"/>
  <c r="U43" i="39"/>
  <c r="AB43" i="39"/>
  <c r="S30" i="21"/>
  <c r="AA30" i="21"/>
  <c r="AA33" i="40"/>
  <c r="S33" i="40"/>
  <c r="U12" i="34"/>
  <c r="AB12" i="34"/>
  <c r="G16" i="1"/>
  <c r="F10" i="39" s="1"/>
  <c r="AA10" i="39" s="1"/>
  <c r="J7" i="37"/>
  <c r="K1" i="73"/>
  <c r="E554" i="3"/>
  <c r="E389" i="3"/>
  <c r="E310" i="3"/>
  <c r="E309" i="3"/>
  <c r="E235" i="3"/>
  <c r="E287" i="3"/>
  <c r="E140" i="3"/>
  <c r="E534" i="3"/>
  <c r="E469" i="3"/>
  <c r="E360" i="3"/>
  <c r="E452" i="3"/>
  <c r="E104" i="3"/>
  <c r="E243" i="3"/>
  <c r="E78" i="3"/>
  <c r="E342" i="3"/>
  <c r="E370" i="3"/>
  <c r="E83" i="3"/>
  <c r="E223" i="3"/>
  <c r="E493" i="3"/>
  <c r="E486" i="3"/>
  <c r="E490" i="3"/>
  <c r="E498" i="3"/>
  <c r="E40" i="3"/>
  <c r="E202" i="3"/>
  <c r="E276" i="3"/>
  <c r="E346" i="3"/>
  <c r="E372" i="3"/>
  <c r="L6" i="3"/>
  <c r="E60" i="3"/>
  <c r="E540" i="3"/>
  <c r="E473" i="3"/>
  <c r="E15" i="3"/>
  <c r="E79" i="3"/>
  <c r="E38" i="3"/>
  <c r="E170" i="3"/>
  <c r="E194" i="3"/>
  <c r="E234" i="3"/>
  <c r="E299" i="3"/>
  <c r="E325" i="3"/>
  <c r="E392" i="3"/>
  <c r="AQ6"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45" i="69"/>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1" i="67"/>
  <c r="Q74" i="67"/>
  <c r="AE11" i="1"/>
  <c r="AE9" i="1"/>
  <c r="AE7" i="1"/>
  <c r="AE8" i="1"/>
  <c r="AE12" i="1"/>
  <c r="AE10" i="1"/>
  <c r="AE6" i="1"/>
  <c r="F41" i="67"/>
  <c r="G1" i="73"/>
  <c r="D26" i="43" l="1"/>
  <c r="C25" i="43" s="1"/>
  <c r="J10" i="39"/>
  <c r="W10" i="39" s="1"/>
  <c r="Q74" i="15"/>
  <c r="F10" i="40"/>
  <c r="S10" i="40" s="1"/>
  <c r="S10" i="39"/>
  <c r="H10" i="39"/>
  <c r="U10" i="39" s="1"/>
  <c r="H10" i="40"/>
  <c r="AB10" i="40" s="1"/>
  <c r="J10" i="40"/>
  <c r="AC10" i="40" s="1"/>
  <c r="F27" i="11"/>
  <c r="C29" i="11" s="1"/>
  <c r="D27" i="11" s="1"/>
  <c r="C29" i="69"/>
  <c r="D27" i="69" s="1"/>
  <c r="E52" i="3"/>
  <c r="E339" i="3"/>
  <c r="E137" i="3"/>
  <c r="E455" i="3"/>
  <c r="E43" i="3"/>
  <c r="E333" i="3"/>
  <c r="E108" i="3"/>
  <c r="AH6" i="3"/>
  <c r="E543" i="3"/>
  <c r="E16" i="3"/>
  <c r="E49" i="3"/>
  <c r="E428" i="3"/>
  <c r="E420" i="3"/>
  <c r="E408" i="3"/>
  <c r="E173" i="3"/>
  <c r="E102" i="3"/>
  <c r="E233" i="3"/>
  <c r="E95" i="3"/>
  <c r="E401" i="3"/>
  <c r="E422" i="3"/>
  <c r="E105" i="3"/>
  <c r="E158" i="3"/>
  <c r="E220" i="3"/>
  <c r="E115" i="3"/>
  <c r="E497" i="3"/>
  <c r="E405" i="3"/>
  <c r="E22" i="3"/>
  <c r="AL6" i="3"/>
  <c r="E64" i="3"/>
  <c r="E286" i="3"/>
  <c r="E178" i="3"/>
  <c r="E463" i="3"/>
  <c r="J6" i="3"/>
  <c r="E440" i="3"/>
  <c r="E427" i="3"/>
  <c r="E393" i="3"/>
  <c r="E188" i="3"/>
  <c r="E326" i="3"/>
  <c r="E232" i="3"/>
  <c r="E324" i="3"/>
  <c r="E412" i="3"/>
  <c r="E225" i="3"/>
  <c r="E26" i="3"/>
  <c r="E13" i="3"/>
  <c r="E451" i="3"/>
  <c r="E456" i="3"/>
  <c r="E525" i="3"/>
  <c r="E205" i="3"/>
  <c r="E113" i="3"/>
  <c r="E86" i="3"/>
  <c r="E482" i="3"/>
  <c r="E494" i="3"/>
  <c r="E68" i="3"/>
  <c r="E84" i="3"/>
  <c r="E160" i="3"/>
  <c r="E59" i="3"/>
  <c r="E258" i="3"/>
  <c r="E491" i="3"/>
  <c r="E502" i="3"/>
  <c r="E3" i="6"/>
  <c r="E226" i="3"/>
  <c r="E25" i="3"/>
  <c r="E419" i="3"/>
  <c r="E376" i="3"/>
  <c r="E507" i="3"/>
  <c r="E564" i="3"/>
  <c r="E116" i="3"/>
  <c r="E329" i="3"/>
  <c r="E80" i="3"/>
  <c r="E35" i="3"/>
  <c r="E190" i="3"/>
  <c r="E356" i="3"/>
  <c r="E41" i="3"/>
  <c r="E470" i="3"/>
  <c r="E556" i="3"/>
  <c r="E512" i="3"/>
  <c r="T6" i="3"/>
  <c r="E197" i="3"/>
  <c r="E308" i="3"/>
  <c r="AF6" i="3"/>
  <c r="AC6" i="3" s="1"/>
  <c r="E174" i="3"/>
  <c r="E391" i="3"/>
  <c r="E283" i="3"/>
  <c r="E184" i="3"/>
  <c r="E371" i="3"/>
  <c r="E467" i="3"/>
  <c r="E349" i="3"/>
  <c r="E37" i="3"/>
  <c r="AP6" i="3"/>
  <c r="E539" i="3"/>
  <c r="E34" i="3"/>
  <c r="E18" i="3"/>
  <c r="E198" i="3"/>
  <c r="E63" i="3"/>
  <c r="E67" i="3"/>
  <c r="E267" i="3"/>
  <c r="E409" i="3"/>
  <c r="E241" i="3"/>
  <c r="E417" i="3"/>
  <c r="E430" i="3"/>
  <c r="Q73" i="15"/>
  <c r="J5" i="15"/>
  <c r="J24" i="15" s="1"/>
  <c r="R36" i="36"/>
  <c r="E251" i="3"/>
  <c r="E522" i="3"/>
  <c r="E129" i="3"/>
  <c r="E75" i="3"/>
  <c r="E332" i="3"/>
  <c r="E21" i="3"/>
  <c r="E264" i="3"/>
  <c r="E381" i="3"/>
  <c r="E144" i="3"/>
  <c r="E23" i="3"/>
  <c r="E300" i="3"/>
  <c r="E103" i="3"/>
  <c r="E425" i="3"/>
  <c r="E76" i="3"/>
  <c r="E363" i="3"/>
  <c r="E192" i="3"/>
  <c r="E56" i="3"/>
  <c r="E435" i="3"/>
  <c r="I3" i="6"/>
  <c r="E541" i="3"/>
  <c r="R6" i="3"/>
  <c r="E199" i="3"/>
  <c r="E510" i="3"/>
  <c r="D56" i="71"/>
  <c r="T56" i="71"/>
  <c r="E206" i="3"/>
  <c r="E383" i="3"/>
  <c r="E96" i="3"/>
  <c r="E42" i="3"/>
  <c r="E281" i="3"/>
  <c r="E513" i="3"/>
  <c r="E81" i="3"/>
  <c r="E355" i="3"/>
  <c r="E33" i="3"/>
  <c r="E492" i="3"/>
  <c r="E249" i="3"/>
  <c r="E46" i="3"/>
  <c r="E484" i="3"/>
  <c r="E544" i="3"/>
  <c r="E292" i="3"/>
  <c r="E152" i="3"/>
  <c r="E479" i="3"/>
  <c r="E517" i="3"/>
  <c r="E255" i="3"/>
  <c r="E466" i="3"/>
  <c r="E499" i="3"/>
  <c r="E212" i="3"/>
  <c r="T40" i="71"/>
  <c r="D40" i="71"/>
  <c r="E449" i="3"/>
  <c r="E442" i="3"/>
  <c r="E575" i="3"/>
  <c r="D36" i="71"/>
  <c r="T36"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7" i="68"/>
  <c r="M27" i="15"/>
  <c r="M27" i="67"/>
  <c r="F41" i="15"/>
  <c r="F45" i="68" l="1"/>
  <c r="C47" i="68"/>
  <c r="D45" i="68" s="1"/>
  <c r="C29" i="68"/>
  <c r="D27" i="68" s="1"/>
  <c r="AA10" i="40"/>
  <c r="F25" i="12"/>
  <c r="U10" i="40"/>
  <c r="D116" i="43"/>
  <c r="F22" i="68"/>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9"/>
  <c r="C34" i="69"/>
  <c r="D10" i="68"/>
  <c r="C14" i="67"/>
  <c r="C17" i="15"/>
  <c r="C17" i="67"/>
  <c r="C44" i="11" l="1"/>
  <c r="D41" i="11" s="1"/>
  <c r="C44" i="68"/>
  <c r="D41" i="68" s="1"/>
  <c r="H25" i="6"/>
  <c r="C26" i="68"/>
  <c r="D22" i="68" s="1"/>
  <c r="F41"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8" i="68" l="1"/>
  <c r="C5" i="68" s="1"/>
  <c r="C23" i="68" s="1"/>
  <c r="H9" i="68"/>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20" i="9"/>
  <c r="C103" i="9" l="1"/>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C56" i="68" l="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34" i="9"/>
  <c r="D2" i="33"/>
  <c r="L51" i="67"/>
  <c r="Q69" i="15" l="1"/>
  <c r="Q68" i="15" s="1"/>
  <c r="H38"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7"/>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12" i="1"/>
  <c r="AO8" i="1"/>
  <c r="AO9"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C104" i="9" l="1"/>
  <c r="D14" i="74"/>
  <c r="G14" i="74" s="1"/>
  <c r="B6" i="74" s="1"/>
  <c r="D6" i="74" s="1"/>
  <c r="D119" i="9"/>
  <c r="D5" i="52" s="1"/>
  <c r="B49" i="72" s="1"/>
  <c r="G118" i="9"/>
  <c r="G4" i="52" s="1"/>
  <c r="B52" i="72" s="1"/>
  <c r="H101" i="9"/>
  <c r="F4" i="52"/>
  <c r="B51" i="72" s="1"/>
  <c r="H4" i="52"/>
  <c r="H119" i="9"/>
  <c r="H5" i="52" s="1"/>
  <c r="I118" i="9"/>
  <c r="D45" i="9"/>
  <c r="E14" i="74" l="1"/>
  <c r="B5" i="74"/>
  <c r="D5" i="74" s="1"/>
  <c r="F14" i="74"/>
  <c r="M48" i="9"/>
  <c r="D5" i="53"/>
  <c r="H107" i="9"/>
  <c r="D55" i="9"/>
  <c r="M53" i="9" s="1"/>
  <c r="C93" i="9"/>
  <c r="C86" i="9" s="1"/>
  <c r="C72" i="9"/>
  <c r="D53" i="9"/>
  <c r="C64" i="9"/>
  <c r="C63" i="9" s="1"/>
  <c r="C67" i="9" s="1"/>
  <c r="D52" i="9"/>
  <c r="C78" i="9"/>
  <c r="C73" i="9" s="1"/>
  <c r="C85" i="9"/>
  <c r="E118" i="9"/>
  <c r="E4" i="52" s="1"/>
  <c r="B48" i="72" s="1"/>
  <c r="H102" i="9"/>
  <c r="C105" i="9"/>
  <c r="I4" i="52"/>
  <c r="D122" i="9" l="1"/>
  <c r="M49" i="9"/>
  <c r="D13" i="53"/>
  <c r="B20" i="72"/>
  <c r="D6" i="53"/>
  <c r="B22" i="72" s="1"/>
  <c r="C95" i="9"/>
  <c r="C96" i="9" s="1"/>
  <c r="E96" i="9" s="1"/>
  <c r="E97" i="9" s="1"/>
  <c r="C68" i="9"/>
  <c r="D54" i="9" s="1"/>
  <c r="D59" i="9"/>
  <c r="M55" i="9" s="1"/>
  <c r="C79" i="9"/>
  <c r="D7" i="53"/>
  <c r="B21" i="72" s="1"/>
  <c r="C5" i="74"/>
  <c r="H108" i="9"/>
  <c r="B30" i="72" l="1"/>
  <c r="D14" i="53"/>
  <c r="B32" i="72" s="1"/>
  <c r="L63" i="9"/>
  <c r="M63" i="9" s="1"/>
  <c r="L66" i="9"/>
  <c r="M66" i="9" s="1"/>
  <c r="L64" i="9"/>
  <c r="M64" i="9" s="1"/>
  <c r="L65" i="9"/>
  <c r="M65" i="9" s="1"/>
  <c r="L68" i="9"/>
  <c r="M68" i="9" s="1"/>
  <c r="L67" i="9"/>
  <c r="M67" i="9" s="1"/>
  <c r="D8" i="52"/>
  <c r="D123" i="9"/>
  <c r="D9" i="52" s="1"/>
  <c r="C97" i="9"/>
  <c r="D58" i="9" s="1"/>
  <c r="D56" i="9" s="1"/>
  <c r="M54" i="9" s="1"/>
  <c r="N57" i="9" s="1"/>
  <c r="C6" i="74"/>
  <c r="D15" i="53"/>
  <c r="B31" i="72" s="1"/>
  <c r="C80" i="9"/>
  <c r="E80" i="9" s="1"/>
  <c r="E81" i="9" s="1"/>
  <c r="M69" i="9" l="1"/>
  <c r="N69" i="9" s="1"/>
  <c r="C81" i="9"/>
  <c r="P57" i="9"/>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<sst xmlns="http://schemas.openxmlformats.org/spreadsheetml/2006/main" count="7907" uniqueCount="3455">
  <si>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</si>
  <si>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</si>
  <si>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</si>
  <si>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</si>
  <si>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</si>
  <si>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</si>
  <si>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</si>
  <si>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</si>
  <si>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</si>
  <si>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</si>
  <si>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</si>
  <si>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</si>
  <si>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</si>
  <si>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</si>
  <si>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</si>
  <si>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</si>
  <si>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</si>
  <si>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</si>
  <si>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</si>
  <si>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</si>
  <si>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</si>
  <si>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</si>
  <si>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</si>
  <si>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</si>
  <si>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</si>
  <si>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</si>
  <si>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</si>
  <si>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</si>
  <si>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</si>
  <si>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</si>
  <si>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</si>
  <si>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</si>
  <si>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</si>
  <si>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</si>
  <si>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</si>
  <si>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</si>
  <si>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</si>
  <si>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</si>
  <si>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</si>
  <si>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</si>
  <si>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</si>
  <si>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</si>
  <si>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</si>
  <si>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</si>
  <si>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</si>
  <si>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</si>
  <si>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</si>
  <si>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</si>
  <si>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</si>
  <si>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</si>
  <si>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</si>
  <si>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</si>
  <si>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</si>
  <si>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</si>
  <si>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</si>
  <si>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</si>
  <si>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</si>
  <si>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</si>
  <si>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</si>
  <si>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</si>
  <si>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</si>
  <si>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</si>
  <si>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</si>
  <si>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</si>
  <si>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</si>
  <si>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</si>
  <si>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</si>
  <si>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</si>
  <si>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</si>
  <si>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</si>
  <si>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</si>
  <si>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</si>
  <si>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</si>
  <si>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</si>
  <si>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</si>
  <si>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</si>
  <si>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</si>
  <si>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</si>
  <si>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</si>
  <si>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</si>
  <si>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</si>
  <si>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</si>
  <si>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</si>
  <si>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</si>
  <si>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</si>
  <si>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</si>
  <si>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</si>
  <si>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</si>
  <si>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</si>
  <si>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</si>
  <si>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</si>
  <si>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</si>
  <si>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</si>
  <si>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</si>
  <si>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</si>
  <si>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</si>
  <si>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</si>
  <si>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</si>
  <si>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</si>
  <si>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</si>
  <si>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</si>
  <si>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</si>
  <si>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</si>
  <si>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</si>
  <si>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</si>
  <si>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</si>
  <si>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</si>
  <si>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</si>
  <si>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</si>
  <si>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</si>
  <si>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</si>
  <si>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</si>
  <si>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</si>
  <si>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</si>
  <si>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</si>
  <si>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</si>
  <si>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</si>
  <si>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</si>
  <si>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</si>
  <si>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</si>
  <si>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</si>
  <si>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</si>
  <si>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</si>
  <si>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</si>
  <si>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</si>
  <si>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</si>
  <si>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</si>
  <si>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</si>
  <si>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</si>
  <si>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</si>
  <si>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</si>
  <si>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</si>
  <si>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</si>
  <si>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</si>
  <si>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</si>
  <si>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</si>
  <si>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</si>
  <si>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</si>
  <si>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</si>
  <si>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</si>
  <si>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</si>
  <si>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</si>
  <si>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</si>
  <si>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</si>
  <si>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</si>
  <si>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</si>
  <si>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</si>
  <si>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</si>
  <si>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</si>
  <si>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</si>
  <si>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</si>
  <si>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</si>
  <si>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</si>
  <si>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</si>
  <si>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</si>
  <si>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</si>
  <si>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</si>
  <si>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</si>
  <si>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</si>
  <si>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</si>
  <si>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</si>
  <si>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</si>
  <si>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</si>
  <si>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</si>
  <si>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</si>
  <si>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</si>
  <si>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</si>
  <si>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</si>
  <si>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</si>
  <si>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</si>
  <si>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</si>
  <si>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</si>
  <si>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</si>
  <si>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</si>
  <si>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</si>
  <si>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</si>
  <si>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</si>
  <si>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</si>
  <si>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</si>
  <si>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</si>
  <si>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</si>
  <si>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</si>
  <si>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</si>
  <si>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</si>
  <si>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</si>
  <si>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</si>
  <si>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</si>
  <si>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</si>
  <si>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</si>
  <si>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</si>
  <si>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</si>
  <si>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</si>
  <si>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</si>
  <si>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</si>
  <si>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</si>
  <si>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</si>
  <si>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</si>
  <si>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</si>
  <si>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</si>
  <si>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</si>
  <si>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</si>
  <si>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</si>
  <si>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</si>
  <si>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</si>
  <si>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</si>
  <si>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</si>
  <si>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</si>
  <si>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</si>
  <si>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</si>
  <si>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</si>
  <si>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</si>
  <si>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</si>
  <si>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</si>
  <si>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</si>
  <si>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</si>
  <si>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</si>
  <si>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</si>
  <si>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</si>
  <si>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</si>
  <si>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</si>
  <si>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</si>
  <si>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</si>
  <si>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</si>
  <si>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</si>
  <si>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</si>
  <si>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</si>
  <si>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</si>
  <si>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</si>
  <si>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</si>
  <si>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</si>
  <si>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</si>
  <si>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</si>
  <si>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</si>
  <si>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</si>
  <si>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</si>
  <si>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</si>
  <si>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</si>
  <si>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</si>
  <si>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</si>
  <si>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</si>
  <si>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</si>
  <si>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</si>
  <si>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</si>
  <si>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</si>
  <si>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</si>
  <si>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</si>
  <si>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</si>
  <si>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</si>
  <si>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</si>
  <si>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</si>
  <si>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</si>
  <si>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</si>
  <si>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</si>
  <si>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</si>
  <si>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</si>
  <si>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</si>
  <si>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</si>
  <si>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</si>
  <si>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</si>
  <si>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</si>
  <si>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</si>
  <si>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</si>
  <si>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</si>
  <si>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</si>
  <si>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</si>
  <si>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</si>
  <si>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</si>
  <si>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</si>
  <si>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</si>
  <si>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</si>
  <si>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</si>
  <si>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</si>
  <si>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</si>
  <si>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</si>
  <si>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</si>
  <si>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</si>
  <si>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</si>
  <si>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</si>
  <si>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</si>
  <si>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</si>
  <si>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</si>
  <si>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</si>
  <si>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</si>
  <si>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</si>
  <si>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</si>
  <si>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</si>
  <si>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</si>
  <si>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</si>
  <si>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</si>
  <si>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</si>
  <si>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</si>
  <si>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</si>
  <si>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</si>
  <si>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</si>
  <si>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</si>
  <si>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</si>
  <si>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</si>
  <si>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</si>
  <si>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</si>
  <si>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</si>
  <si>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</si>
  <si>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</si>
  <si>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</si>
  <si>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</si>
  <si>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</si>
  <si>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</si>
  <si>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</si>
  <si>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</si>
  <si>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</si>
  <si>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</si>
  <si>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</si>
  <si>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</si>
  <si>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</si>
  <si>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</si>
  <si>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</si>
  <si>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</si>
  <si>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</si>
  <si>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</si>
  <si>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</si>
  <si>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</si>
  <si>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</si>
  <si>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</si>
  <si>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</si>
  <si>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</si>
  <si>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</si>
  <si>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</si>
  <si>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</si>
  <si>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</si>
  <si>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</si>
  <si>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</si>
  <si>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</si>
  <si>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</si>
  <si>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</si>
  <si>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</si>
  <si>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</si>
  <si>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</si>
  <si>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</si>
  <si>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</si>
  <si>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</si>
  <si>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</si>
  <si>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</si>
  <si>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</si>
  <si>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</si>
  <si>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</si>
  <si>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</si>
  <si>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</si>
  <si>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</si>
  <si>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</si>
  <si>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</si>
  <si>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</si>
  <si>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</si>
  <si>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</si>
  <si>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</si>
  <si>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</si>
  <si>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</si>
  <si>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</si>
  <si>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</si>
  <si>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</si>
  <si>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</si>
  <si>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</si>
  <si>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</si>
  <si>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</si>
  <si>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</si>
  <si>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</si>
  <si>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</si>
  <si>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</si>
  <si>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</si>
  <si>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</si>
  <si>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</si>
  <si>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</si>
  <si>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</si>
  <si>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</si>
  <si>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</si>
  <si>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</si>
  <si>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</si>
  <si>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</si>
  <si>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</si>
  <si>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</si>
  <si>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</si>
  <si>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</si>
  <si>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</si>
  <si>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</si>
  <si>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</si>
  <si>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</si>
  <si>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</si>
  <si>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</si>
  <si>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</si>
  <si>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</si>
  <si>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</si>
  <si>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</si>
  <si>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</si>
  <si>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</si>
  <si>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</si>
  <si>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</si>
  <si>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</si>
  <si>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</si>
  <si>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</si>
  <si>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</si>
  <si>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</si>
  <si>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</si>
  <si>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</si>
  <si>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</si>
  <si>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</si>
  <si>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</si>
  <si>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</si>
  <si>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</si>
  <si>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</si>
  <si>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</si>
  <si>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</si>
  <si>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</si>
  <si>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</si>
  <si>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</si>
  <si>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</si>
  <si>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</si>
  <si>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</si>
  <si>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</si>
  <si>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</si>
  <si>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</si>
  <si>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</si>
  <si>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</si>
  <si>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</si>
  <si>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</si>
  <si>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</si>
  <si>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</si>
  <si>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</si>
  <si>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</si>
  <si>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</si>
  <si>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</si>
  <si>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</si>
  <si>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</si>
  <si>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</si>
  <si>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</si>
  <si>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</si>
  <si>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</si>
  <si>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</si>
  <si>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</si>
  <si>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</si>
  <si>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</si>
  <si>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</si>
  <si>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</si>
  <si>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</si>
  <si>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</si>
  <si>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</si>
  <si>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</si>
  <si>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</si>
  <si>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</si>
  <si>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</si>
  <si>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</si>
  <si>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</si>
  <si>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</si>
  <si>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</si>
  <si>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</si>
  <si>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</si>
  <si>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</si>
  <si>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</si>
  <si>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</si>
  <si>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</si>
  <si>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</si>
  <si>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</si>
  <si>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</si>
  <si>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</si>
  <si>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</si>
  <si>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</si>
  <si>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</si>
  <si>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</si>
  <si>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</si>
  <si>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</si>
  <si>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</si>
  <si>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</si>
  <si>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</si>
  <si>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</si>
  <si>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</si>
  <si>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</si>
  <si>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</si>
  <si>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</si>
  <si>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</si>
  <si>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</si>
  <si>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</si>
  <si>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</si>
  <si>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</si>
  <si>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</si>
  <si>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</si>
  <si>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</si>
  <si>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</si>
  <si>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</si>
  <si>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</si>
  <si>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</si>
  <si>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</si>
  <si>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</si>
  <si>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</si>
  <si>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</si>
  <si>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</si>
  <si>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</si>
  <si>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</si>
  <si>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</si>
  <si>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</si>
  <si>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</si>
  <si>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</si>
  <si>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</si>
  <si>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</si>
  <si>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</si>
  <si>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</si>
  <si>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</si>
  <si>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</si>
  <si>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</si>
  <si>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</si>
  <si>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</si>
  <si>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</si>
  <si>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</si>
  <si>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</si>
  <si>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</si>
  <si>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</si>
  <si>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</si>
  <si>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</si>
  <si>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</si>
  <si>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</si>
  <si>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</si>
  <si>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</si>
  <si>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</si>
  <si>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</si>
  <si>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</si>
  <si>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</si>
  <si>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</si>
  <si>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</si>
  <si>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</si>
  <si>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</si>
  <si>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</si>
  <si>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</si>
  <si>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</si>
  <si>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</si>
  <si>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</si>
  <si>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</si>
  <si>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</si>
  <si>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</si>
  <si>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</si>
  <si>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</si>
  <si>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</si>
  <si>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</si>
  <si>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</si>
  <si>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</si>
  <si>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</si>
  <si>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</si>
  <si>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</si>
  <si>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</si>
  <si>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</si>
  <si>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</si>
  <si>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</si>
  <si>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</si>
  <si>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</si>
  <si>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</si>
  <si>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</si>
  <si>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</si>
  <si>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</si>
  <si>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</si>
  <si>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</si>
  <si>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</si>
  <si>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</si>
  <si>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</si>
  <si>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</si>
  <si>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</si>
  <si>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</si>
  <si>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</si>
  <si>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</si>
  <si>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</si>
  <si>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</si>
  <si>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</si>
  <si>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</si>
  <si>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</si>
  <si>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</si>
  <si>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</si>
  <si>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</si>
  <si>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</si>
  <si>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</si>
  <si>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</si>
  <si>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</si>
  <si>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</si>
  <si>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</si>
  <si>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</si>
  <si>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</si>
  <si>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</si>
  <si>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</si>
  <si>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</si>
  <si>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</si>
  <si>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</si>
  <si>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</si>
  <si>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</si>
  <si>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</si>
  <si>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</si>
  <si>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</si>
  <si>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</si>
  <si>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</si>
  <si>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</si>
  <si>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</si>
  <si>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</si>
  <si>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</si>
  <si>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</si>
  <si>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</si>
  <si>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</si>
  <si>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</si>
  <si>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</si>
  <si>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</si>
  <si>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</si>
  <si>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</si>
  <si>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</si>
  <si>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</si>
  <si>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</si>
  <si>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</si>
  <si>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</si>
  <si>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</si>
  <si>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</si>
  <si>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</si>
  <si>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</si>
  <si>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</si>
  <si>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</si>
  <si>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</si>
  <si>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</si>
  <si>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</si>
  <si>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</si>
  <si>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</si>
  <si>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</si>
  <si>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</si>
  <si>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</si>
  <si>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</si>
  <si>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</si>
  <si>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</si>
  <si>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</si>
  <si>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</si>
  <si>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</si>
  <si>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</si>
  <si>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</si>
  <si>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</si>
  <si>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</si>
  <si>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</si>
  <si>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</si>
  <si>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</si>
  <si>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</si>
  <si>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</si>
  <si>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</si>
  <si>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</si>
  <si>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</si>
  <si>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</si>
  <si>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</si>
  <si>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</si>
  <si>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</si>
  <si>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</si>
  <si>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</si>
  <si>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</si>
  <si>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</si>
  <si>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</si>
  <si>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</si>
  <si>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</si>
  <si>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</si>
  <si>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</si>
  <si>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</si>
  <si>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</si>
  <si>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</si>
  <si>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</si>
  <si>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</si>
  <si>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</si>
  <si>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</si>
  <si>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</si>
  <si>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</si>
  <si>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</si>
  <si>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</si>
  <si>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</si>
  <si>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</si>
  <si>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</si>
  <si>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</si>
  <si>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</si>
  <si>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</si>
  <si>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</si>
  <si>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</si>
  <si>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</si>
  <si>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</si>
  <si>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</si>
  <si>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</si>
  <si>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</si>
  <si>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</si>
  <si>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</si>
  <si>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</si>
  <si>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</si>
  <si>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</si>
  <si>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</si>
  <si>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</si>
  <si>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</si>
  <si>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</si>
  <si>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</si>
  <si>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</si>
  <si>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</si>
  <si>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</si>
  <si>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</si>
  <si>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</si>
  <si>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</si>
  <si>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</si>
  <si>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</si>
  <si>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</si>
  <si>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</si>
  <si>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</si>
  <si>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</si>
  <si>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</si>
  <si>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</si>
  <si>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</si>
  <si>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</si>
  <si>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</si>
  <si>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</si>
  <si>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</si>
  <si>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</si>
  <si>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</si>
  <si>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</si>
  <si>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</si>
  <si>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</si>
  <si>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</si>
  <si>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</si>
  <si>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</si>
  <si>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</si>
  <si>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</si>
  <si>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</si>
  <si>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</si>
  <si>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</si>
  <si>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</si>
  <si>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</si>
  <si>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</si>
  <si>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</si>
  <si>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</si>
  <si>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</si>
  <si>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</si>
  <si>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</si>
  <si>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</si>
  <si>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</si>
  <si>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</si>
  <si>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</si>
  <si>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</si>
  <si>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</si>
  <si>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</si>
  <si>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</si>
  <si>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</si>
  <si>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</si>
  <si>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</si>
  <si>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</si>
  <si>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</si>
  <si>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</si>
  <si>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</si>
  <si>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</si>
  <si>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</si>
  <si>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</si>
  <si>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</si>
  <si>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</si>
  <si>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</si>
  <si>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</si>
  <si>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</si>
  <si>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</si>
  <si>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</si>
  <si>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</si>
  <si>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</si>
  <si>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</si>
  <si>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</si>
  <si>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</si>
  <si>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</si>
  <si>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</si>
  <si>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</si>
  <si>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</si>
  <si>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</si>
  <si>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</si>
  <si>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</si>
  <si>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</si>
  <si>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</si>
  <si>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</si>
  <si>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</si>
  <si>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</si>
  <si>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</si>
  <si>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</si>
  <si>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</si>
  <si>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</si>
  <si>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</si>
  <si>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</si>
  <si>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</si>
  <si>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</si>
  <si>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</si>
  <si>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</si>
  <si>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</si>
  <si>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</si>
  <si>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</si>
  <si>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</si>
  <si>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</si>
  <si>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</si>
  <si>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</si>
  <si>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</si>
  <si>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</si>
  <si>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</si>
  <si>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</si>
  <si>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</si>
  <si>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</si>
  <si>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</si>
  <si>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</si>
  <si>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</si>
  <si>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</si>
  <si>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</si>
  <si>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</si>
  <si>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</si>
  <si>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</si>
  <si>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</si>
  <si>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</si>
  <si>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</si>
  <si>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</si>
  <si>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</si>
  <si>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</si>
  <si>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</si>
  <si>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</si>
  <si>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</si>
  <si>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</si>
  <si>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</si>
  <si>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</si>
  <si>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</si>
  <si>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</si>
  <si>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</si>
  <si>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</si>
  <si>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</si>
  <si>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</si>
  <si>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</si>
  <si>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</si>
  <si>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</si>
  <si>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</si>
  <si>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</si>
  <si>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</si>
  <si>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</si>
  <si>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</si>
  <si>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</si>
  <si>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</si>
  <si>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</si>
  <si>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</si>
  <si>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</si>
  <si>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</si>
  <si>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</si>
  <si>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</si>
  <si>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</si>
  <si>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</si>
  <si>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</si>
  <si>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</si>
  <si>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</si>
  <si>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</si>
  <si>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</si>
  <si>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</si>
  <si>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</si>
  <si>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</si>
  <si>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</si>
  <si>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</si>
  <si>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</si>
  <si>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</si>
  <si>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</si>
  <si>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</si>
  <si>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</si>
  <si>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</si>
  <si>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</si>
  <si>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</si>
  <si>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</si>
  <si>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</si>
  <si>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</si>
  <si>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</si>
  <si>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</si>
  <si>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</si>
  <si>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</si>
  <si>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</si>
  <si>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</si>
  <si>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</si>
  <si>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</si>
  <si>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</si>
  <si>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</si>
  <si>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</si>
  <si>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</si>
  <si>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</si>
  <si>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</si>
  <si>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</si>
  <si>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</si>
  <si>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</si>
  <si>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</si>
  <si>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</si>
  <si>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</si>
  <si>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</si>
  <si>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</si>
  <si>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</si>
  <si>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</si>
  <si>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</si>
  <si>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</si>
  <si>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</si>
  <si>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</si>
  <si>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</si>
  <si>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</si>
  <si>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</si>
  <si>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</si>
  <si>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</si>
  <si>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</si>
  <si>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</si>
  <si>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</si>
  <si>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</si>
  <si>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</si>
  <si>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</si>
  <si>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</si>
  <si>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</si>
  <si>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</si>
  <si>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</si>
  <si>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</si>
  <si>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</si>
  <si>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</si>
  <si>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</si>
  <si>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</si>
  <si>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</si>
  <si>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</si>
  <si>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</si>
  <si>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</si>
  <si>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</si>
  <si>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</si>
  <si>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</si>
  <si>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</si>
  <si>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</si>
  <si>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</si>
  <si>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</si>
  <si>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</si>
  <si>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</si>
  <si>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</si>
  <si>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</si>
  <si>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</si>
  <si>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</si>
  <si>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</si>
  <si>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</si>
  <si>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</si>
  <si>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</si>
  <si>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</si>
  <si>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</si>
  <si>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</si>
  <si>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</si>
  <si>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</si>
  <si>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</si>
  <si>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</si>
  <si>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</si>
  <si>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</si>
  <si>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</si>
  <si>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</si>
  <si>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</si>
  <si>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</si>
  <si>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</si>
  <si>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</si>
  <si>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</si>
  <si>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</si>
  <si>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</si>
  <si>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</si>
  <si>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</si>
  <si>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</si>
  <si>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</si>
  <si>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</si>
  <si>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</si>
  <si>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</si>
  <si>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</si>
  <si>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</si>
  <si>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</si>
  <si>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</si>
  <si>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</si>
  <si>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</si>
  <si>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</si>
  <si>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</si>
  <si>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</si>
  <si>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</si>
  <si>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</si>
  <si>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</si>
  <si>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</si>
  <si>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</si>
  <si>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</si>
  <si>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</si>
  <si>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</si>
  <si>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</si>
  <si>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</si>
  <si>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</si>
  <si>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</si>
  <si>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</si>
  <si>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</si>
  <si>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</si>
  <si>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</si>
  <si>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</si>
  <si>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</si>
  <si>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</si>
  <si>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</si>
  <si>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</si>
  <si>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</si>
  <si>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</si>
  <si>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</si>
  <si>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</si>
  <si>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</si>
  <si>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</si>
  <si>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</si>
  <si>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</si>
  <si>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</si>
  <si>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</si>
  <si>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</si>
  <si>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</si>
  <si>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</si>
  <si>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</si>
  <si>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</si>
  <si>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</si>
  <si>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</si>
  <si>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</si>
  <si>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</si>
  <si>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</si>
  <si>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</si>
  <si>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</si>
  <si>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</si>
  <si>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</si>
  <si>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</si>
  <si>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</si>
  <si>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</si>
  <si>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</si>
  <si>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</si>
  <si>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</si>
  <si>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</si>
  <si>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</si>
  <si>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</si>
  <si>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</si>
  <si>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</si>
  <si>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</si>
  <si>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</si>
  <si>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</si>
  <si>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</si>
  <si>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</si>
  <si>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</si>
  <si>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</si>
  <si>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</si>
  <si>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</si>
  <si>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</si>
  <si>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</si>
  <si>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</si>
  <si>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</si>
  <si>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</si>
  <si>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</si>
  <si>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</si>
  <si>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</si>
  <si>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</si>
  <si>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</si>
  <si>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</si>
  <si>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</si>
  <si>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</si>
  <si>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</si>
  <si>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</si>
  <si>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</si>
  <si>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</si>
  <si>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</si>
  <si>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</si>
  <si>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</si>
  <si>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</si>
  <si>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</si>
  <si>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</si>
  <si>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</si>
  <si>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</si>
  <si>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</si>
  <si>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</si>
  <si>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</si>
  <si>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</si>
  <si>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</si>
  <si>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</si>
  <si>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</si>
  <si>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</si>
  <si>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</si>
  <si>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</si>
  <si>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</si>
  <si>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</si>
  <si>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</si>
  <si>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</si>
  <si>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</si>
  <si>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</si>
  <si>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</si>
  <si>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</si>
  <si>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</si>
  <si>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</si>
  <si>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</si>
  <si>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</si>
  <si>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</si>
  <si>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</si>
  <si>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</si>
  <si>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</si>
  <si>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</si>
  <si>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</si>
  <si>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</si>
  <si>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</si>
  <si>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</si>
  <si>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</si>
  <si>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</si>
  <si>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</si>
  <si>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</si>
  <si>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</si>
  <si>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</si>
  <si>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</si>
  <si>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</si>
  <si>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</si>
  <si>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</si>
  <si>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</si>
  <si>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</si>
  <si>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</si>
  <si>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</si>
  <si>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</si>
  <si>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</si>
  <si>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</si>
  <si>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</si>
  <si>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</si>
  <si>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</si>
  <si>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</si>
  <si>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</si>
  <si>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</si>
  <si>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</si>
  <si>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</si>
  <si>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</si>
  <si>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</si>
  <si>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</si>
  <si>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</si>
  <si>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</si>
  <si>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</si>
  <si>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</si>
  <si>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</si>
  <si>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</si>
  <si>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</si>
  <si>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</si>
  <si>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</si>
  <si>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</si>
  <si>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</si>
  <si>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</si>
  <si>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</si>
  <si>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</si>
  <si>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</si>
  <si>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</si>
  <si>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</si>
  <si>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</si>
  <si>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</si>
  <si>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</si>
  <si>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</si>
  <si>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</si>
  <si>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</si>
  <si>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</si>
  <si>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</si>
  <si>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</si>
  <si>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</si>
  <si>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</si>
  <si>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</si>
  <si>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</si>
  <si>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</si>
  <si>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</si>
  <si>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</si>
  <si>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</si>
  <si>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</si>
  <si>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</si>
  <si>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</si>
  <si>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</si>
  <si>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</si>
  <si>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</si>
  <si>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</si>
  <si>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</si>
  <si>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</si>
  <si>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</si>
  <si>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</si>
  <si>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</si>
  <si>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</si>
  <si>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</si>
  <si>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</si>
  <si>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</si>
  <si>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</si>
  <si>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</si>
  <si>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</si>
  <si>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</si>
  <si>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</si>
  <si>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</si>
  <si>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</si>
  <si>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</si>
  <si>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</si>
  <si>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</si>
  <si>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</si>
  <si>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</si>
  <si>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</si>
  <si>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</si>
  <si>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</si>
  <si>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</si>
  <si>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</si>
  <si>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</si>
  <si>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</si>
  <si>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</si>
  <si>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</si>
  <si>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</si>
  <si>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</si>
  <si>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</si>
  <si>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</si>
  <si>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</si>
  <si>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</si>
  <si>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</si>
  <si>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</si>
  <si>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</si>
  <si>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</si>
  <si>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</si>
  <si>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</si>
  <si>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</si>
  <si>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</si>
  <si>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</si>
  <si>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</si>
  <si>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</si>
  <si>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</si>
  <si>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</si>
  <si>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</si>
  <si>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</si>
  <si>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</si>
  <si>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</si>
  <si>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</si>
  <si>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</si>
  <si>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</si>
  <si>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</si>
  <si>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</si>
  <si>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</si>
  <si>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</si>
  <si>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</si>
  <si>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</si>
  <si>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</si>
  <si>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</si>
  <si>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</si>
  <si>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</si>
  <si>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</si>
  <si>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</si>
  <si>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</si>
  <si>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</si>
  <si>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</si>
  <si>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</si>
  <si>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</si>
  <si>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</si>
  <si>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</si>
  <si>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</si>
  <si>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</si>
  <si>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</si>
  <si>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</si>
  <si>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</si>
  <si>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</si>
  <si>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</si>
  <si>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</si>
  <si>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</si>
  <si>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</si>
  <si>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</si>
  <si>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</si>
  <si>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</si>
  <si>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</si>
  <si>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</si>
  <si>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</si>
  <si>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</si>
  <si>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</si>
  <si>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</si>
  <si>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</si>
  <si>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</si>
  <si>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</si>
  <si>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</si>
  <si>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</si>
  <si>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</si>
  <si>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</si>
  <si>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</si>
  <si>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</si>
  <si>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</si>
  <si>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</si>
  <si>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</si>
  <si>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</si>
  <si>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</si>
  <si>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</si>
  <si>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</si>
  <si>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</si>
  <si>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</si>
  <si>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</si>
  <si>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</si>
  <si>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</si>
  <si>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</si>
  <si>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</si>
  <si>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</si>
  <si>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</si>
  <si>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</si>
  <si>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</si>
  <si>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</si>
  <si>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</si>
  <si>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</si>
  <si>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</si>
  <si>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</si>
  <si>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</si>
  <si>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</si>
  <si>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</si>
  <si>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</si>
  <si>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</si>
  <si>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</si>
  <si>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</si>
  <si>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</si>
  <si>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</si>
  <si>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</si>
  <si>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</si>
  <si>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</si>
  <si>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</si>
  <si>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</si>
  <si>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</si>
  <si>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</si>
  <si>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</si>
  <si>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</si>
  <si>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</si>
  <si>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</si>
  <si>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</si>
  <si>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</si>
  <si>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</si>
  <si>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</si>
  <si>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</si>
  <si>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</si>
  <si>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</si>
  <si>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</si>
  <si>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</si>
  <si>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</si>
  <si>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</si>
  <si>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</si>
  <si>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</si>
  <si>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</si>
  <si>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</si>
  <si>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</si>
  <si>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</si>
  <si>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</si>
  <si>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</si>
  <si>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</si>
  <si>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</si>
  <si>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</si>
  <si>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</si>
  <si>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</si>
  <si>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</si>
  <si>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</si>
  <si>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</si>
  <si>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</si>
  <si>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</si>
  <si>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</si>
  <si>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</si>
  <si>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</si>
  <si>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</si>
  <si>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</si>
  <si>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</si>
  <si>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</si>
  <si>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</si>
  <si>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</si>
  <si>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</si>
  <si>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</si>
  <si>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</si>
  <si>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</si>
  <si>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</si>
  <si>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</si>
  <si>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</si>
  <si>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</si>
  <si>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</si>
  <si>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</si>
  <si>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</si>
  <si>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</si>
  <si>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</si>
  <si>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</si>
  <si>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</si>
  <si>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</si>
  <si>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</si>
  <si>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</si>
  <si>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</si>
  <si>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</si>
  <si>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</si>
  <si>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</si>
  <si>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</si>
  <si>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</si>
  <si>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</si>
  <si>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</si>
  <si>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</si>
  <si>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</si>
  <si>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</si>
  <si>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</si>
  <si>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</si>
  <si>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</si>
  <si>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</si>
  <si>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</si>
  <si>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</si>
  <si>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</si>
  <si>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</si>
  <si>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</si>
  <si>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</si>
  <si>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</si>
  <si>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</si>
  <si>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</si>
  <si>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</si>
  <si>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</si>
  <si>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</si>
  <si>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</si>
  <si>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</si>
  <si>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</si>
  <si>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</si>
  <si>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</si>
  <si>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</si>
  <si>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</si>
  <si>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</si>
  <si>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</si>
  <si>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</si>
  <si>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</si>
  <si>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</si>
  <si>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</si>
  <si>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</si>
  <si>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</si>
  <si>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</si>
  <si>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</si>
  <si>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</si>
  <si>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</si>
  <si>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</si>
  <si>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</si>
  <si>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</si>
  <si>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</si>
  <si>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</si>
  <si>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</si>
  <si>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</si>
  <si>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</si>
  <si>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</si>
  <si>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</si>
  <si>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</si>
  <si>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</si>
  <si>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</si>
  <si>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</si>
  <si>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</si>
  <si>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</si>
  <si>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</si>
  <si>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</si>
  <si>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</si>
  <si>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</si>
  <si>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</si>
  <si>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</si>
  <si>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</si>
  <si>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</si>
  <si>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</si>
  <si>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</si>
  <si>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</si>
  <si>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</si>
  <si>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</si>
  <si>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</si>
  <si>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</si>
  <si>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</si>
  <si>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</si>
  <si>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</si>
  <si>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</si>
  <si>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</si>
  <si>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</si>
  <si>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</si>
  <si>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</si>
  <si>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</si>
  <si>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</si>
  <si>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</si>
  <si>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</si>
  <si>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</si>
  <si>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</si>
  <si>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</si>
  <si>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</si>
  <si>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</si>
  <si>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</si>
  <si>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</si>
  <si>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</si>
  <si>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</si>
  <si>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</si>
  <si>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</si>
  <si>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</si>
  <si>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</si>
  <si>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</si>
  <si>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</si>
  <si>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</si>
  <si>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</si>
  <si>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</si>
  <si>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</si>
  <si>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</si>
  <si>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</si>
  <si>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</si>
  <si>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</si>
  <si>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</si>
  <si>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</si>
  <si>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</si>
  <si>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</si>
  <si>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</si>
  <si>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</si>
  <si>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</si>
  <si>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</si>
  <si>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</si>
  <si>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</si>
  <si>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</si>
  <si>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</si>
  <si>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</si>
  <si>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</si>
  <si>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</si>
  <si>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</si>
  <si>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</si>
  <si>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</si>
  <si>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</si>
  <si>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</si>
  <si>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</si>
  <si>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</si>
  <si>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</si>
  <si>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</si>
  <si>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</si>
  <si>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</si>
  <si>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</si>
  <si>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</si>
  <si>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</si>
  <si>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</si>
  <si>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</si>
  <si>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</si>
  <si>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</si>
  <si>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</si>
  <si>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</si>
  <si>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</si>
  <si>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</si>
  <si>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</si>
  <si>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</si>
  <si>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</si>
  <si>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</si>
  <si>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</si>
  <si>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</si>
  <si>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</si>
  <si>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</si>
  <si>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</si>
  <si>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</si>
  <si>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</si>
  <si>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</si>
  <si>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</si>
  <si>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</si>
  <si>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</si>
  <si>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</si>
  <si>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</si>
  <si>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</si>
  <si>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</si>
  <si>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</si>
  <si>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</si>
  <si>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</si>
  <si>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</si>
  <si>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</si>
  <si>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</si>
  <si>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</si>
  <si>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</si>
  <si>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</si>
  <si>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</si>
  <si>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</si>
  <si>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</si>
  <si>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</si>
  <si>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</si>
  <si>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</si>
  <si>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</si>
  <si>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</si>
  <si>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</si>
  <si>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</si>
  <si>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</si>
  <si>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</si>
  <si>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</si>
  <si>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</si>
  <si>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</si>
  <si>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</si>
  <si>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</si>
  <si>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</si>
  <si>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</si>
  <si>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</si>
  <si>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</si>
  <si>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</si>
  <si>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</si>
  <si>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</si>
  <si>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</si>
  <si>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</si>
  <si>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</si>
  <si>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</si>
  <si>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</si>
  <si>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</si>
  <si>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</si>
  <si>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</si>
  <si>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</si>
  <si>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</si>
  <si>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</si>
  <si>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</si>
  <si>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</si>
  <si>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</si>
  <si>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</si>
  <si>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</si>
  <si>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</si>
  <si>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</si>
  <si>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</si>
  <si>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</si>
  <si>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</si>
  <si>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</si>
  <si>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</si>
  <si>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</si>
  <si>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</si>
  <si>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</si>
  <si>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</si>
  <si>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</si>
  <si>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</si>
  <si>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</si>
  <si>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</si>
  <si>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</si>
  <si>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</si>
  <si>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</si>
  <si>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</si>
  <si>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</si>
  <si>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</si>
  <si>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</si>
  <si>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</si>
  <si>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</si>
  <si>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</si>
  <si>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</si>
  <si>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</si>
  <si>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</si>
  <si>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</si>
  <si>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</si>
  <si>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</si>
  <si>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</si>
  <si>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</si>
  <si>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</si>
  <si>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</si>
  <si>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</si>
  <si>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</si>
  <si>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</si>
  <si>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</si>
  <si>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</si>
  <si>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</si>
  <si>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</si>
  <si>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</si>
  <si>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</si>
  <si>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</si>
  <si>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</si>
  <si>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</si>
  <si>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</si>
  <si>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</si>
  <si>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</si>
  <si>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</si>
  <si>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</si>
  <si>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</si>
  <si>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</si>
  <si>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</si>
  <si>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</si>
  <si>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</si>
  <si>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</si>
  <si>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</si>
  <si>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</si>
  <si>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</si>
  <si>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</si>
  <si>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</si>
  <si>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</si>
  <si>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</si>
  <si>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</si>
  <si>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</si>
  <si>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</si>
  <si>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</si>
  <si>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</si>
  <si>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</si>
  <si>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</si>
  <si>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</si>
  <si>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</si>
  <si>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</si>
  <si>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</si>
  <si>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</si>
  <si>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</si>
  <si>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</si>
  <si>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</si>
  <si>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</si>
  <si>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</si>
  <si>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</si>
  <si>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</si>
  <si>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</si>
  <si>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</si>
  <si>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</si>
  <si>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</si>
  <si>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</si>
  <si>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</si>
  <si>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</si>
  <si>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</si>
  <si>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</si>
  <si>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</si>
  <si>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</si>
  <si>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</si>
  <si>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</si>
  <si>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</si>
  <si>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</si>
  <si>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</si>
  <si>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</si>
  <si>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</si>
  <si>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</si>
  <si>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</si>
  <si>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</si>
  <si>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</si>
  <si>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</si>
  <si>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</si>
  <si>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</si>
  <si>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</si>
  <si>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</si>
  <si>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</si>
  <si>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</si>
  <si>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</si>
  <si>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</si>
  <si>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</si>
  <si>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</si>
  <si>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</si>
  <si>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</si>
  <si>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</si>
  <si>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</si>
  <si>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</si>
  <si>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</si>
  <si>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</si>
  <si>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</si>
  <si>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</si>
  <si>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</si>
  <si>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</si>
  <si>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</si>
  <si>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</si>
  <si>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</si>
  <si>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</si>
  <si>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</si>
  <si>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</si>
  <si>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</si>
  <si>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</si>
  <si>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</si>
  <si>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</si>
  <si>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</si>
  <si>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</si>
  <si>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</si>
  <si>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</si>
  <si>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</si>
  <si>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</si>
  <si>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</si>
  <si>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</si>
  <si>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</si>
  <si>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</si>
  <si>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</si>
  <si>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</si>
  <si>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</si>
  <si>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</si>
  <si>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</si>
  <si>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</si>
  <si>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</si>
  <si>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</si>
  <si>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</si>
  <si>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</si>
  <si>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</si>
  <si>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</si>
  <si>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</si>
  <si>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</si>
  <si>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</si>
  <si>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</si>
  <si>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</si>
  <si>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</si>
  <si>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</si>
  <si>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</si>
  <si>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</si>
  <si>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</si>
  <si>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</si>
  <si>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</si>
  <si>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</si>
  <si>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</si>
  <si>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</si>
  <si>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</si>
  <si>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</si>
  <si>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</si>
  <si>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</si>
  <si>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</si>
  <si>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</si>
  <si>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</si>
  <si>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</si>
  <si>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</si>
  <si>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</si>
  <si>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</si>
  <si>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</si>
  <si>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</si>
  <si>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</si>
  <si>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</si>
  <si>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</si>
  <si>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</si>
  <si>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</si>
  <si>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</si>
  <si>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</si>
  <si>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</si>
  <si>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</si>
  <si>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</si>
  <si>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</si>
  <si>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</si>
  <si>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</si>
  <si>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</si>
  <si>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</si>
  <si>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</si>
  <si>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</si>
  <si>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</si>
  <si>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</si>
  <si>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</si>
  <si>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</si>
  <si>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</si>
  <si>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</si>
  <si>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</si>
  <si>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</si>
  <si>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</si>
  <si>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</si>
  <si>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</si>
  <si>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</si>
  <si>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</si>
  <si>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</si>
  <si>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</si>
  <si>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</si>
  <si>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</si>
  <si>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</si>
  <si>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</si>
  <si>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</si>
  <si>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</si>
  <si>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</si>
  <si>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</si>
  <si>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</si>
  <si>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</si>
  <si>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</si>
  <si>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</si>
  <si>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</si>
  <si>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</si>
  <si>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</si>
  <si>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</si>
  <si>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</si>
  <si>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</si>
  <si>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</si>
  <si>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</si>
  <si>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</si>
  <si>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</si>
  <si>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</si>
  <si>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</si>
  <si>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</si>
  <si>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</si>
  <si>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</si>
  <si>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</si>
  <si>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</si>
  <si>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</si>
  <si>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</si>
  <si>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</si>
  <si>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</si>
  <si>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</si>
  <si>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</si>
  <si>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</si>
  <si>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</si>
  <si>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</si>
  <si>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</si>
  <si>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</si>
  <si>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</si>
  <si>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</si>
  <si>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</si>
  <si>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</si>
  <si>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</si>
  <si>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</si>
  <si>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</si>
  <si>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</si>
  <si>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</si>
  <si>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</si>
  <si>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</si>
  <si>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</si>
  <si>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</si>
  <si>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</si>
  <si>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</si>
  <si>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</si>
  <si>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</si>
  <si>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</si>
  <si>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</si>
  <si>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</si>
  <si>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</si>
  <si>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</si>
  <si>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</si>
  <si>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</si>
  <si>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</si>
  <si>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</si>
  <si>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</si>
  <si>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</si>
  <si>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</si>
  <si>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</si>
  <si>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</si>
  <si>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</si>
  <si>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</si>
  <si>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</si>
  <si>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</si>
  <si>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</si>
  <si>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</si>
  <si>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</si>
  <si>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</si>
  <si>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</si>
  <si>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</si>
  <si>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</si>
  <si>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</si>
  <si>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</si>
  <si>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</si>
  <si>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</si>
  <si>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</si>
  <si>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</si>
  <si>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</si>
  <si>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</si>
  <si>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</si>
  <si>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</si>
  <si>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</si>
  <si>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</si>
  <si>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</si>
  <si>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</si>
  <si>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</si>
  <si>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</si>
  <si>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</si>
  <si>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</si>
  <si>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</si>
  <si>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</si>
  <si>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</si>
  <si>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</si>
  <si>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</si>
  <si>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</si>
  <si>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</si>
  <si>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</si>
  <si>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</si>
  <si>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</si>
  <si>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</si>
  <si>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</si>
  <si>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</si>
  <si>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</si>
  <si>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</si>
  <si>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</si>
  <si>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</si>
  <si>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</si>
  <si>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</si>
  <si>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</si>
  <si>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</si>
  <si>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</si>
  <si>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</si>
  <si>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</si>
  <si>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</si>
  <si>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</si>
  <si>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</si>
  <si>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</si>
  <si>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</si>
  <si>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</si>
  <si>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</si>
  <si>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</si>
  <si>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</si>
  <si>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</si>
  <si>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</si>
  <si>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</si>
  <si>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</si>
  <si>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</si>
  <si>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</si>
  <si>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</si>
  <si>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</si>
  <si>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</si>
  <si>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</si>
  <si>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</si>
  <si>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</si>
  <si>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</si>
  <si>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</si>
  <si>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</si>
  <si>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</si>
  <si>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</si>
  <si>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</si>
  <si>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</si>
  <si>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</si>
  <si>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</si>
  <si>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</si>
  <si>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</si>
  <si>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</si>
  <si>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</si>
  <si>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</si>
  <si>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</si>
  <si>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</si>
  <si>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</si>
  <si>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</si>
  <si>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</si>
  <si>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</si>
  <si>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</si>
  <si>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</si>
  <si>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</si>
  <si>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</si>
  <si>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</si>
  <si>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</si>
  <si>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</si>
  <si>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</si>
  <si>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</si>
  <si>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</si>
  <si>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</si>
  <si>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</si>
  <si>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</si>
  <si>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</si>
  <si>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</si>
  <si>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</si>
  <si>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</si>
  <si>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</si>
  <si>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</si>
  <si>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</si>
  <si>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</si>
  <si>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</si>
  <si>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</si>
  <si>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</si>
  <si>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</si>
  <si>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</si>
  <si>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</si>
  <si>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</si>
  <si>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</si>
  <si>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</si>
  <si>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</si>
  <si>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</si>
  <si>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</si>
  <si>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</si>
  <si>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</si>
  <si>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</si>
  <si>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</si>
  <si>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</si>
  <si>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</si>
  <si>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</si>
  <si>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</si>
  <si>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</si>
  <si>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</si>
  <si>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</si>
  <si>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</si>
  <si>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</si>
  <si>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</si>
  <si>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</si>
  <si>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</si>
  <si>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</si>
  <si>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</si>
  <si>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</si>
  <si>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</si>
  <si>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</si>
  <si>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</si>
  <si>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</si>
  <si>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</si>
  <si>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</si>
  <si>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</si>
  <si>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</si>
  <si>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</si>
  <si>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</si>
  <si>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</si>
  <si>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</si>
  <si>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</si>
  <si>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</si>
  <si>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</si>
  <si>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</si>
  <si>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</si>
  <si>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</si>
  <si>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</si>
  <si>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</si>
  <si>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</si>
  <si>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</si>
  <si>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</si>
  <si>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</si>
  <si>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</si>
  <si>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</si>
  <si>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</si>
  <si>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</si>
  <si>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</si>
  <si>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</si>
  <si>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</si>
  <si>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</si>
  <si>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</si>
  <si>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</si>
  <si>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</si>
  <si>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</si>
  <si>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</si>
  <si>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</si>
  <si>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</si>
  <si>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</si>
  <si>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</si>
  <si>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</si>
  <si>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</si>
  <si>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</si>
  <si>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</si>
  <si>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</si>
  <si>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</si>
  <si>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</si>
  <si>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</si>
  <si>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</si>
  <si>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</si>
  <si>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</si>
  <si>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</si>
  <si>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</si>
  <si>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</si>
  <si>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</si>
  <si>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</si>
  <si>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</si>
  <si>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</si>
  <si>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</si>
  <si>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</si>
  <si>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</si>
  <si>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</si>
  <si>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</si>
  <si>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</si>
  <si>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</si>
  <si>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</si>
  <si>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</si>
  <si>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</si>
  <si>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</si>
  <si>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</si>
  <si>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</si>
  <si>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</si>
  <si>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</si>
  <si>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</si>
  <si>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</si>
  <si>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</si>
  <si>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</si>
  <si>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</si>
  <si>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</si>
  <si>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</si>
  <si>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</si>
  <si>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</si>
  <si>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</si>
  <si>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</si>
  <si>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</si>
  <si>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</si>
  <si>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</si>
  <si>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</si>
  <si>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</si>
  <si>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</si>
  <si>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</si>
  <si>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</si>
  <si>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</si>
  <si>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</si>
  <si>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</si>
  <si>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</si>
  <si>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</si>
  <si>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</si>
  <si>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</si>
  <si>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</si>
  <si>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</si>
  <si>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</si>
  <si>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</si>
  <si>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</si>
  <si>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</si>
  <si>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</si>
  <si>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</si>
  <si>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</si>
  <si>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</si>
  <si>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</si>
  <si>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</si>
  <si>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</si>
  <si>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</si>
  <si>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</si>
  <si>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</si>
  <si>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</si>
  <si>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</si>
  <si>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</si>
  <si>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</si>
  <si>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</si>
  <si>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</si>
  <si>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</si>
  <si>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</si>
  <si>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</si>
  <si>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</si>
  <si>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</si>
  <si>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</si>
  <si>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</si>
  <si>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</si>
  <si>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</si>
  <si>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</si>
  <si>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</si>
  <si>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</si>
  <si>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</si>
  <si>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</si>
  <si>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</si>
  <si>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</si>
  <si>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</si>
  <si>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</si>
  <si>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</si>
  <si>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</si>
  <si>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</si>
  <si>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</si>
  <si>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</si>
  <si>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</si>
  <si>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</si>
  <si>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</si>
  <si>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</si>
  <si>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</si>
  <si>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</si>
  <si>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</si>
  <si>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</si>
  <si>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</si>
  <si>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</si>
  <si>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</si>
  <si>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</si>
  <si>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</si>
  <si>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</si>
  <si>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</si>
  <si>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</si>
  <si>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</si>
  <si>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</si>
  <si>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</si>
  <si>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</si>
  <si>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</si>
  <si>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</si>
  <si>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</si>
  <si>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</si>
  <si>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</si>
  <si>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</si>
  <si>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</si>
  <si>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</si>
  <si>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</si>
  <si>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</si>
  <si>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</si>
  <si>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</si>
  <si>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</si>
  <si>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</si>
  <si>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</si>
  <si>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</si>
  <si>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</si>
  <si>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</si>
  <si>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</si>
  <si>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</si>
  <si>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</si>
  <si>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</si>
  <si>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</si>
  <si>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</si>
  <si>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</si>
  <si>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</si>
  <si>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</si>
  <si>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</si>
  <si>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</si>
  <si>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</si>
  <si>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</si>
  <si>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</si>
  <si>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</si>
  <si>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</si>
  <si>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</si>
  <si>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</si>
  <si>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</si>
  <si>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</si>
  <si>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</si>
  <si>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</si>
  <si>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</si>
  <si>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</si>
  <si>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</si>
  <si>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</si>
  <si>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</si>
  <si>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</si>
  <si>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</si>
  <si>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</si>
  <si>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</si>
  <si>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</si>
  <si>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</si>
  <si>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</si>
  <si>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</si>
  <si>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</si>
  <si>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</si>
  <si>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</si>
  <si>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</si>
  <si>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</si>
  <si>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</si>
  <si>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</si>
  <si>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</si>
  <si>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</si>
  <si>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</si>
  <si>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</si>
  <si>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</si>
  <si>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</si>
  <si>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</si>
  <si>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</si>
  <si>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</si>
  <si>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</si>
  <si>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</si>
  <si>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</si>
  <si>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</si>
  <si>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</si>
  <si>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</si>
  <si>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</si>
  <si>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</si>
  <si>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</si>
  <si>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</si>
  <si>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</si>
  <si>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</si>
  <si>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</si>
  <si>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</si>
  <si>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</si>
  <si>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</si>
  <si>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</si>
  <si>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</si>
  <si>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</si>
  <si>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</si>
  <si>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</si>
  <si>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</si>
  <si>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</si>
  <si>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</si>
  <si>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</si>
  <si>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</si>
  <si>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</si>
  <si>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</si>
  <si>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</si>
  <si>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</si>
  <si>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</si>
  <si>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</si>
  <si>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</si>
  <si>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</si>
  <si>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</si>
  <si>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</si>
  <si>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</si>
  <si>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</si>
  <si>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</si>
  <si>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</si>
  <si>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</si>
  <si>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</si>
  <si>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</si>
  <si>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</si>
  <si>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</si>
  <si>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</si>
  <si>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</si>
  <si>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</si>
  <si>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</si>
  <si>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</si>
  <si>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</si>
  <si>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</si>
  <si>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</si>
  <si>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</si>
  <si>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</si>
  <si>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</si>
  <si>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</si>
  <si>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</si>
  <si>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</si>
  <si>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</si>
  <si>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</si>
  <si>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</si>
  <si>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</si>
  <si>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</si>
  <si>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</si>
  <si>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</si>
  <si>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</si>
  <si>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</si>
  <si>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</si>
  <si>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</si>
  <si>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</si>
  <si>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</si>
  <si>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</si>
  <si>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</si>
  <si>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</si>
  <si>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</si>
  <si>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</si>
  <si>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</si>
  <si>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</si>
  <si>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</si>
  <si>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</si>
  <si>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</si>
  <si>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</si>
  <si>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</si>
  <si>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</si>
  <si>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</si>
  <si>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</si>
  <si>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</si>
  <si>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</si>
  <si>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</si>
  <si>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</si>
  <si>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</si>
  <si>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</si>
  <si>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</si>
  <si>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</si>
  <si>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</si>
  <si>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</si>
  <si>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</si>
  <si>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</si>
  <si>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</si>
  <si>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</si>
  <si>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</si>
  <si>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</si>
  <si>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</si>
  <si>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</si>
  <si>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</si>
  <si>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</si>
  <si>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</si>
  <si>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</si>
  <si>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</si>
  <si>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</si>
  <si>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</si>
  <si>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</si>
  <si>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</si>
  <si>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</si>
  <si>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</si>
  <si>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</si>
  <si>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</si>
  <si>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</si>
  <si>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</si>
  <si>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</si>
  <si>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</si>
  <si>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</si>
  <si>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</si>
  <si>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</si>
  <si>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</si>
  <si>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</si>
  <si>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</si>
  <si>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</si>
  <si>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</si>
  <si>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</si>
  <si>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</si>
  <si>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</si>
  <si>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</si>
  <si>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</si>
  <si>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</si>
  <si>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</si>
  <si>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</si>
  <si>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</si>
  <si>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</si>
  <si>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</si>
  <si>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</si>
  <si>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</si>
  <si>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</si>
  <si>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</si>
  <si>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</si>
  <si>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</si>
  <si>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</si>
  <si>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</si>
  <si>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</si>
  <si>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</si>
  <si>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</si>
  <si>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</si>
  <si>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</si>
  <si>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</si>
  <si>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</si>
  <si>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</si>
  <si>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</si>
  <si>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</si>
  <si>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</si>
  <si>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</si>
  <si>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</si>
  <si>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</si>
  <si>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</si>
  <si>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</si>
  <si>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</si>
  <si>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</si>
  <si>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</si>
  <si>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</si>
  <si>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</si>
  <si>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</si>
  <si>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</si>
  <si>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</si>
  <si>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</si>
  <si>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</si>
  <si>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</si>
  <si>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</si>
  <si>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</si>
  <si>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</si>
  <si>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</si>
  <si>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</si>
  <si>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</si>
  <si>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</si>
  <si>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</si>
  <si>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</si>
  <si>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</si>
  <si>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</si>
  <si>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</si>
  <si>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</si>
  <si>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</si>
  <si>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</si>
  <si>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</si>
  <si>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</si>
  <si>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</si>
  <si>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</si>
  <si>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</si>
  <si>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</si>
  <si>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</si>
  <si>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</si>
  <si>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</si>
  <si>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</si>
  <si>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</si>
  <si>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</si>
  <si>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</si>
  <si>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</si>
  <si>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</si>
  <si>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</si>
  <si>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</si>
  <si>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</si>
  <si>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</si>
  <si>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</si>
  <si>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</si>
  <si>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</si>
  <si>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</si>
  <si>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</si>
  <si>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</si>
  <si>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</si>
  <si>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</si>
  <si>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</si>
  <si>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</si>
  <si>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</si>
  <si>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</si>
  <si>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</si>
  <si>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</si>
  <si>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</si>
  <si>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</si>
  <si>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</si>
  <si>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</si>
  <si>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</si>
  <si>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</si>
  <si>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</si>
  <si>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</si>
  <si>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</si>
  <si>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</si>
  <si>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</si>
  <si>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</si>
  <si>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</si>
  <si>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</si>
  <si>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</si>
  <si>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</si>
  <si>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</si>
  <si>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</si>
  <si>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</si>
  <si>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</si>
  <si>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</si>
  <si>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</si>
  <si>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</si>
  <si>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</si>
  <si>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</si>
  <si>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</si>
  <si>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</si>
  <si>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</si>
  <si>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</si>
  <si>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</si>
  <si>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</si>
  <si>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</si>
  <si>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</si>
  <si>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</si>
  <si>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</si>
  <si>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</si>
  <si>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</si>
  <si>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</si>
  <si>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</si>
  <si>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</si>
  <si>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</si>
  <si>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</si>
  <si>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</si>
  <si>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</si>
  <si>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</si>
  <si>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</si>
  <si>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</si>
  <si>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</si>
  <si>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</si>
  <si>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</si>
  <si>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</si>
  <si>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</si>
  <si>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</si>
  <si>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</si>
  <si>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</si>
  <si>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</si>
  <si>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</si>
  <si>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</si>
  <si>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</si>
  <si>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</si>
  <si>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</si>
  <si>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</si>
  <si>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</si>
  <si>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</si>
  <si>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</si>
  <si>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</si>
  <si>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</si>
  <si>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</si>
  <si>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</si>
  <si>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</si>
  <si>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</si>
  <si>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</si>
  <si>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</si>
  <si>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</si>
  <si>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</si>
  <si>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</si>
  <si>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</si>
  <si>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</si>
  <si>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</si>
  <si>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</si>
  <si>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</si>
  <si>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</si>
  <si>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</si>
  <si>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</si>
  <si>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</si>
  <si>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</si>
  <si>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</si>
  <si>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</si>
  <si>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</si>
  <si>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</si>
  <si>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</si>
  <si>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</si>
  <si>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</si>
  <si>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</si>
  <si>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</si>
  <si>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</si>
  <si>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</si>
  <si>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</si>
  <si>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</si>
  <si>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</si>
  <si>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</si>
  <si>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</si>
  <si>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</si>
  <si>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</si>
  <si>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</si>
  <si>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</si>
  <si>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</si>
  <si>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</si>
  <si>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</si>
  <si>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</si>
  <si>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</si>
  <si>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</si>
  <si>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</si>
  <si>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</si>
  <si>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</si>
  <si>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</si>
  <si>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</si>
  <si>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</si>
  <si>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</si>
  <si>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</si>
  <si>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</si>
  <si>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</si>
  <si>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</si>
  <si>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</si>
  <si>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</si>
  <si>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</si>
  <si>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</si>
  <si>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</si>
  <si>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</si>
  <si>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</si>
  <si>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</si>
  <si>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</si>
  <si>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</si>
  <si>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</si>
  <si>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</si>
  <si>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</si>
  <si>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</si>
  <si>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</si>
  <si>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</si>
  <si>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</si>
  <si>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</si>
  <si>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</si>
  <si>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</si>
  <si>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</si>
  <si>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</si>
  <si>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</si>
  <si>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</si>
  <si>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</si>
  <si>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</si>
  <si>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</si>
  <si>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</si>
  <si>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</si>
  <si>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</si>
  <si>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</si>
  <si>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</si>
  <si>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</si>
  <si>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</si>
  <si>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</si>
  <si>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</si>
  <si>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</si>
  <si>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</si>
  <si>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</si>
  <si>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</si>
  <si>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</si>
  <si>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</si>
  <si>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</si>
  <si>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</si>
  <si>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</si>
  <si>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</si>
  <si>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</si>
  <si>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</si>
  <si>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</si>
  <si>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</si>
  <si>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</si>
  <si>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</si>
  <si>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</si>
  <si>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</si>
  <si>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</si>
  <si>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</si>
  <si>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</si>
  <si>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</si>
  <si>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</si>
  <si>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</si>
  <si>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</si>
  <si>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</si>
  <si>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</si>
  <si>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</si>
  <si>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</si>
  <si>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</si>
  <si>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</si>
  <si>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</si>
  <si>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</si>
  <si>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</si>
  <si>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</si>
  <si>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</si>
  <si>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</si>
  <si>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</si>
  <si>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</si>
  <si>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</si>
  <si>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</si>
  <si>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</si>
  <si>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</si>
  <si>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</si>
  <si>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</si>
  <si>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</si>
  <si>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</si>
  <si>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</si>
  <si>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</si>
  <si>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</si>
  <si>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</si>
  <si>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</si>
  <si>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</si>
  <si>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</si>
  <si>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</si>
  <si>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</si>
  <si>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</si>
  <si>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</si>
  <si>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</si>
  <si>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</si>
  <si>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</si>
  <si>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</si>
  <si>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</si>
  <si>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</si>
  <si>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</si>
  <si>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</si>
  <si>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</si>
  <si>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</si>
  <si>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</si>
  <si>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</si>
  <si>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</si>
  <si>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</si>
  <si>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</si>
  <si>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</si>
  <si>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</si>
  <si>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</si>
  <si>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</si>
  <si>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</si>
  <si>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</si>
  <si>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</si>
  <si>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</si>
  <si>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</si>
  <si>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</si>
  <si>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</si>
  <si>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</si>
  <si>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</si>
  <si>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</si>
  <si>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</si>
  <si>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</si>
  <si>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</si>
  <si>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</si>
  <si>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</si>
  <si>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</si>
  <si>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</si>
  <si>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</si>
  <si>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</si>
  <si>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</si>
  <si>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</si>
  <si>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</si>
  <si>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</si>
  <si>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</si>
  <si>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</si>
  <si>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</si>
  <si>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</si>
  <si>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</si>
  <si>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</si>
  <si>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</si>
  <si>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</si>
  <si>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</si>
  <si>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</si>
  <si>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</si>
  <si>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</si>
  <si>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</si>
  <si>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</si>
  <si>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</si>
  <si>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</si>
  <si>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</si>
  <si>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</si>
  <si>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</si>
  <si>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</si>
  <si>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</si>
  <si>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</si>
  <si>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</si>
  <si>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</si>
  <si>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</si>
  <si>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</si>
  <si>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</si>
  <si>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</si>
  <si>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</si>
  <si>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</si>
  <si>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</si>
  <si>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</si>
  <si>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</si>
  <si>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</si>
  <si>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</si>
  <si>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</si>
  <si>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</si>
  <si>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</si>
  <si>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</si>
  <si>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</si>
  <si>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</si>
  <si>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</si>
  <si>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</si>
  <si>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</si>
  <si>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</si>
  <si>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</si>
  <si>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</si>
  <si>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</si>
  <si>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</si>
  <si>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</si>
  <si>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</si>
  <si>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</si>
  <si>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</si>
  <si>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</si>
  <si>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</si>
  <si>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</si>
  <si>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</si>
  <si>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</si>
  <si>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</si>
  <si>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</si>
  <si>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</si>
  <si>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</si>
  <si>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</si>
  <si>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</si>
  <si>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</si>
  <si>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</si>
  <si>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</si>
  <si>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</si>
  <si>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</si>
  <si>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</si>
  <si>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</si>
  <si>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</si>
  <si>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</si>
  <si>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</si>
  <si>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</si>
  <si>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</si>
  <si>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</si>
  <si>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</si>
  <si>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</si>
  <si>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</si>
  <si>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</si>
  <si>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</si>
  <si>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</si>
  <si>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</si>
  <si>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</si>
  <si>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</si>
  <si>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</si>
  <si>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</si>
  <si>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</si>
  <si>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</si>
  <si>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</si>
  <si>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</si>
  <si>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</si>
  <si>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</si>
  <si>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</si>
  <si>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</si>
  <si>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</si>
  <si>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</si>
  <si>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</si>
  <si>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</si>
  <si>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</si>
  <si>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</si>
  <si>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</si>
  <si>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</si>
  <si>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</si>
  <si>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</si>
  <si>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</si>
  <si>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</si>
  <si>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</si>
  <si>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</si>
  <si>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</si>
  <si>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</si>
  <si>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</si>
  <si>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</si>
  <si>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</si>
  <si>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</si>
  <si>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</si>
  <si>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</si>
  <si>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</si>
  <si>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</si>
  <si>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</si>
  <si>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</si>
  <si>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</si>
  <si>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</si>
  <si>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</si>
  <si>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</si>
  <si>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</si>
  <si>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</si>
  <si>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</si>
  <si>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</si>
  <si>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</si>
  <si>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</si>
  <si>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</si>
  <si>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</si>
  <si>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</si>
  <si>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</si>
  <si>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</si>
  <si>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</si>
  <si>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</si>
  <si>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</si>
  <si>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</si>
  <si>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</si>
  <si>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</si>
  <si>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</si>
  <si>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</si>
  <si>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</si>
  <si>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</si>
  <si>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</si>
  <si>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</si>
  <si>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</si>
  <si>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</si>
  <si>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</si>
  <si>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</si>
  <si>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</si>
  <si>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</si>
  <si>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</si>
  <si>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</si>
  <si>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</si>
  <si>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</si>
  <si>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</si>
  <si>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</si>
  <si>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</si>
  <si>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</si>
  <si>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</si>
  <si>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</si>
  <si>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</si>
  <si>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</si>
  <si>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</si>
  <si>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</si>
  <si>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</si>
  <si>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</si>
  <si>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</si>
  <si>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</si>
  <si>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</si>
  <si>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</si>
  <si>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</si>
  <si>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</si>
  <si>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</si>
  <si>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</si>
  <si>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</si>
  <si>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</si>
  <si>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</si>
  <si>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</si>
  <si>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</si>
  <si>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</si>
  <si>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</si>
  <si>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</si>
  <si>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</si>
  <si>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</si>
  <si>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</si>
  <si>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</si>
  <si>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</si>
  <si>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</si>
  <si>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</si>
  <si>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</si>
  <si>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</si>
  <si>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</si>
  <si>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</si>
  <si>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</si>
  <si>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</si>
  <si>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</si>
  <si>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</si>
  <si>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</si>
  <si>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</si>
  <si>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</si>
  <si>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</si>
  <si>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</si>
  <si>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</si>
  <si>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</si>
  <si>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</si>
  <si>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</si>
  <si>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</si>
  <si>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</si>
  <si>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</si>
  <si>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</si>
  <si>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</si>
  <si>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</si>
  <si>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</si>
  <si>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</si>
  <si>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</si>
  <si>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</si>
  <si>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</si>
  <si>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</si>
  <si>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</si>
  <si>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</si>
  <si>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</si>
  <si>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</si>
  <si>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</si>
  <si>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</si>
  <si>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</si>
  <si>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</si>
  <si>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</si>
  <si>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</si>
  <si>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</si>
  <si>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</si>
  <si>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</si>
  <si>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</si>
  <si>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</si>
  <si>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</si>
  <si>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</si>
  <si>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</si>
  <si>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</si>
  <si>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</si>
  <si>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</si>
  <si>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</si>
  <si>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</si>
  <si>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</si>
  <si>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</si>
  <si>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</si>
  <si>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</si>
  <si>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</si>
  <si>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</si>
  <si>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</si>
  <si>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</si>
  <si>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</si>
  <si>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</si>
  <si>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</si>
  <si>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</si>
  <si>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</si>
  <si>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</si>
  <si>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</si>
  <si>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</si>
  <si>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</si>
  <si>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</si>
  <si>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</si>
  <si>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</si>
  <si>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</si>
  <si>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</si>
  <si>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</si>
  <si>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</si>
  <si>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</si>
  <si>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</si>
  <si>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</si>
  <si>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</si>
  <si>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</si>
  <si>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</si>
  <si>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</si>
  <si>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</si>
  <si>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</si>
  <si>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</si>
  <si>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</si>
  <si>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</si>
  <si>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</si>
  <si>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</si>
  <si>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</si>
  <si>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</si>
  <si>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</si>
  <si>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</si>
  <si>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</si>
  <si>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</si>
  <si>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</si>
  <si>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</si>
  <si>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</si>
  <si>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</si>
  <si>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</si>
  <si>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</si>
  <si>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</si>
  <si>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</si>
  <si>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</si>
  <si>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</si>
  <si>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</si>
  <si>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</si>
  <si>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</si>
  <si>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</si>
  <si>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</si>
  <si>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</si>
  <si>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</si>
  <si>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</si>
  <si>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</si>
  <si>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</si>
  <si>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</si>
  <si>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</si>
  <si>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</si>
  <si>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</si>
  <si>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</si>
  <si>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</si>
  <si>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</si>
  <si>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</si>
  <si>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</si>
  <si>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</si>
  <si>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</si>
  <si>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</si>
  <si>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</si>
  <si>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</si>
  <si>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</si>
  <si>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</si>
  <si>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</si>
  <si>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</si>
  <si>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</si>
  <si>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</si>
  <si>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</si>
  <si>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</si>
  <si>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</si>
  <si>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</si>
  <si>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</si>
  <si>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</si>
  <si>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</si>
  <si>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</si>
  <si>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</si>
  <si>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</si>
  <si>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</si>
  <si>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</si>
  <si>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</si>
  <si>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</si>
  <si>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</si>
  <si>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</si>
  <si>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</si>
  <si>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</si>
  <si>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</si>
  <si>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</si>
  <si>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</si>
  <si>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</si>
  <si>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</si>
  <si>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</si>
  <si>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</si>
  <si>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</si>
  <si>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</si>
  <si>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</si>
  <si>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</si>
  <si>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</si>
  <si>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</si>
  <si>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</si>
  <si>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</si>
  <si>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</si>
  <si>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</si>
  <si>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</si>
  <si>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</si>
  <si>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</si>
  <si>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</si>
  <si>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</si>
  <si>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</si>
  <si>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</si>
  <si>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</si>
  <si>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</si>
  <si>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</si>
  <si>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</si>
  <si>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</si>
  <si>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</si>
  <si>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</si>
  <si>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</si>
  <si>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</si>
  <si>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</si>
  <si>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</si>
  <si>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</si>
  <si>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</si>
  <si>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</si>
  <si>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</si>
  <si>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</si>
  <si>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</si>
  <si>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</si>
  <si>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</si>
  <si>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</si>
  <si>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</si>
  <si>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</si>
  <si>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</si>
  <si>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</si>
  <si>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</si>
  <si>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</si>
  <si>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</si>
  <si>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</si>
  <si>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</si>
  <si>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</si>
  <si>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</si>
  <si>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</si>
  <si>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</si>
  <si>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</si>
  <si>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</si>
  <si>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</si>
  <si>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</si>
  <si>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</si>
  <si>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</si>
  <si>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</si>
  <si>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</si>
  <si>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</si>
  <si>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</si>
  <si>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</si>
  <si>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</si>
  <si>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</si>
  <si>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</si>
  <si>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</si>
  <si>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</si>
  <si>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</si>
  <si>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</si>
  <si>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</si>
  <si>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</si>
  <si>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</si>
  <si>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</si>
  <si>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</si>
  <si>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</si>
  <si>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</si>
  <si>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</si>
  <si>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</si>
  <si>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</si>
  <si>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</si>
  <si>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</si>
  <si>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</si>
  <si>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</si>
  <si>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</si>
  <si>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</si>
  <si>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</si>
  <si>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</si>
  <si>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</si>
  <si>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</si>
  <si>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</si>
  <si>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</si>
  <si>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</si>
  <si>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</si>
  <si>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</si>
  <si>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</si>
  <si>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</si>
  <si>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</si>
  <si>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</si>
  <si>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</si>
  <si>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</si>
  <si>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</si>
  <si>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</si>
  <si>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</si>
  <si>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</si>
  <si>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</si>
  <si>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</si>
  <si>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</si>
  <si>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</si>
  <si>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</si>
  <si>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</si>
  <si>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</si>
  <si>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</si>
  <si>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</si>
  <si>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</si>
  <si>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</si>
  <si>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</si>
  <si>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</si>
  <si>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</si>
  <si>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</si>
  <si>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</si>
  <si>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</si>
  <si>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</si>
  <si>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</si>
  <si>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</si>
  <si>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</si>
  <si>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</si>
  <si>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</si>
  <si>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</si>
  <si>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</si>
  <si>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</si>
  <si>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</si>
  <si>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</si>
  <si>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</si>
  <si>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</si>
  <si>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</si>
  <si>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</si>
  <si>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</si>
  <si>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</si>
  <si>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</si>
  <si>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</si>
  <si>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</si>
  <si>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</si>
  <si>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</si>
  <si>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</si>
  <si>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</si>
  <si>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</si>
  <si>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</si>
  <si>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</si>
  <si>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</si>
  <si>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</si>
  <si>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</si>
  <si>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</si>
  <si>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</si>
  <si>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</si>
  <si>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</si>
  <si>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</si>
  <si>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</si>
  <si>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</si>
  <si>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</si>
  <si>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</si>
  <si>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</si>
  <si>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</si>
  <si>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</si>
  <si>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</si>
  <si>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</si>
  <si>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</si>
  <si>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</si>
  <si>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</si>
  <si>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</si>
  <si>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</si>
  <si>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</si>
  <si>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</si>
  <si>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</si>
  <si>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</si>
  <si>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</si>
  <si>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</si>
  <si>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</si>
  <si>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</si>
  <si>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</si>
  <si>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</si>
  <si>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</si>
  <si>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</si>
  <si>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</si>
  <si>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</si>
  <si>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</si>
  <si>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</si>
  <si>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</si>
  <si>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</si>
  <si>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</si>
  <si>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</si>
  <si>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</si>
  <si>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</si>
  <si>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</si>
  <si>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</si>
  <si>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</si>
  <si>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</si>
  <si>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</si>
  <si>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</si>
  <si>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</si>
  <si>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</si>
  <si>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</si>
  <si>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</si>
  <si>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</si>
  <si>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</si>
  <si>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</si>
  <si>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</si>
  <si>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</si>
  <si>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</si>
  <si>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</si>
  <si>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</si>
  <si>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</si>
  <si>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</si>
  <si>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</si>
  <si>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</si>
  <si>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</si>
  <si>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</si>
  <si>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</si>
  <si>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</si>
  <si>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</si>
  <si>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</si>
  <si>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</si>
  <si>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</si>
  <si>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</si>
  <si>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</si>
  <si>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</si>
  <si>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</si>
  <si>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</si>
  <si>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</si>
  <si>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</si>
  <si>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</si>
  <si>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</si>
  <si>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</si>
  <si>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</si>
  <si>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</si>
  <si>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</si>
  <si>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</si>
  <si>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</si>
  <si>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</si>
  <si>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</si>
  <si>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</si>
  <si>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</si>
  <si>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</si>
  <si>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</si>
  <si>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</si>
  <si>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</si>
  <si>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</si>
  <si>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</si>
  <si>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</si>
  <si>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</si>
  <si>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</si>
  <si>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</si>
  <si>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</si>
  <si>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</si>
  <si>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</si>
  <si>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</si>
  <si>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</si>
  <si>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</si>
  <si>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</si>
  <si>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</si>
  <si>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</si>
  <si>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</si>
  <si>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</si>
  <si>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</si>
  <si>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</si>
  <si>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</si>
  <si>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</si>
  <si>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</si>
  <si>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</si>
  <si>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</si>
  <si>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</si>
  <si>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</si>
  <si>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</si>
  <si>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</si>
  <si>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</si>
  <si>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</si>
  <si>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</si>
  <si>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</si>
  <si>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</si>
  <si>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</si>
  <si>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</si>
  <si>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</si>
  <si>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</si>
  <si>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</si>
  <si>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</si>
  <si>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</si>
  <si>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</si>
  <si>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</si>
  <si>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</si>
  <si>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</si>
  <si>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</si>
  <si>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</si>
  <si>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</si>
  <si>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</si>
  <si>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</si>
  <si>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</si>
  <si>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</si>
  <si>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</si>
  <si>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</si>
  <si>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</si>
  <si>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</si>
  <si>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</si>
  <si>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</si>
  <si>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</si>
  <si>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</si>
  <si>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</si>
  <si>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</si>
  <si>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</si>
  <si>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</si>
  <si>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</si>
  <si>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</si>
  <si>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</si>
  <si>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</si>
  <si>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</si>
  <si>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</si>
  <si>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</si>
  <si>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</si>
  <si>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</si>
  <si>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</si>
  <si>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</si>
  <si>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</si>
  <si>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</si>
  <si>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</si>
  <si>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</si>
  <si>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</si>
  <si>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</si>
  <si>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</si>
  <si>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</si>
  <si>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</si>
  <si>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</si>
  <si>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</si>
  <si>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</si>
  <si>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</si>
  <si>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</si>
  <si>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</si>
  <si>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</si>
  <si>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</si>
  <si>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</si>
  <si>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</si>
  <si>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</si>
  <si>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</si>
  <si>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</si>
  <si>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</si>
  <si>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</si>
  <si>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</si>
  <si>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工业项目</t>
  </si>
  <si>
    <t>现房</t>
  </si>
  <si>
    <t>是</t>
  </si>
  <si>
    <t>地上</t>
  </si>
  <si>
    <t>工业</t>
    <phoneticPr fontId="7" type="noConversion"/>
  </si>
  <si>
    <t>成新度</t>
  </si>
  <si>
    <t>钢结构</t>
    <phoneticPr fontId="3" type="noConversion"/>
  </si>
  <si>
    <t>建成年代</t>
    <phoneticPr fontId="3" type="noConversion"/>
  </si>
  <si>
    <t>直线</t>
    <phoneticPr fontId="3" type="noConversion"/>
  </si>
  <si>
    <r>
      <rPr>
        <sz val="10"/>
        <color indexed="8"/>
        <rFont val="宋体"/>
        <family val="3"/>
        <charset val="134"/>
      </rPr>
      <t>根据</t>
    </r>
    <r>
      <rPr>
        <sz val="10"/>
        <color indexed="8"/>
        <rFont val="Arial"/>
        <family val="2"/>
      </rPr>
      <t>2025</t>
    </r>
    <r>
      <rPr>
        <sz val="10"/>
        <color indexed="8"/>
        <rFont val="宋体"/>
        <family val="3"/>
        <charset val="134"/>
      </rPr>
      <t>年报告</t>
    </r>
    <phoneticPr fontId="3" type="noConversion"/>
  </si>
  <si>
    <t>收益法</t>
  </si>
  <si>
    <t>押一</t>
  </si>
  <si>
    <t>钢</t>
  </si>
  <si>
    <t>生产用房</t>
  </si>
  <si>
    <t>否</t>
  </si>
  <si>
    <t>Ⅸ-雁栖开发区A</t>
  </si>
  <si>
    <t>自定义容积率</t>
  </si>
  <si>
    <t>与级别开发程度一致</t>
  </si>
  <si>
    <t>按公示增长率计算</t>
  </si>
  <si>
    <t>中心城区</t>
  </si>
  <si>
    <t>较好</t>
  </si>
  <si>
    <t>一般</t>
  </si>
  <si>
    <t>较差</t>
  </si>
  <si>
    <t>未包含在土地购买价格中</t>
  </si>
  <si>
    <t>已包含在土地取得成本中</t>
  </si>
  <si>
    <t>全部缴纳</t>
  </si>
  <si>
    <t>成本法</t>
  </si>
  <si>
    <r>
      <t>2024</t>
    </r>
    <r>
      <rPr>
        <sz val="10"/>
        <color indexed="8"/>
        <rFont val="宋体"/>
        <family val="3"/>
        <charset val="134"/>
      </rPr>
      <t>年正评</t>
    </r>
    <phoneticPr fontId="8" type="noConversion"/>
  </si>
  <si>
    <t>总价</t>
  </si>
  <si>
    <t>总价</t>
    <phoneticPr fontId="8" type="noConversion"/>
  </si>
  <si>
    <t>单价</t>
    <phoneticPr fontId="8" type="noConversion"/>
  </si>
  <si>
    <r>
      <t>2025</t>
    </r>
    <r>
      <rPr>
        <sz val="10"/>
        <color indexed="8"/>
        <rFont val="宋体"/>
        <family val="3"/>
        <charset val="134"/>
      </rPr>
      <t>年正评</t>
    </r>
    <phoneticPr fontId="8" type="noConversion"/>
  </si>
  <si>
    <r>
      <t>2026</t>
    </r>
    <r>
      <rPr>
        <sz val="10"/>
        <color indexed="8"/>
        <rFont val="宋体"/>
        <family val="3"/>
        <charset val="134"/>
      </rPr>
      <t>年报价</t>
    </r>
    <phoneticPr fontId="8"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</si>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</sst>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12" borderId="0" xfId="0" applyFont="1" applyFill="1" applyProtection="1">
      <alignment vertical="center"/>
      <protection locked="0"/>
    </xf>
    <xf numFmtId="0" fontId="272" fillId="12" borderId="0" xfId="0" applyFont="1" applyFill="1" applyProtection="1">
      <alignment vertical="center"/>
      <protection locked="0"/>
    </xf>
    <xf numFmtId="177" fontId="139" fillId="3" borderId="3" xfId="0" applyNumberFormat="1" applyFont="1" applyFill="1" applyBorder="1" applyProtection="1">
      <alignment vertical="center"/>
      <protection locked="0"/>
    </xf>
    <xf numFmtId="0" fontId="77" fillId="6"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341257</xdr:colOff>
      <xdr:row>46</xdr:row>
      <xdr:rowOff>21200</xdr:rowOff>
    </xdr:to>
    <xdr:pic>
      <xdr:nvPicPr>
        <xdr:cNvPr id="2" name="图片 1">
          <a:extLst>
            <a:ext uri="{FF2B5EF4-FFF2-40B4-BE49-F238E27FC236}">
              <a16:creationId xmlns:a16="http://schemas.microsoft.com/office/drawing/2014/main" id="{E59E5067-2676-5594-3764-B9CCC223DBDE}"/>
            </a:ext>
          </a:extLst>
        </xdr:cNvPr>
        <xdr:cNvPicPr>
          <a:picLocks noChangeAspect="1"/>
        </xdr:cNvPicPr>
      </xdr:nvPicPr>
      <xdr:blipFill>
        <a:blip xmlns:r="http://schemas.openxmlformats.org/officeDocument/2006/relationships" r:embed="rId1"/>
        <a:stretch>
          <a:fillRect/>
        </a:stretch>
      </xdr:blipFill>
      <xdr:spPr>
        <a:xfrm>
          <a:off x="0" y="0"/>
          <a:ext cx="13142857" cy="82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241300</xdr:colOff>
      <xdr:row>50</xdr:row>
      <xdr:rowOff>115213</xdr:rowOff>
    </xdr:to>
    <xdr:pic>
      <xdr:nvPicPr>
        <xdr:cNvPr id="2" name="图片 1">
          <a:extLst>
            <a:ext uri="{FF2B5EF4-FFF2-40B4-BE49-F238E27FC236}">
              <a16:creationId xmlns:a16="http://schemas.microsoft.com/office/drawing/2014/main" id="{32E8CAF4-011E-7124-9675-551C8BA24089}"/>
            </a:ext>
          </a:extLst>
        </xdr:cNvPr>
        <xdr:cNvPicPr>
          <a:picLocks noChangeAspect="1"/>
        </xdr:cNvPicPr>
      </xdr:nvPicPr>
      <xdr:blipFill>
        <a:blip xmlns:r="http://schemas.openxmlformats.org/officeDocument/2006/relationships" r:embed="rId1"/>
        <a:stretch>
          <a:fillRect/>
        </a:stretch>
      </xdr:blipFill>
      <xdr:spPr>
        <a:xfrm>
          <a:off x="0" y="0"/>
          <a:ext cx="10604500" cy="90052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1" customWidth="1"/>
    <col min="2" max="2" width="81" style="1127" customWidth="1"/>
    <col min="3" max="16384" width="9" style="1120"/>
  </cols>
  <sheetData>
    <row r="1" spans="1:2" s="1114" customFormat="1" ht="16" thickBot="1">
      <c r="A1" s="1113" t="s">
        <v>521</v>
      </c>
      <c r="B1" s="1112" t="s">
        <v>600</v>
      </c>
    </row>
    <row r="2" spans="1:2" s="1117" customFormat="1" ht="15.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5" thickBot="1">
      <c r="A5" s="1121" t="s">
        <v>525</v>
      </c>
      <c r="B5" s="1122" t="str">
        <f>'预评函-封皮'!B49</f>
        <v>康正预评字号</v>
      </c>
    </row>
    <row r="6" spans="1:2" s="1117" customFormat="1" ht="15.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估价对象为北京市房地产，为所有。根据《国有土地使用证》[]，估价对象（分摊）出让国有建设用地使用权面积为5038.53平方米，建筑面积为2738.73平方米。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估价对象为北京市房地产,属开发建设的工业项目，该项目尚在开发建设中。根据《国有土地使用证》[]，估价对象（分摊）出让国有建设用地使用权面积为5038.53平方米，规划建筑面积为2738.73平方米。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2025年12月31日</v>
      </c>
    </row>
    <row r="13" spans="1:2">
      <c r="A13" s="1118" t="s">
        <v>529</v>
      </c>
      <c r="B13" s="1119"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5" thickBot="1">
      <c r="A18" s="1121" t="s">
        <v>534</v>
      </c>
      <c r="B18" s="1122" t="str">
        <f>'预评函-1'!A24</f>
        <v>本次评估采用的主估价方法为成本法和收益法。</v>
      </c>
    </row>
    <row r="19" spans="1:2" s="1117" customFormat="1" ht="15.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1373</v>
      </c>
    </row>
    <row r="21" spans="1:2">
      <c r="A21" s="1118" t="s">
        <v>537</v>
      </c>
      <c r="B21" s="1119">
        <f ca="1">'预评函-2'!D7</f>
        <v>5013</v>
      </c>
    </row>
    <row r="22" spans="1:2">
      <c r="A22" s="1118" t="s">
        <v>538</v>
      </c>
      <c r="B22" s="1119" t="str">
        <f ca="1">'预评函-2'!D6</f>
        <v>壹仟叁佰柒拾叁万元整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1373</v>
      </c>
    </row>
    <row r="31" spans="1:2">
      <c r="A31" s="1118" t="s">
        <v>576</v>
      </c>
      <c r="B31" s="1119">
        <f ca="1">'预评函-2'!D15</f>
        <v>5013</v>
      </c>
    </row>
    <row r="32" spans="1:2">
      <c r="A32" s="1118" t="s">
        <v>543</v>
      </c>
      <c r="B32" s="1119" t="str">
        <f ca="1">'预评函-2'!D14</f>
        <v>壹仟叁佰柒拾叁万元整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ht="30">
      <c r="A42" s="1118" t="s">
        <v>590</v>
      </c>
      <c r="B42" s="1119" t="str">
        <f>'预评函-3'!B2</f>
        <v>建筑面积</v>
      </c>
    </row>
    <row r="43" spans="1:2">
      <c r="A43" s="1118" t="s">
        <v>591</v>
      </c>
      <c r="B43" s="1119">
        <f>'预评函-3'!B4</f>
        <v>2738.73</v>
      </c>
    </row>
    <row r="44" spans="1:2" ht="30">
      <c r="A44" s="1118" t="s">
        <v>575</v>
      </c>
      <c r="B44" s="1119" t="str">
        <f>'预评函-3'!C2</f>
        <v>(分摊)土地面积</v>
      </c>
    </row>
    <row r="45" spans="1:2">
      <c r="A45" s="1118" t="s">
        <v>547</v>
      </c>
      <c r="B45" s="1119">
        <f>'预评函-3'!C4</f>
        <v>5038.53</v>
      </c>
    </row>
    <row r="46" spans="1:2">
      <c r="A46" s="1118" t="s">
        <v>573</v>
      </c>
      <c r="B46" s="1119" t="str">
        <f>'预评函-3'!D2</f>
        <v>出让国有建设用地使用权价值</v>
      </c>
    </row>
    <row r="47" spans="1:2">
      <c r="A47" s="1118" t="s">
        <v>548</v>
      </c>
      <c r="B47" s="1119">
        <f ca="1">'预评函-3'!D4</f>
        <v>802</v>
      </c>
    </row>
    <row r="48" spans="1:2">
      <c r="A48" s="1118" t="s">
        <v>549</v>
      </c>
      <c r="B48" s="1119">
        <f ca="1">'预评函-3'!E4</f>
        <v>2928</v>
      </c>
    </row>
    <row r="49" spans="1:2">
      <c r="A49" s="1118" t="s">
        <v>550</v>
      </c>
      <c r="B49" s="1119" t="str">
        <f ca="1">'预评函-3'!D5</f>
        <v>捌佰零贰万元整</v>
      </c>
    </row>
    <row r="50" spans="1:2">
      <c r="A50" s="1118" t="s">
        <v>574</v>
      </c>
      <c r="B50" s="1119" t="str">
        <f>'预评函-3'!F2</f>
        <v>在建建筑物价值</v>
      </c>
    </row>
    <row r="51" spans="1:2">
      <c r="A51" s="1118" t="s">
        <v>551</v>
      </c>
      <c r="B51" s="1119">
        <f ca="1">'预评函-3'!F4</f>
        <v>571</v>
      </c>
    </row>
    <row r="52" spans="1:2">
      <c r="A52" s="1118" t="s">
        <v>552</v>
      </c>
      <c r="B52" s="1119">
        <f ca="1">'预评函-3'!G4</f>
        <v>2085</v>
      </c>
    </row>
    <row r="53" spans="1:2">
      <c r="A53" s="1118" t="s">
        <v>580</v>
      </c>
      <c r="B53" s="1119" t="str">
        <f ca="1">'预评函-3'!F5</f>
        <v>伍佰柒拾壹万元整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5" thickBot="1">
      <c r="A57" s="1121" t="s">
        <v>599</v>
      </c>
      <c r="B57" s="1122" t="str">
        <f>'预评函-3'!A6</f>
        <v>估价师知悉的法定优先受偿款</v>
      </c>
    </row>
    <row r="58" spans="1:2" s="1117" customFormat="1" ht="15.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5" thickBot="1">
      <c r="A69" s="1121" t="s">
        <v>561</v>
      </c>
      <c r="B69" s="1123">
        <f>'预评函-4'!C31</f>
        <v>42551</v>
      </c>
    </row>
    <row r="70" spans="1:2" ht="15.5" thickTop="1">
      <c r="A70" s="1124" t="s">
        <v>562</v>
      </c>
      <c r="B70" s="1125">
        <f>'预评函-4'!A4</f>
        <v>0</v>
      </c>
    </row>
    <row r="71" spans="1:2">
      <c r="A71" s="1118" t="s">
        <v>563</v>
      </c>
      <c r="B71" s="1119">
        <f>'预评函-4'!B4</f>
        <v>0</v>
      </c>
    </row>
    <row r="72" spans="1:2">
      <c r="A72" s="1118" t="s">
        <v>564</v>
      </c>
      <c r="B72" s="1126">
        <f>'预评函-4'!A5</f>
        <v>0</v>
      </c>
    </row>
    <row r="73" spans="1:2" s="1114" customFormat="1" ht="15.5" thickBot="1">
      <c r="A73" s="1121" t="s">
        <v>565</v>
      </c>
      <c r="B73" s="1122">
        <f>'预评函-4'!B5</f>
        <v>0</v>
      </c>
    </row>
    <row r="74" spans="1:2" ht="15.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7" customWidth="1"/>
    <col min="2" max="2" width="23.26953125" style="1404" customWidth="1"/>
    <col min="3" max="3" width="13" style="1444" customWidth="1"/>
    <col min="4" max="4" width="5.7265625" style="1442" customWidth="1"/>
    <col min="5" max="5" width="7.08984375" style="1442" customWidth="1"/>
    <col min="6" max="6" width="10.6328125" style="1442" customWidth="1"/>
    <col min="7" max="7" width="7.453125" style="1442" customWidth="1"/>
    <col min="8" max="8" width="11.90625" style="1444" customWidth="1"/>
    <col min="9" max="9" width="11.6328125" style="1444" customWidth="1"/>
    <col min="10" max="10" width="9" style="1444" customWidth="1"/>
    <col min="11" max="19" width="9" style="1442" customWidth="1"/>
    <col min="20" max="23" width="9" style="1444" customWidth="1"/>
    <col min="24" max="28" width="15.08984375" style="1444" customWidth="1"/>
    <col min="29" max="16384" width="9" style="1404"/>
  </cols>
  <sheetData>
    <row r="1" spans="1:28" s="1439" customFormat="1" ht="42">
      <c r="A1" s="1435" t="s">
        <v>44</v>
      </c>
      <c r="B1" s="1436" t="s">
        <v>977</v>
      </c>
      <c r="C1" s="1437"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3403</v>
      </c>
      <c r="AA1" s="1437" t="s">
        <v>3402</v>
      </c>
      <c r="AB1" s="1437" t="s">
        <v>3</v>
      </c>
    </row>
    <row r="2" spans="1:28">
      <c r="A2" s="1440" t="s">
        <v>19</v>
      </c>
      <c r="B2" s="1440" t="s">
        <v>993</v>
      </c>
      <c r="C2" s="1441" t="s">
        <v>315</v>
      </c>
      <c r="D2" s="1442" t="s">
        <v>994</v>
      </c>
      <c r="E2" s="1442" t="s">
        <v>995</v>
      </c>
      <c r="F2" s="1442" t="s">
        <v>996</v>
      </c>
      <c r="G2" s="1442">
        <v>20</v>
      </c>
      <c r="H2" s="1442" t="s">
        <v>996</v>
      </c>
      <c r="I2" s="1442" t="s">
        <v>3335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2439</v>
      </c>
      <c r="Y2" s="1444" t="s">
        <v>3409</v>
      </c>
      <c r="Z2" s="1444" t="s">
        <v>2452</v>
      </c>
      <c r="AA2" s="1444" t="s">
        <v>3410</v>
      </c>
      <c r="AB2" s="1444" t="s">
        <v>2479</v>
      </c>
    </row>
    <row r="3" spans="1:28">
      <c r="A3" s="1440" t="s">
        <v>1001</v>
      </c>
      <c r="B3" s="1443" t="s">
        <v>448</v>
      </c>
      <c r="C3" s="1441" t="s">
        <v>316</v>
      </c>
      <c r="D3" s="1442" t="s">
        <v>1002</v>
      </c>
      <c r="E3" s="1442" t="s">
        <v>13</v>
      </c>
      <c r="F3" s="1442" t="s">
        <v>1003</v>
      </c>
      <c r="G3" s="1442">
        <v>40</v>
      </c>
      <c r="H3" s="1442" t="s">
        <v>1003</v>
      </c>
      <c r="I3" s="1442" t="s">
        <v>3336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2441</v>
      </c>
      <c r="Z3" s="1444" t="s">
        <v>2454</v>
      </c>
      <c r="AB3" s="1444" t="s">
        <v>2481</v>
      </c>
    </row>
    <row r="4" spans="1:28">
      <c r="A4" s="1440" t="s">
        <v>1008</v>
      </c>
      <c r="B4" s="1440" t="s">
        <v>1009</v>
      </c>
      <c r="C4" s="1441" t="s">
        <v>317</v>
      </c>
      <c r="D4" s="1442" t="s">
        <v>389</v>
      </c>
      <c r="E4" s="1442" t="s">
        <v>1010</v>
      </c>
      <c r="F4" s="1442" t="s">
        <v>1011</v>
      </c>
      <c r="G4" s="1442">
        <v>50</v>
      </c>
      <c r="H4" s="1442" t="s">
        <v>1011</v>
      </c>
      <c r="I4" s="1442" t="s">
        <v>3337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2443</v>
      </c>
      <c r="Z4" s="1444" t="s">
        <v>2456</v>
      </c>
      <c r="AB4" s="1444" t="s">
        <v>2483</v>
      </c>
    </row>
    <row r="5" spans="1:28">
      <c r="A5" s="1440" t="s">
        <v>1014</v>
      </c>
      <c r="B5" s="1440" t="s">
        <v>1015</v>
      </c>
      <c r="C5" s="1441" t="s">
        <v>318</v>
      </c>
      <c r="F5" s="1442" t="s">
        <v>1016</v>
      </c>
      <c r="G5" s="1442">
        <v>70</v>
      </c>
      <c r="H5" s="1442" t="s">
        <v>1017</v>
      </c>
      <c r="I5" s="1442" t="s">
        <v>3338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2445</v>
      </c>
      <c r="Z5" s="1444" t="s">
        <v>2458</v>
      </c>
      <c r="AB5" s="1444" t="s">
        <v>3411</v>
      </c>
    </row>
    <row r="6" spans="1:28">
      <c r="A6" s="1440" t="s">
        <v>1020</v>
      </c>
      <c r="B6" s="1443" t="s">
        <v>449</v>
      </c>
      <c r="C6" s="1445" t="s">
        <v>24</v>
      </c>
      <c r="F6" s="1442" t="s">
        <v>1017</v>
      </c>
      <c r="H6" s="1442" t="s">
        <v>1021</v>
      </c>
      <c r="I6" s="1442" t="s">
        <v>3339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2447</v>
      </c>
      <c r="Z6" s="1444" t="s">
        <v>2460</v>
      </c>
      <c r="AB6" s="1444" t="s">
        <v>2486</v>
      </c>
    </row>
    <row r="7" spans="1:28">
      <c r="A7" s="1440" t="s">
        <v>1023</v>
      </c>
      <c r="B7" s="1443" t="s">
        <v>450</v>
      </c>
      <c r="C7" s="1441" t="s">
        <v>25</v>
      </c>
      <c r="F7" s="1442" t="s">
        <v>1024</v>
      </c>
      <c r="H7" s="1442" t="s">
        <v>1025</v>
      </c>
      <c r="I7" s="1442" t="s">
        <v>3340</v>
      </c>
      <c r="X7" s="1444" t="s">
        <v>2449</v>
      </c>
      <c r="Z7" s="1444" t="s">
        <v>2462</v>
      </c>
      <c r="AB7" s="1444" t="s">
        <v>2488</v>
      </c>
    </row>
    <row r="8" spans="1:28">
      <c r="A8" s="1440" t="s">
        <v>1026</v>
      </c>
      <c r="B8" s="1440" t="s">
        <v>1027</v>
      </c>
      <c r="C8" s="1441" t="s">
        <v>319</v>
      </c>
      <c r="F8" s="1442" t="s">
        <v>1028</v>
      </c>
      <c r="H8" s="1442" t="s">
        <v>2577</v>
      </c>
      <c r="I8" s="1442" t="s">
        <v>3341</v>
      </c>
      <c r="X8" s="1444" t="s">
        <v>3412</v>
      </c>
      <c r="Z8" s="1444" t="s">
        <v>2464</v>
      </c>
      <c r="AB8" s="1444" t="s">
        <v>2490</v>
      </c>
    </row>
    <row r="9" spans="1:28">
      <c r="A9" s="1440" t="s">
        <v>1029</v>
      </c>
      <c r="B9" s="1440" t="s">
        <v>1030</v>
      </c>
      <c r="C9" s="1441" t="s">
        <v>320</v>
      </c>
      <c r="F9" s="1442" t="s">
        <v>1031</v>
      </c>
      <c r="H9" s="1442"/>
      <c r="I9" s="1444" t="s">
        <v>3342</v>
      </c>
      <c r="X9" s="1444" t="s">
        <v>3413</v>
      </c>
      <c r="Z9" s="1444" t="s">
        <v>2466</v>
      </c>
      <c r="AB9" s="1444" t="s">
        <v>2492</v>
      </c>
    </row>
    <row r="10" spans="1:28">
      <c r="A10" s="1440" t="s">
        <v>1032</v>
      </c>
      <c r="B10" s="1440" t="s">
        <v>1033</v>
      </c>
      <c r="C10" s="1441" t="s">
        <v>321</v>
      </c>
      <c r="F10" s="1442" t="s">
        <v>2578</v>
      </c>
      <c r="I10" s="1444" t="s">
        <v>3343</v>
      </c>
      <c r="Z10" s="1444" t="s">
        <v>2468</v>
      </c>
      <c r="AB10" s="1444" t="s">
        <v>2494</v>
      </c>
    </row>
    <row r="11" spans="1:28">
      <c r="A11" s="1440" t="s">
        <v>1034</v>
      </c>
      <c r="B11" s="1440" t="s">
        <v>1035</v>
      </c>
      <c r="C11" s="1441" t="s">
        <v>322</v>
      </c>
      <c r="F11" s="1442" t="s">
        <v>13</v>
      </c>
      <c r="I11" s="1444" t="s">
        <v>3344</v>
      </c>
      <c r="Z11" s="1444" t="s">
        <v>2470</v>
      </c>
      <c r="AB11" s="1444" t="s">
        <v>2496</v>
      </c>
    </row>
    <row r="12" spans="1:28">
      <c r="A12" s="1440" t="s">
        <v>1036</v>
      </c>
      <c r="B12" s="1440" t="s">
        <v>1037</v>
      </c>
      <c r="C12" s="1441" t="s">
        <v>323</v>
      </c>
      <c r="I12" s="1444" t="s">
        <v>3345</v>
      </c>
      <c r="Z12" s="1444" t="s">
        <v>2472</v>
      </c>
      <c r="AB12" s="1444" t="s">
        <v>2498</v>
      </c>
    </row>
    <row r="13" spans="1:28">
      <c r="A13" s="1440" t="s">
        <v>1038</v>
      </c>
      <c r="B13" s="1440" t="s">
        <v>1039</v>
      </c>
      <c r="C13" s="1441" t="s">
        <v>324</v>
      </c>
      <c r="I13" s="1444" t="s">
        <v>3346</v>
      </c>
      <c r="Z13" s="1444" t="s">
        <v>2474</v>
      </c>
    </row>
    <row r="14" spans="1:28">
      <c r="A14" s="1440" t="s">
        <v>1040</v>
      </c>
      <c r="B14" s="1440" t="s">
        <v>1041</v>
      </c>
      <c r="C14" s="1442" t="s">
        <v>13</v>
      </c>
      <c r="I14" s="1444" t="s">
        <v>3347</v>
      </c>
      <c r="Z14" s="1444" t="s">
        <v>2476</v>
      </c>
    </row>
    <row r="15" spans="1:28">
      <c r="A15" s="1440" t="s">
        <v>1042</v>
      </c>
      <c r="B15" s="1440" t="s">
        <v>1043</v>
      </c>
      <c r="C15" s="1441"/>
      <c r="I15" s="1444" t="s">
        <v>3348</v>
      </c>
    </row>
    <row r="16" spans="1:28">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46" t="s">
        <v>385</v>
      </c>
      <c r="C54" s="1444" t="s">
        <v>583</v>
      </c>
    </row>
    <row r="55" spans="1:4">
      <c r="A55" s="3209"/>
      <c r="B55" s="1446" t="s">
        <v>386</v>
      </c>
      <c r="C55" s="1444" t="s">
        <v>584</v>
      </c>
    </row>
    <row r="56" spans="1:4">
      <c r="A56" s="3209"/>
      <c r="B56" s="1446" t="s">
        <v>387</v>
      </c>
      <c r="C56" s="1444" t="s">
        <v>588</v>
      </c>
    </row>
    <row r="57" spans="1:4">
      <c r="A57" s="320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10" t="s">
        <v>2580</v>
      </c>
      <c r="J2" s="3210"/>
      <c r="K2" s="3210"/>
      <c r="L2" s="3210"/>
      <c r="M2" s="3210"/>
      <c r="N2" s="3210"/>
      <c r="O2" s="3210"/>
      <c r="P2" s="3210"/>
      <c r="Q2" s="3210"/>
      <c r="R2" s="3210"/>
    </row>
    <row r="3" spans="1:18">
      <c r="A3" s="2762" t="s">
        <v>2501</v>
      </c>
      <c r="B3" s="2763">
        <f>项目基本情况!D3</f>
        <v>46022</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0.96</v>
      </c>
      <c r="D5" s="2767">
        <f>IF(ISERROR(ROUND(POWER(1+E5,A5-C5)*(POWER(1+E5,C5)-1)/(POWER(1+E5,A5)-1),3)),0,ROUND(POWER(1+E5,A5-C5)*(POWER(1+E5,C5)-1)/(POWER(1+E5,A5)-1),4))</f>
        <v>4.6699999999999998E-2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10.97</v>
      </c>
      <c r="D6" s="2767">
        <f>IF(ISERROR(ROUND(POWER(1+E6,A6-C6)*(POWER(1+E6,C6)-1)/(POWER(1+E6,A6)-1),3)),0,ROUND(POWER(1+E6,A6-C6)*(POWER(1+E6,C6)-1)/(POWER(1+E6,A6)-1),4))</f>
        <v>0.40689999999999998</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30.98</v>
      </c>
      <c r="D7" s="2767">
        <f>IF(ISERROR(ROUND(POWER(1+E7,A7-C7)*(POWER(1+E7,C7)-1)/(POWER(1+E7,A7)-1),3)),0,ROUND(POWER(1+E7,A7-C7)*(POWER(1+E7,C7)-1)/(POWER(1+E7,A7)-1),4))</f>
        <v>0.75160000000000005</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5" thickBot="1">
      <c r="A18" s="2772" t="s">
        <v>2516</v>
      </c>
      <c r="B18" s="2773">
        <f>ROUND(B17*F11/F12,2)</f>
        <v>5541.87</v>
      </c>
      <c r="C18" s="2773">
        <f>ROUND(F11/F12,4)</f>
        <v>1.1521999999999999</v>
      </c>
      <c r="D18" s="2774"/>
      <c r="E18" s="2774"/>
      <c r="F18" s="2775"/>
    </row>
    <row r="19" spans="1:14" ht="14.5" thickBot="1"/>
    <row r="20" spans="1:14" s="2808" customFormat="1" ht="14.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39" sqref="H39"/>
    </sheetView>
  </sheetViews>
  <sheetFormatPr defaultColWidth="10" defaultRowHeight="12.5"/>
  <cols>
    <col min="1" max="1" width="16.90625" style="1617" customWidth="1"/>
    <col min="2" max="2" width="10" style="1617" customWidth="1"/>
    <col min="3" max="3" width="11.453125" style="1617" customWidth="1"/>
    <col min="4" max="4" width="10" style="1617" customWidth="1"/>
    <col min="5" max="5" width="12.6328125" style="1617" customWidth="1"/>
    <col min="6" max="6" width="10" style="1617" customWidth="1"/>
    <col min="7" max="7" width="10.7265625" style="1617" customWidth="1"/>
    <col min="8" max="8" width="10" style="1617" customWidth="1"/>
    <col min="9" max="9" width="11.0898437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18" t="str">
        <f>IF(B10="北京市","北京市",C10)&amp;F10&amp;IF(结果表!G1="在建","出让国有建设用地使用权及在建建筑物",IF(结果表!G1="土地","出让国有建设用地使用权",))&amp;B9&amp;"预评估"</f>
        <v>北京市房地产抵押价值预评估</v>
      </c>
      <c r="C1" s="3219"/>
      <c r="D1" s="3219"/>
      <c r="E1" s="3219"/>
      <c r="F1" s="3219"/>
      <c r="G1" s="3219"/>
      <c r="H1" s="3219"/>
      <c r="I1" s="3220"/>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ht="13">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ht="13">
      <c r="A3" s="294" t="s">
        <v>2170</v>
      </c>
      <c r="B3" s="2184"/>
      <c r="C3" s="2185" t="s">
        <v>2171</v>
      </c>
      <c r="D3" s="2184">
        <v>46022</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ht="13">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ht="13">
      <c r="A7" s="2193" t="s">
        <v>2175</v>
      </c>
      <c r="B7" s="2197"/>
      <c r="C7" s="2195"/>
      <c r="D7" s="2196"/>
      <c r="E7" s="2440"/>
      <c r="F7" s="2441"/>
      <c r="G7" s="2441"/>
      <c r="H7" s="2441"/>
      <c r="I7" s="2441"/>
      <c r="J7" s="2244"/>
      <c r="K7" s="2401"/>
      <c r="L7" s="2398"/>
      <c r="M7" s="2398"/>
      <c r="N7" s="2244"/>
      <c r="O7" s="1669"/>
      <c r="P7" s="2244"/>
      <c r="Q7" s="2244"/>
      <c r="R7" s="2244"/>
    </row>
    <row r="8" spans="1:30" ht="13">
      <c r="A8" s="2198" t="s">
        <v>2176</v>
      </c>
      <c r="B8" s="2199" t="s">
        <v>3417</v>
      </c>
      <c r="C8" s="2200"/>
      <c r="D8" s="3221" t="s">
        <v>2177</v>
      </c>
      <c r="E8" s="2201" t="s">
        <v>3418</v>
      </c>
      <c r="F8" s="2202"/>
      <c r="G8" s="2441"/>
      <c r="H8" s="2441"/>
      <c r="I8" s="2441"/>
      <c r="J8" s="2244"/>
      <c r="K8" s="2399"/>
      <c r="L8" s="2398"/>
      <c r="M8" s="2398"/>
      <c r="N8" s="2244"/>
      <c r="O8" s="1669"/>
      <c r="P8" s="2244"/>
      <c r="Q8" s="2244"/>
      <c r="R8" s="2244"/>
    </row>
    <row r="9" spans="1:30" ht="13.5" thickBot="1">
      <c r="A9" s="2203" t="s">
        <v>2178</v>
      </c>
      <c r="B9" s="2204" t="s">
        <v>3418</v>
      </c>
      <c r="C9" s="2205"/>
      <c r="D9" s="3222"/>
      <c r="E9" s="2204"/>
      <c r="F9" s="2206"/>
      <c r="G9" s="2442"/>
      <c r="H9" s="2442"/>
      <c r="I9" s="2442"/>
      <c r="J9" s="2244"/>
      <c r="K9" s="2401"/>
      <c r="L9" s="2398"/>
      <c r="M9" s="2398"/>
      <c r="N9" s="2244"/>
      <c r="O9" s="1669"/>
      <c r="P9" s="2244"/>
      <c r="Q9" s="2244"/>
      <c r="R9" s="2244"/>
    </row>
    <row r="10" spans="1:30" ht="13.5" thickTop="1">
      <c r="A10" s="2207" t="s">
        <v>2179</v>
      </c>
      <c r="B10" s="2208" t="s">
        <v>3419</v>
      </c>
      <c r="C10" s="2209"/>
      <c r="D10" s="2192"/>
      <c r="E10" s="2210" t="s">
        <v>2180</v>
      </c>
      <c r="F10" s="2443"/>
      <c r="G10" s="2444"/>
      <c r="H10" s="2445"/>
      <c r="I10" s="2446"/>
      <c r="J10" s="2244"/>
      <c r="K10" s="2401"/>
      <c r="L10" s="2398"/>
      <c r="M10" s="2398"/>
      <c r="N10" s="2244"/>
      <c r="O10" s="1669"/>
      <c r="P10" s="2244"/>
      <c r="Q10" s="2244"/>
      <c r="R10" s="2244"/>
    </row>
    <row r="11" spans="1:30" ht="13">
      <c r="A11" s="2211" t="s">
        <v>2181</v>
      </c>
      <c r="B11" s="2212" t="s">
        <v>3420</v>
      </c>
      <c r="C11" s="2213"/>
      <c r="D11" s="2214"/>
      <c r="E11" s="2181"/>
      <c r="F11" s="2181"/>
      <c r="G11" s="2181"/>
      <c r="H11" s="2181"/>
      <c r="I11" s="2181"/>
      <c r="J11" s="2801"/>
      <c r="K11" s="2398"/>
      <c r="L11" s="2398"/>
      <c r="M11" s="2398"/>
      <c r="N11" s="2244"/>
      <c r="O11" s="1669"/>
      <c r="P11" s="2244"/>
      <c r="Q11" s="2244"/>
      <c r="R11" s="2244"/>
    </row>
    <row r="12" spans="1:30" ht="13">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69"/>
      <c r="O12" s="2244"/>
      <c r="P12" s="2244"/>
      <c r="Q12" s="2244"/>
      <c r="AD12" s="1617"/>
    </row>
    <row r="13" spans="1:30" ht="13">
      <c r="A13" s="3121" t="s">
        <v>3330</v>
      </c>
      <c r="B13" s="2217" t="s">
        <v>2190</v>
      </c>
      <c r="C13" s="803"/>
      <c r="D13" s="803"/>
      <c r="E13" s="803"/>
      <c r="F13" s="803"/>
      <c r="G13" s="803"/>
      <c r="H13" s="803">
        <v>55648</v>
      </c>
      <c r="I13" s="803"/>
      <c r="J13" s="2802"/>
      <c r="K13" s="2398"/>
      <c r="L13" s="2398"/>
      <c r="M13" s="2244"/>
      <c r="N13" s="1669"/>
      <c r="O13" s="2244"/>
      <c r="P13" s="2244"/>
      <c r="Q13" s="2244"/>
      <c r="AD13" s="1617"/>
    </row>
    <row r="14" spans="1:30" ht="13">
      <c r="A14" s="1018"/>
      <c r="B14" s="2217" t="s">
        <v>2191</v>
      </c>
      <c r="C14" s="2218"/>
      <c r="D14" s="2218"/>
      <c r="E14" s="2218"/>
      <c r="F14" s="2218"/>
      <c r="G14" s="2218"/>
      <c r="H14" s="2218">
        <v>50</v>
      </c>
      <c r="I14" s="2218"/>
      <c r="J14" s="2803"/>
      <c r="K14" s="2398"/>
      <c r="L14" s="2398"/>
      <c r="M14" s="2244"/>
      <c r="N14" s="1669"/>
      <c r="O14" s="2244"/>
      <c r="P14" s="2244"/>
      <c r="Q14" s="2244"/>
      <c r="AD14" s="1617"/>
    </row>
    <row r="15" spans="1:30" ht="13">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26.37</v>
      </c>
      <c r="I15" s="2220" t="str">
        <f>IF(A13="出让",IF(I13="","",ROUNDDOWN(MIN((I13-$D$3)/365,I14),2)),I14)</f>
        <v/>
      </c>
      <c r="J15" s="2804"/>
      <c r="K15" s="1669"/>
      <c r="L15" s="1669"/>
      <c r="M15" s="2244"/>
      <c r="N15" s="1669"/>
      <c r="O15" s="2244"/>
      <c r="P15" s="2244"/>
      <c r="Q15" s="2244"/>
      <c r="AD15" s="1617"/>
    </row>
    <row r="16" spans="1:30" ht="13">
      <c r="A16" s="2210" t="s">
        <v>2193</v>
      </c>
      <c r="B16" s="3228"/>
      <c r="C16" s="3229"/>
      <c r="D16" s="3230"/>
      <c r="E16" s="2221" t="s">
        <v>2194</v>
      </c>
      <c r="F16" s="3231"/>
      <c r="G16" s="3232"/>
      <c r="H16" s="3232"/>
      <c r="I16" s="3233"/>
      <c r="J16" s="2244"/>
      <c r="K16" s="2402"/>
      <c r="L16" s="1669"/>
      <c r="M16" s="1669"/>
      <c r="N16" s="2244"/>
      <c r="O16" s="1669"/>
      <c r="P16" s="2244"/>
      <c r="Q16" s="2244"/>
      <c r="R16" s="2244"/>
    </row>
    <row r="17" spans="1:28" ht="13">
      <c r="A17" s="305" t="s">
        <v>2195</v>
      </c>
      <c r="B17" s="294" t="s">
        <v>2196</v>
      </c>
      <c r="C17" s="8">
        <f>'数据-汇总表'!E3</f>
        <v>2738.73</v>
      </c>
      <c r="D17" s="1255" t="s">
        <v>2197</v>
      </c>
      <c r="E17" s="3234" t="s">
        <v>2198</v>
      </c>
      <c r="F17" s="3235"/>
      <c r="G17" s="3235"/>
      <c r="H17" s="3235"/>
      <c r="I17" s="3236"/>
      <c r="J17" s="2244"/>
      <c r="K17" s="2403"/>
      <c r="L17" s="1669"/>
      <c r="M17" s="1669"/>
      <c r="N17" s="2244"/>
      <c r="O17" s="1669"/>
      <c r="P17" s="2244"/>
      <c r="Q17" s="2244"/>
      <c r="R17" s="2244"/>
      <c r="S17" s="2244"/>
      <c r="T17" s="2244"/>
      <c r="U17" s="2244"/>
      <c r="V17" s="2244"/>
    </row>
    <row r="18" spans="1:28" ht="26.5" thickBot="1">
      <c r="A18" s="2222" t="s">
        <v>2199</v>
      </c>
      <c r="B18" s="1027" t="s">
        <v>2200</v>
      </c>
      <c r="C18" s="2223">
        <f>'数据-汇总表'!D3</f>
        <v>5038.53</v>
      </c>
      <c r="D18" s="1029" t="s">
        <v>2201</v>
      </c>
      <c r="E18" s="3237" t="s">
        <v>2202</v>
      </c>
      <c r="F18" s="3238"/>
      <c r="G18" s="3238"/>
      <c r="H18" s="3238"/>
      <c r="I18" s="3239"/>
      <c r="J18" s="2244"/>
      <c r="K18" s="2403"/>
      <c r="L18" s="1669"/>
      <c r="M18" s="1669"/>
      <c r="N18" s="2244"/>
      <c r="O18" s="1669"/>
      <c r="P18" s="2244"/>
      <c r="Q18" s="2244"/>
      <c r="R18" s="2244"/>
      <c r="S18" s="2244"/>
      <c r="T18" s="2244"/>
      <c r="U18" s="2244"/>
      <c r="V18" s="2244"/>
    </row>
    <row r="19" spans="1:28" ht="40"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ht="13">
      <c r="A20" s="2416" t="s">
        <v>2205</v>
      </c>
      <c r="B20" s="3224" t="s">
        <v>2206</v>
      </c>
      <c r="C20" s="3225"/>
      <c r="D20" s="3226" t="s">
        <v>2207</v>
      </c>
      <c r="E20" s="3227"/>
      <c r="F20" s="2429" t="s">
        <v>1056</v>
      </c>
      <c r="G20" s="2441"/>
      <c r="H20" s="2441"/>
      <c r="I20" s="2441"/>
      <c r="J20" s="2244"/>
      <c r="K20" s="322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6.5" thickBot="1">
      <c r="A21" s="2416"/>
      <c r="B21" s="2417" t="s">
        <v>2209</v>
      </c>
      <c r="C21" s="2295" t="s">
        <v>1057</v>
      </c>
      <c r="D21" s="1459" t="s">
        <v>2210</v>
      </c>
      <c r="E21" s="2418" t="s">
        <v>1057</v>
      </c>
      <c r="F21" s="2430"/>
      <c r="G21" s="2441"/>
      <c r="H21" s="2441"/>
      <c r="I21" s="2441"/>
      <c r="J21" s="2244"/>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6.5" thickBot="1">
      <c r="A22" s="2416"/>
      <c r="B22" s="2419" t="s">
        <v>2211</v>
      </c>
      <c r="C22" s="2295" t="s">
        <v>1058</v>
      </c>
      <c r="D22" s="2441"/>
      <c r="E22" s="2441"/>
      <c r="F22" s="2441"/>
      <c r="G22" s="2441"/>
      <c r="H22" s="2441"/>
      <c r="I22" s="2441"/>
      <c r="J22" s="2244"/>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ht="13">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12" t="s">
        <v>2214</v>
      </c>
      <c r="B27" s="312" t="s">
        <v>2215</v>
      </c>
      <c r="C27" s="2224" t="s">
        <v>3421</v>
      </c>
      <c r="D27" s="2225"/>
      <c r="E27" s="2441"/>
      <c r="F27" s="2441"/>
      <c r="G27" s="2441"/>
      <c r="H27" s="2441"/>
      <c r="I27" s="2441"/>
      <c r="J27" s="2244"/>
      <c r="K27" s="2402"/>
      <c r="L27" s="1669"/>
      <c r="M27" s="1669"/>
      <c r="N27" s="2244"/>
      <c r="O27" s="1669"/>
      <c r="P27" s="2244"/>
      <c r="Q27" s="2244"/>
      <c r="R27" s="2244"/>
      <c r="S27" s="2244"/>
      <c r="T27" s="2244"/>
      <c r="U27" s="2244"/>
      <c r="V27" s="2244"/>
    </row>
    <row r="28" spans="1:28" ht="13">
      <c r="A28" s="3212"/>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ht="13">
      <c r="A29" s="3212"/>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ht="13">
      <c r="A30" s="3213"/>
      <c r="B30" s="294" t="s">
        <v>2218</v>
      </c>
      <c r="C30" s="3214"/>
      <c r="D30" s="3215"/>
      <c r="E30" s="2441"/>
      <c r="F30" s="2441"/>
      <c r="G30" s="2441"/>
      <c r="H30" s="2441"/>
      <c r="I30" s="2441"/>
      <c r="J30" s="2244"/>
      <c r="K30" s="2401"/>
      <c r="L30" s="2398"/>
      <c r="M30" s="2398"/>
      <c r="N30" s="2244"/>
      <c r="O30" s="1669"/>
      <c r="P30" s="2244"/>
      <c r="Q30" s="2244"/>
      <c r="R30" s="2244"/>
      <c r="S30" s="2244"/>
      <c r="T30" s="2244"/>
      <c r="U30" s="2244"/>
      <c r="V30" s="2244"/>
    </row>
    <row r="31" spans="1:28">
      <c r="A31" s="3216" t="s">
        <v>2219</v>
      </c>
      <c r="B31" s="2230" t="s">
        <v>3422</v>
      </c>
      <c r="C31" s="12" t="str">
        <f>IF(B31="现房","成新及维护状况正常否",IF(B31="在建","工程状态是否正常",IF(B31="土地","是否闲置","-")))</f>
        <v>成新及维护状况正常否</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17"/>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17"/>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ht="13">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11" t="s">
        <v>2228</v>
      </c>
      <c r="T34" s="315" t="str">
        <f>NUMBERSTRING(7-K34,1)&amp;"通"</f>
        <v>七通</v>
      </c>
      <c r="U34" s="2244"/>
      <c r="V34" s="2244"/>
    </row>
    <row r="35" spans="1:30">
      <c r="A35" s="2235"/>
      <c r="B35" s="3211" t="s">
        <v>2229</v>
      </c>
      <c r="C35" s="3211"/>
      <c r="D35" s="3211"/>
      <c r="E35" s="321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1"/>
      <c r="T35" s="138" t="str">
        <f>IF(T34="一通",L35,IF(T34="二通",M35,IF(T34="三通",N35,IF(T34="四通",O35,IF(T34="五通",P35,IF(T34="六通",Q35,R35))))))</f>
        <v>、、、、、、</v>
      </c>
      <c r="U35" s="2244"/>
      <c r="V35" s="2244"/>
    </row>
    <row r="36" spans="1:30" ht="13">
      <c r="A36" s="2182"/>
      <c r="B36" s="8" t="s">
        <v>2185</v>
      </c>
      <c r="C36" s="8" t="s">
        <v>2186</v>
      </c>
      <c r="D36" s="8" t="s">
        <v>2184</v>
      </c>
      <c r="E36" s="8" t="s">
        <v>2189</v>
      </c>
      <c r="F36" s="2800" t="s">
        <v>2579</v>
      </c>
      <c r="G36" s="2441"/>
      <c r="H36" s="2441"/>
      <c r="I36" s="2441"/>
      <c r="J36" s="2244"/>
      <c r="K36" s="2401"/>
      <c r="L36" s="2398"/>
      <c r="M36" s="2398"/>
      <c r="N36" s="2244"/>
      <c r="O36" s="1669"/>
      <c r="P36" s="2244"/>
      <c r="Q36" s="2244"/>
      <c r="R36" s="2244"/>
      <c r="S36" s="2244"/>
      <c r="T36" s="2244"/>
      <c r="U36" s="2244"/>
      <c r="V36" s="2244"/>
    </row>
    <row r="37" spans="1:30" ht="13">
      <c r="A37" s="2414" t="s">
        <v>2230</v>
      </c>
      <c r="B37" s="2236"/>
      <c r="C37" s="2236"/>
      <c r="D37" s="2236"/>
      <c r="E37" s="2236" t="s">
        <v>306</v>
      </c>
      <c r="F37" s="2236"/>
      <c r="G37" s="2441"/>
      <c r="H37" s="2441"/>
      <c r="I37" s="2441"/>
      <c r="J37" s="2244"/>
      <c r="K37" s="2401"/>
      <c r="L37" s="2398"/>
      <c r="M37" s="2398"/>
      <c r="N37" s="2244"/>
      <c r="O37" s="1669"/>
      <c r="P37" s="2244"/>
      <c r="Q37" s="2244"/>
      <c r="R37" s="2244"/>
      <c r="S37" s="2244"/>
      <c r="T37" s="2244"/>
      <c r="U37" s="2244"/>
      <c r="V37" s="2244"/>
    </row>
    <row r="38" spans="1:30" ht="25.5" thickBot="1">
      <c r="A38" s="2415" t="s">
        <v>2231</v>
      </c>
      <c r="B38" s="2237"/>
      <c r="C38" s="2237"/>
      <c r="D38" s="2237"/>
      <c r="E38" s="2237" t="s">
        <v>3436</v>
      </c>
      <c r="F38" s="2237"/>
      <c r="G38" s="2442"/>
      <c r="H38" s="2442"/>
      <c r="I38" s="2442"/>
      <c r="J38" s="2244"/>
      <c r="K38" s="2401"/>
      <c r="L38" s="2398"/>
      <c r="M38" s="2398"/>
      <c r="N38" s="2244"/>
      <c r="O38" s="1669"/>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ht="13">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90625" defaultRowHeight="14"/>
  <cols>
    <col min="1" max="1" width="10.6328125" style="1462" customWidth="1"/>
    <col min="2" max="2" width="11" style="1462" customWidth="1"/>
    <col min="3" max="3" width="10.36328125" style="1462" customWidth="1"/>
    <col min="4" max="4" width="9.08984375" style="1462" customWidth="1"/>
    <col min="5" max="8" width="10" style="1462" customWidth="1"/>
    <col min="9" max="9" width="10.6328125" style="1462" customWidth="1"/>
    <col min="10" max="10" width="9.453125" style="1462" customWidth="1"/>
    <col min="11" max="11" width="11" style="1462" customWidth="1"/>
    <col min="12" max="14" width="9.453125" style="1462" customWidth="1"/>
    <col min="15" max="15" width="9.90625" style="1462" customWidth="1"/>
    <col min="16" max="16" width="9.7265625" style="1462" customWidth="1"/>
    <col min="17" max="17" width="9.36328125" style="1462" customWidth="1"/>
    <col min="18" max="18" width="9.26953125" style="1462" customWidth="1"/>
    <col min="19" max="19" width="10.90625" style="1462" customWidth="1"/>
    <col min="20" max="21" width="10.7265625" style="1462" customWidth="1"/>
    <col min="22" max="22" width="10.90625" style="1462" customWidth="1"/>
    <col min="23" max="27" width="10.7265625" style="1462" customWidth="1"/>
    <col min="28" max="28" width="10.90625" style="1462" customWidth="1"/>
    <col min="29" max="29" width="11" style="1462" bestFit="1" customWidth="1"/>
    <col min="30" max="30" width="10" style="1462" bestFit="1" customWidth="1"/>
    <col min="31" max="31" width="9.7265625" style="1462" customWidth="1"/>
    <col min="32" max="46" width="9.453125" style="1462" customWidth="1"/>
    <col min="47" max="47" width="18.08984375" style="1462" customWidth="1"/>
    <col min="48" max="50" width="9.7265625" style="1462" customWidth="1"/>
    <col min="51" max="55" width="10.453125" style="1462" bestFit="1" customWidth="1"/>
    <col min="56" max="56" width="9.453125" style="1462" bestFit="1" customWidth="1"/>
    <col min="57" max="63" width="9.08984375" style="1462" bestFit="1" customWidth="1"/>
    <col min="64" max="64" width="9.453125" style="1462" bestFit="1" customWidth="1"/>
    <col min="65" max="65" width="9.08984375" style="1462" bestFit="1" customWidth="1"/>
    <col min="66" max="66" width="9.453125" style="1462" bestFit="1" customWidth="1"/>
    <col min="67" max="69" width="9.08984375" style="1462" bestFit="1" customWidth="1"/>
    <col min="70" max="70" width="9.453125" style="1462" bestFit="1" customWidth="1"/>
    <col min="71" max="71" width="9" style="1462" customWidth="1"/>
    <col min="72" max="72" width="9.08984375" style="1462" bestFit="1" customWidth="1"/>
    <col min="73" max="16384" width="8.9062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6">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
      <c r="A3" s="10">
        <v>5038.53</v>
      </c>
      <c r="B3" s="11">
        <f>IF(C3="否",G5-AT5,G5)</f>
        <v>2738.73</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
      <c r="A5" s="12" t="s">
        <v>1071</v>
      </c>
      <c r="B5" s="1258"/>
      <c r="C5" s="1258"/>
      <c r="D5" s="1259"/>
      <c r="E5" s="13" t="s">
        <v>0</v>
      </c>
      <c r="F5" s="13">
        <f>SUM(F13:F587)</f>
        <v>0</v>
      </c>
      <c r="G5" s="13">
        <f>SUM(G13:G587)</f>
        <v>2738.73</v>
      </c>
      <c r="H5" s="13">
        <f t="shared" ref="H5:AT5" si="0">SUM(H13:H656)</f>
        <v>2738.73</v>
      </c>
      <c r="I5" s="13">
        <f t="shared" si="0"/>
        <v>2738.73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2738.73</v>
      </c>
      <c r="BA5" s="15">
        <f t="shared" si="1"/>
        <v>2738.73</v>
      </c>
      <c r="BB5" s="15">
        <f t="shared" si="1"/>
        <v>2738.73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
      <c r="A6" s="12" t="s">
        <v>1072</v>
      </c>
      <c r="B6" s="1473"/>
      <c r="C6" s="1473"/>
      <c r="D6" s="1474"/>
      <c r="E6" s="13">
        <f>H6+AC6+AT6</f>
        <v>5038.53</v>
      </c>
      <c r="F6" s="13" t="s">
        <v>0</v>
      </c>
      <c r="G6" s="13" t="s">
        <v>1</v>
      </c>
      <c r="H6" s="17">
        <f>SUMIF(I$12:AB$12,"总值",I6:AB6)</f>
        <v>5038.53</v>
      </c>
      <c r="I6" s="13">
        <f t="shared" ref="I6:AB6" si="2">ROUND($A$3*I5/$B$3,2)</f>
        <v>5038.53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5038.53</v>
      </c>
      <c r="AZ6" s="13" t="s">
        <v>2</v>
      </c>
      <c r="BA6" s="13">
        <f>ROUND($AY$6*BA5/$AZ$5,2)</f>
        <v>5038.53</v>
      </c>
      <c r="BB6" s="13">
        <f>ROUND($AY$6*BB5/$AZ$5,2)</f>
        <v>5038.53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6">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6">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
      <c r="A9" s="1481"/>
      <c r="B9" s="1481"/>
      <c r="C9" s="1481"/>
      <c r="D9" s="1481"/>
      <c r="E9" s="1481"/>
      <c r="F9" s="1481"/>
      <c r="G9" s="1007"/>
      <c r="H9" s="1489" t="s">
        <v>1091</v>
      </c>
      <c r="I9" s="1490" t="s">
        <v>3424</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3">
      <c r="A10" s="1481"/>
      <c r="B10" s="1481"/>
      <c r="C10" s="1481"/>
      <c r="D10" s="1481"/>
      <c r="E10" s="1481"/>
      <c r="F10" s="1481"/>
      <c r="G10" s="1007"/>
      <c r="H10" s="25"/>
      <c r="I10" s="1490" t="s">
        <v>3</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5">
      <c r="A13" s="628"/>
      <c r="B13" s="628"/>
      <c r="C13" s="628"/>
      <c r="D13" s="1512" t="s">
        <v>3423</v>
      </c>
      <c r="E13" s="13">
        <f>IF($C$3="是",ROUND($A$3*G13/$B$3,2),ROUND($A$3*(G13-AT13)/$B$3,2))</f>
        <v>5038.53</v>
      </c>
      <c r="F13" s="29"/>
      <c r="G13" s="30">
        <f>H13+AC13+AT13</f>
        <v>2738.73</v>
      </c>
      <c r="H13" s="17">
        <f>SUMIF(I$12:AB$12,"总值",I13:AB13)</f>
        <v>2738.73</v>
      </c>
      <c r="I13" s="1513">
        <v>2738.73</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5038.53</v>
      </c>
      <c r="AZ13" s="13">
        <f>BA13+BL13</f>
        <v>2738.73</v>
      </c>
      <c r="BA13" s="13">
        <f>SUM(BB13:BK13)</f>
        <v>2738.73</v>
      </c>
      <c r="BB13" s="13">
        <f>IF($D13="是",I13-J13,0)</f>
        <v>2738.73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6953125" defaultRowHeight="14"/>
  <cols>
    <col min="1" max="1" width="12.08984375" style="1521" customWidth="1"/>
    <col min="2" max="2" width="10.26953125" style="1521" customWidth="1"/>
    <col min="3" max="3" width="18.453125" style="1521" customWidth="1"/>
    <col min="4" max="4" width="11.6328125" style="1521" customWidth="1"/>
    <col min="5" max="5" width="13.36328125" style="1521" customWidth="1"/>
    <col min="6" max="8" width="11.453125" style="1521" customWidth="1"/>
    <col min="9" max="9" width="11.08984375" style="1521" customWidth="1"/>
    <col min="10" max="10" width="3.08984375" style="1521" customWidth="1"/>
    <col min="11" max="16" width="10" style="1521" customWidth="1"/>
    <col min="17" max="17" width="2.6328125" style="1521" customWidth="1"/>
    <col min="18" max="18" width="9.36328125" style="1521" bestFit="1" customWidth="1"/>
    <col min="19" max="19" width="10.453125" style="1521" bestFit="1" customWidth="1"/>
    <col min="20" max="16384" width="9.26953125" style="1521"/>
  </cols>
  <sheetData>
    <row r="1" spans="1:16" ht="18.5" thickBot="1">
      <c r="A1" s="1520" t="s">
        <v>1130</v>
      </c>
      <c r="B1" s="1070"/>
      <c r="C1" s="1070"/>
      <c r="D1" s="1070"/>
      <c r="E1" s="1070"/>
      <c r="F1" s="1070"/>
      <c r="G1" s="1070"/>
      <c r="H1" s="1070"/>
      <c r="I1" s="1070"/>
      <c r="J1" s="1070"/>
      <c r="K1" s="1070"/>
      <c r="L1" s="1070"/>
      <c r="M1" s="1070"/>
      <c r="N1" s="1070"/>
      <c r="O1" s="1070"/>
      <c r="P1" s="1070"/>
    </row>
    <row r="2" spans="1:16">
      <c r="A2" s="3249" t="s">
        <v>1131</v>
      </c>
      <c r="B2" s="3249"/>
      <c r="C2" s="3249"/>
      <c r="D2" s="748" t="s">
        <v>1107</v>
      </c>
      <c r="E2" s="1522" t="s">
        <v>1108</v>
      </c>
      <c r="F2" s="2438"/>
      <c r="G2" s="2431"/>
      <c r="H2" s="2432"/>
      <c r="I2" s="2145" t="s">
        <v>1132</v>
      </c>
      <c r="J2" s="2438"/>
      <c r="K2" s="2438"/>
      <c r="L2" s="2438"/>
      <c r="M2" s="2438"/>
      <c r="N2" s="2439"/>
      <c r="O2" s="2438"/>
      <c r="P2" s="2438"/>
    </row>
    <row r="3" spans="1:16" ht="14.5" thickBot="1">
      <c r="A3" s="3250" t="s">
        <v>1105</v>
      </c>
      <c r="B3" s="3250"/>
      <c r="C3" s="3250"/>
      <c r="D3" s="41">
        <f>'数据-基础表'!AY6</f>
        <v>5038.53</v>
      </c>
      <c r="E3" s="41">
        <f>'数据-基础表'!AZ5</f>
        <v>2738.73</v>
      </c>
      <c r="F3" s="2438"/>
      <c r="G3" s="42"/>
      <c r="H3" s="43" t="s">
        <v>1106</v>
      </c>
      <c r="I3" s="802">
        <f>ROUND('数据-基础表'!B3/'数据-基础表'!A3,2)</f>
        <v>0.54</v>
      </c>
      <c r="J3" s="2438"/>
      <c r="K3" s="2438"/>
      <c r="L3" s="2438"/>
      <c r="M3" s="2438"/>
      <c r="N3" s="2439"/>
      <c r="O3" s="2438"/>
      <c r="P3" s="2438"/>
    </row>
    <row r="4" spans="1:16">
      <c r="A4" s="3251"/>
      <c r="B4" s="3252"/>
      <c r="C4" s="3253"/>
      <c r="D4" s="1523" t="s">
        <v>1107</v>
      </c>
      <c r="E4" s="1524" t="s">
        <v>1108</v>
      </c>
      <c r="F4" s="2438"/>
      <c r="G4" s="2433" t="s">
        <v>1133</v>
      </c>
      <c r="H4" s="43" t="s">
        <v>1113</v>
      </c>
      <c r="I4" s="802">
        <f>ROUND(SUMIF('数据-基础表'!I9:AS9,"地上",'数据-基础表'!I5:AS5)/'数据-基础表'!A3,2)</f>
        <v>0.54</v>
      </c>
      <c r="J4" s="2438"/>
      <c r="K4" s="2438"/>
      <c r="L4" s="2438"/>
      <c r="M4" s="2438"/>
      <c r="N4" s="2439"/>
      <c r="O4" s="2438"/>
      <c r="P4" s="2438"/>
    </row>
    <row r="5" spans="1:16">
      <c r="A5" s="42" t="s">
        <v>1109</v>
      </c>
      <c r="B5" s="3254" t="s">
        <v>1110</v>
      </c>
      <c r="C5" s="3254"/>
      <c r="D5" s="43">
        <f>ROUND($D$3*E5/$E$3,2)</f>
        <v>0</v>
      </c>
      <c r="E5" s="44">
        <f>SUMIF('数据-基础表'!$11:$11,"住宅",'数据-基础表'!$5:$5)</f>
        <v>0</v>
      </c>
      <c r="F5" s="2438"/>
      <c r="G5" s="42"/>
      <c r="H5" s="43" t="s">
        <v>1106</v>
      </c>
      <c r="I5" s="802">
        <f>ROUND(E31/D31,2)</f>
        <v>0.54</v>
      </c>
      <c r="J5" s="2438"/>
      <c r="K5" s="2438"/>
      <c r="L5" s="2438"/>
      <c r="M5" s="2438"/>
      <c r="N5" s="2438"/>
      <c r="O5" s="2438"/>
      <c r="P5" s="2438"/>
    </row>
    <row r="6" spans="1:16" ht="14.5" thickBot="1">
      <c r="A6" s="1526"/>
      <c r="B6" s="3254" t="s">
        <v>1111</v>
      </c>
      <c r="C6" s="3254"/>
      <c r="D6" s="43">
        <f>ROUND($D$3*E6/$E$3,2)</f>
        <v>5038.53</v>
      </c>
      <c r="E6" s="44">
        <f>E3-E5</f>
        <v>2738.73</v>
      </c>
      <c r="F6" s="2438"/>
      <c r="G6" s="1528" t="s">
        <v>1112</v>
      </c>
      <c r="H6" s="45" t="s">
        <v>1113</v>
      </c>
      <c r="I6" s="2434">
        <f>ROUND(F31/D31,2)</f>
        <v>0.54</v>
      </c>
      <c r="J6" s="2438"/>
      <c r="K6" s="2438"/>
      <c r="L6" s="2438"/>
      <c r="M6" s="2438"/>
      <c r="N6" s="2438"/>
      <c r="O6" s="2438"/>
      <c r="P6" s="2438"/>
    </row>
    <row r="7" spans="1:16" ht="14.5" thickBot="1">
      <c r="A7" s="3246"/>
      <c r="B7" s="3247"/>
      <c r="C7" s="3248"/>
      <c r="D7" s="1523" t="s">
        <v>1107</v>
      </c>
      <c r="E7" s="1527" t="s">
        <v>1114</v>
      </c>
      <c r="F7" s="2438"/>
      <c r="G7" s="2435" t="s">
        <v>1115</v>
      </c>
      <c r="H7" s="95"/>
      <c r="I7" s="2436">
        <v>1</v>
      </c>
      <c r="J7" s="2438"/>
      <c r="K7" s="2438"/>
      <c r="L7" s="2438"/>
      <c r="M7" s="2438"/>
      <c r="N7" s="2438"/>
      <c r="O7" s="2438"/>
      <c r="P7" s="2438"/>
    </row>
    <row r="8" spans="1:16">
      <c r="A8" s="42" t="s">
        <v>1116</v>
      </c>
      <c r="B8" s="45" t="s">
        <v>1117</v>
      </c>
      <c r="C8" s="43" t="s">
        <v>1118</v>
      </c>
      <c r="D8" s="43">
        <f t="shared" ref="D8:D15" si="0">ROUND($D$3*E8/$E$3,2)</f>
        <v>5038.53</v>
      </c>
      <c r="E8" s="46">
        <f>SUMIF('数据-基础表'!BB10:BK10,"地上",'数据-基础表'!BB5:BK5)</f>
        <v>2738.73</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6"/>
      <c r="B16" s="1529"/>
      <c r="C16" s="45" t="s">
        <v>1123</v>
      </c>
      <c r="D16" s="45">
        <f>SUM(D8:D15)</f>
        <v>5038.53</v>
      </c>
      <c r="E16" s="48">
        <f>SUM(E8:E15)</f>
        <v>2738.73</v>
      </c>
      <c r="F16" s="2438"/>
      <c r="G16" s="2438"/>
      <c r="H16" s="1530" t="s">
        <v>1135</v>
      </c>
      <c r="I16" s="1531"/>
      <c r="J16" s="1070"/>
      <c r="K16" s="3243" t="s">
        <v>1135</v>
      </c>
      <c r="L16" s="3244"/>
      <c r="M16" s="3244"/>
      <c r="N16" s="3244"/>
      <c r="O16" s="3244"/>
      <c r="P16" s="3245"/>
    </row>
    <row r="17" spans="1:19">
      <c r="A17" s="1532" t="s">
        <v>1136</v>
      </c>
      <c r="B17" s="1533" t="s">
        <v>1137</v>
      </c>
      <c r="C17" s="1534" t="s">
        <v>1138</v>
      </c>
      <c r="D17" s="1535" t="s">
        <v>1126</v>
      </c>
      <c r="E17" s="1536" t="s">
        <v>1127</v>
      </c>
      <c r="F17" s="1537"/>
      <c r="G17" s="1538"/>
      <c r="H17" s="1539" t="s">
        <v>1139</v>
      </c>
      <c r="I17" s="1540" t="s">
        <v>1124</v>
      </c>
      <c r="J17" s="1070"/>
      <c r="K17" s="3240" t="s">
        <v>1140</v>
      </c>
      <c r="L17" s="3241"/>
      <c r="M17" s="3242"/>
      <c r="N17" s="3240" t="s">
        <v>1141</v>
      </c>
      <c r="O17" s="3241"/>
      <c r="P17" s="3242"/>
      <c r="R17" s="769" t="s">
        <v>1142</v>
      </c>
      <c r="S17" s="54"/>
    </row>
    <row r="18" spans="1:19">
      <c r="A18" s="1528"/>
      <c r="B18" s="1525"/>
      <c r="C18" s="1541"/>
      <c r="D18" s="1542"/>
      <c r="E18" s="1543" t="s">
        <v>1143</v>
      </c>
      <c r="F18" s="1544" t="s">
        <v>1144</v>
      </c>
      <c r="G18" s="1545" t="s">
        <v>1145</v>
      </c>
      <c r="H18" s="980" t="s">
        <v>1146</v>
      </c>
      <c r="I18" s="1546" t="s">
        <v>1147</v>
      </c>
      <c r="J18" s="1070"/>
      <c r="K18" s="980" t="s">
        <v>1148</v>
      </c>
      <c r="L18" s="1547" t="s">
        <v>1149</v>
      </c>
      <c r="M18" s="802" t="s">
        <v>1150</v>
      </c>
      <c r="N18" s="980" t="s">
        <v>1148</v>
      </c>
      <c r="O18" s="1547" t="s">
        <v>1149</v>
      </c>
      <c r="P18" s="802" t="s">
        <v>1150</v>
      </c>
      <c r="R18" s="43" t="s">
        <v>1151</v>
      </c>
      <c r="S18" s="43" t="s">
        <v>1152</v>
      </c>
    </row>
    <row r="19" spans="1:19">
      <c r="A19" s="1548"/>
      <c r="B19" s="45" t="s">
        <v>1125</v>
      </c>
      <c r="C19" s="3115" t="s">
        <v>3425</v>
      </c>
      <c r="D19" s="43">
        <f>ROUND($D$3*E19/$E$3,2)</f>
        <v>5038.53</v>
      </c>
      <c r="E19" s="51">
        <f t="shared" ref="E19:E26" si="1">SUM(F19:G19)</f>
        <v>2738.73</v>
      </c>
      <c r="F19" s="2557">
        <f>'数据-基础表'!G13</f>
        <v>2738.73</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5038.53</v>
      </c>
      <c r="S19" s="51">
        <f t="shared" si="5"/>
        <v>2738.73</v>
      </c>
    </row>
    <row r="20" spans="1:19">
      <c r="A20" s="1548"/>
      <c r="B20" s="45" t="s">
        <v>1153</v>
      </c>
      <c r="C20" s="3115"/>
      <c r="D20" s="43">
        <f t="shared" ref="D20:D26" si="6">ROUND($D$3*E20/$E$3,2)</f>
        <v>0</v>
      </c>
      <c r="E20" s="51">
        <f t="shared" si="1"/>
        <v>0</v>
      </c>
      <c r="F20" s="2557"/>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4.5" thickBot="1">
      <c r="A27" s="1548"/>
      <c r="B27" s="43"/>
      <c r="C27" s="1553" t="s">
        <v>1154</v>
      </c>
      <c r="D27" s="1071">
        <f>SUM(D19:D26)</f>
        <v>5038.53</v>
      </c>
      <c r="E27" s="1072">
        <f>IF(SUM(E19:E26)='数据-基础表'!BA5,SUM(E19:E26),IF(F27="地上面积有误","面积有误","地下面积有误"))</f>
        <v>2738.73</v>
      </c>
      <c r="F27" s="1071">
        <f>IF(SUM(F19:F26)=E8,SUM(F19:F26),"地上面积有误")</f>
        <v>2738.73</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8">
        <f>IF(SUM(R19:R26)=$D$3,SUM(R19:R26),SUM(R19:R26)&amp;"误差"&amp;ROUND(SUM(R19:R26)-$D$3,2))</f>
        <v>5038.53</v>
      </c>
      <c r="S27" s="43">
        <f>IF(SUM(S19:S26)=$E$3,SUM(S19:S26),SUM(S19:S26)&amp;"误差"&amp;ROUND(SUM(S19:S26)-E3,2))</f>
        <v>2738.73</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4.5" thickBot="1">
      <c r="A31" s="1556"/>
      <c r="B31" s="96"/>
      <c r="C31" s="785" t="s">
        <v>1158</v>
      </c>
      <c r="D31" s="643">
        <f>D27+D30</f>
        <v>5038.53</v>
      </c>
      <c r="E31" s="643">
        <f>E27+E30</f>
        <v>2738.73</v>
      </c>
      <c r="F31" s="644">
        <f>F27+F30</f>
        <v>2738.73</v>
      </c>
      <c r="G31" s="645">
        <f>G27+G30</f>
        <v>0</v>
      </c>
      <c r="H31" s="2438"/>
      <c r="I31" s="2438"/>
      <c r="J31" s="2438"/>
      <c r="K31" s="2438"/>
      <c r="L31" s="2438"/>
      <c r="M31" s="2438"/>
      <c r="N31" s="2438"/>
      <c r="O31" s="2438"/>
      <c r="P31" s="2438"/>
    </row>
    <row r="32" spans="1:19">
      <c r="A32" s="1525"/>
      <c r="B32" s="1525" t="s">
        <v>1159</v>
      </c>
      <c r="C32" s="1525"/>
      <c r="D32" s="1525"/>
      <c r="E32" s="990">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H6" sqref="H6"/>
    </sheetView>
  </sheetViews>
  <sheetFormatPr defaultColWidth="13.7265625" defaultRowHeight="12.5"/>
  <cols>
    <col min="1" max="1" width="20.90625" style="1617" customWidth="1"/>
    <col min="2" max="2" width="12" style="1560" customWidth="1"/>
    <col min="3" max="3" width="12.7265625" style="1560" customWidth="1"/>
    <col min="4" max="4" width="9.08984375" style="1618" customWidth="1"/>
    <col min="5" max="5" width="15" style="1560" bestFit="1" customWidth="1"/>
    <col min="6" max="10" width="8.90625" style="1560" customWidth="1"/>
    <col min="11" max="12" width="12.36328125" style="1488" customWidth="1"/>
    <col min="13" max="13" width="8.6328125" style="1560" customWidth="1"/>
    <col min="14" max="14" width="11.90625" style="1560" customWidth="1"/>
    <col min="15" max="15" width="8.453125" style="1560" customWidth="1"/>
    <col min="16" max="17" width="10.90625" style="1560" customWidth="1"/>
    <col min="18" max="19" width="12.453125" style="1560" customWidth="1"/>
    <col min="20" max="20" width="12.08984375" style="1560" customWidth="1"/>
    <col min="21" max="21" width="7.453125" style="1560" customWidth="1"/>
    <col min="22" max="22" width="6.36328125" style="1560" customWidth="1"/>
    <col min="23" max="30" width="6.7265625" style="1560" customWidth="1"/>
    <col min="31" max="31" width="8" style="1560" customWidth="1"/>
    <col min="32" max="34" width="7.26953125" style="1560" customWidth="1"/>
    <col min="35" max="39" width="8" style="1560" customWidth="1"/>
    <col min="40" max="40" width="13.7265625" style="122"/>
    <col min="41" max="41" width="11.6328125" style="122" customWidth="1"/>
    <col min="42" max="42" width="9.7265625" style="122" customWidth="1"/>
    <col min="43" max="67" width="13.7265625" style="122"/>
    <col min="68" max="16384" width="13.726562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 thickBot="1">
      <c r="A2" s="1561" t="s">
        <v>1161</v>
      </c>
      <c r="B2" s="984">
        <f>项目基本情况!D3</f>
        <v>46022</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5"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4.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3">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3426</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
      <c r="A6" s="1585" t="str">
        <f>'数据-汇总表'!C19</f>
        <v>工业</v>
      </c>
      <c r="B6" s="1586" t="str">
        <f>IF(A6=0,"","经营性")</f>
        <v>经营性</v>
      </c>
      <c r="C6" s="1587" t="s">
        <v>3</v>
      </c>
      <c r="D6" s="805">
        <f>SUMIF(项目基本情况!C$12:I$12,C6,项目基本情况!C$14:I$14)</f>
        <v>50</v>
      </c>
      <c r="E6" s="804">
        <f>IF(B6="","",SUMIF(项目基本情况!C$12:I$12,C6,项目基本情况!C$13:I$13))</f>
        <v>55648</v>
      </c>
      <c r="F6" s="61">
        <f>SUMIF(项目基本情况!C$12:I$12,C6,项目基本情况!C$15:I$15)</f>
        <v>26.37</v>
      </c>
      <c r="G6" s="62">
        <f>IF(ISERROR(ROUND(POWER(1+H6,D6-F6)*(POWER(1+H6,F6)-1)/(POWER(1+H6,D6)-1),3)),0,ROUND(POWER(1+H6,D6-F6)*(POWER(1+H6,F6)-1)/(POWER(1+H6,D6)-1),3))</f>
        <v>0.79300000000000004</v>
      </c>
      <c r="H6" s="691">
        <v>0.05</v>
      </c>
      <c r="I6" s="691">
        <v>5.5E-2</v>
      </c>
      <c r="J6" s="63">
        <v>7.0000000000000007E-2</v>
      </c>
      <c r="K6" s="970">
        <f>SUMIF('数据-汇总表'!C$19:C$33,A6,'数据-汇总表'!E$19:E$33)</f>
        <v>2738.73</v>
      </c>
      <c r="L6" s="692">
        <v>2500</v>
      </c>
      <c r="M6" s="64">
        <f t="shared" ref="M6:M14" si="0">ROUND(K6*L6/10000,0)</f>
        <v>685</v>
      </c>
      <c r="N6" s="690">
        <f>N20</f>
        <v>0.73</v>
      </c>
      <c r="O6" s="64" t="str">
        <f>IF($N$5="成新度","——",ROUND(M6*N6,0))</f>
        <v>——</v>
      </c>
      <c r="P6" s="65" t="str">
        <f>IF($N$5="成新度","——",M6-O6)</f>
        <v>——</v>
      </c>
      <c r="Q6" s="693">
        <v>0.05</v>
      </c>
      <c r="R6" s="66">
        <f ca="1">SUMIF('数据-汇总表'!C$19:C$33,A6,'数据-汇总表'!R$19:R$27)</f>
        <v>5038.53</v>
      </c>
      <c r="S6" s="49">
        <f>IF('数据-汇总表'!$I$17="按面积比例",SUMIF('数据-汇总表'!C$19:C$33,A6,'数据-汇总表'!K$19:K$33),SUMIF('数据-汇总表'!C$19:C$33,A6,'数据-汇总表'!N$19:N$33))</f>
        <v>0</v>
      </c>
      <c r="T6" s="1091">
        <f>ROUND($L$14*S6/10000,0)</f>
        <v>0</v>
      </c>
      <c r="U6" s="3126">
        <v>0.7</v>
      </c>
      <c r="V6" s="67">
        <v>1.4999999999999999E-2</v>
      </c>
      <c r="W6" s="67">
        <v>0.1</v>
      </c>
      <c r="X6" s="979"/>
      <c r="Y6" s="68">
        <f>N6</f>
        <v>0.73</v>
      </c>
      <c r="Z6" s="69"/>
      <c r="AA6" s="63"/>
      <c r="AB6" s="63"/>
      <c r="AC6" s="979"/>
      <c r="AD6" s="70"/>
      <c r="AE6" s="980">
        <f ca="1">IF(AN6="",0,SUMIF(INDIRECT("'"&amp;AN6&amp;"'"&amp;"!E:E"),$AE$5,INDIRECT("'"&amp;AN6&amp;"'"&amp;"!F:F")))</f>
        <v>26.37</v>
      </c>
      <c r="AF6" s="74"/>
      <c r="AG6" s="130">
        <f>IF(AF6="",0,AE6-AF6)</f>
        <v>0</v>
      </c>
      <c r="AH6" s="71"/>
      <c r="AI6" s="73">
        <v>365</v>
      </c>
      <c r="AJ6" s="74"/>
      <c r="AK6" s="75">
        <v>5.0000000000000001E-3</v>
      </c>
      <c r="AL6" s="76">
        <v>1E-3</v>
      </c>
      <c r="AM6" s="77">
        <v>0.01</v>
      </c>
      <c r="AN6" s="1588" t="s">
        <v>3431</v>
      </c>
      <c r="AO6" s="50">
        <f ca="1">SUMIF(INDIRECT("'"&amp;AN6&amp;"'"&amp;"!A:A"),"总价",INDIRECT("'"&amp;AN6&amp;"'"&amp;"!B:B"))</f>
        <v>790</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1"/>
      <c r="U14" s="637"/>
      <c r="V14" s="975"/>
      <c r="W14" s="975"/>
      <c r="X14" s="976"/>
      <c r="Y14" s="977"/>
      <c r="Z14" s="54"/>
      <c r="AA14" s="978"/>
      <c r="AB14" s="978"/>
      <c r="AC14" s="979"/>
      <c r="AD14" s="976"/>
      <c r="AE14" s="980"/>
      <c r="AF14" s="50"/>
      <c r="AG14" s="130"/>
      <c r="AH14" s="980"/>
      <c r="AI14" s="1265"/>
      <c r="AJ14" s="50"/>
      <c r="AK14" s="981"/>
      <c r="AL14" s="982"/>
      <c r="AM14" s="983"/>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1"/>
      <c r="U15" s="637"/>
      <c r="V15" s="975"/>
      <c r="W15" s="975"/>
      <c r="X15" s="976"/>
      <c r="Y15" s="977"/>
      <c r="Z15" s="54"/>
      <c r="AA15" s="978"/>
      <c r="AB15" s="978"/>
      <c r="AC15" s="979"/>
      <c r="AD15" s="976"/>
      <c r="AE15" s="980"/>
      <c r="AF15" s="50"/>
      <c r="AG15" s="130"/>
      <c r="AH15" s="980"/>
      <c r="AI15" s="1265"/>
      <c r="AJ15" s="50"/>
      <c r="AK15" s="981"/>
      <c r="AL15" s="982"/>
      <c r="AM15" s="983"/>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4.5" thickBot="1">
      <c r="A16" s="1592" t="s">
        <v>1209</v>
      </c>
      <c r="B16" s="82"/>
      <c r="C16" s="783"/>
      <c r="D16" s="1593"/>
      <c r="E16" s="82"/>
      <c r="F16" s="82"/>
      <c r="G16" s="83">
        <f>ROUND(SUMPRODUCT(G6:G13,K6:K13)/SUMPRODUCT((G6:G13&gt;0)*(K6:K13)),3)</f>
        <v>0.79300000000000004</v>
      </c>
      <c r="H16" s="84">
        <f>ROUND(SUMPRODUCT(H6:H13,K6:K13)/SUMPRODUCT((H6:H13&gt;0)*(K6:K13)),3)</f>
        <v>0.05</v>
      </c>
      <c r="I16" s="85"/>
      <c r="J16" s="85"/>
      <c r="K16" s="86">
        <f>SUM(K6:K15)</f>
        <v>2738.73</v>
      </c>
      <c r="L16" s="87">
        <f>ROUND(M16*10000/SUM(K6:K14),0)</f>
        <v>2501</v>
      </c>
      <c r="M16" s="87">
        <f>SUM(M6:M14)</f>
        <v>685</v>
      </c>
      <c r="N16" s="88">
        <f>ROUND(SUMPRODUCT(M6:M14,N6:N14)/M16,3)</f>
        <v>0.73</v>
      </c>
      <c r="O16" s="87">
        <f>SUM(O6:O14)</f>
        <v>0</v>
      </c>
      <c r="P16" s="87">
        <f>SUM(P6:P14)</f>
        <v>0</v>
      </c>
      <c r="Q16" s="89">
        <f>ROUND(SUMPRODUCT(Q6:Q13,K6:K13)/SUMPRODUCT((Q6:Q13&gt;0)*(K6:K13)),2)</f>
        <v>0.05</v>
      </c>
      <c r="R16" s="974">
        <f ca="1">SUM(R6:R13)</f>
        <v>5038.53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1210</v>
      </c>
      <c r="B18" s="2460"/>
      <c r="C18" s="2438"/>
      <c r="D18" s="2451"/>
      <c r="E18" s="2438"/>
      <c r="F18" s="2438"/>
      <c r="G18" s="2438"/>
      <c r="H18" s="2438"/>
      <c r="I18" s="2438"/>
      <c r="J18" s="2438"/>
      <c r="K18" s="2449"/>
      <c r="L18" s="2449"/>
      <c r="M18" s="3506" t="s">
        <v>3427</v>
      </c>
      <c r="N18" s="2448">
        <v>80</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5" t="s">
        <v>1211</v>
      </c>
      <c r="B19" s="97">
        <v>0</v>
      </c>
      <c r="C19" s="2560" t="s">
        <v>2302</v>
      </c>
      <c r="D19" s="2451"/>
      <c r="E19" s="2438"/>
      <c r="F19" s="2438"/>
      <c r="G19" s="2438"/>
      <c r="H19" s="2438"/>
      <c r="I19" s="2438"/>
      <c r="J19" s="2438"/>
      <c r="K19" s="2449"/>
      <c r="L19" s="2449"/>
      <c r="M19" s="3506" t="s">
        <v>3428</v>
      </c>
      <c r="N19" s="2448">
        <v>2004</v>
      </c>
      <c r="O19" s="3507" t="s">
        <v>3430</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6" t="s">
        <v>1212</v>
      </c>
      <c r="B20" s="98">
        <v>1</v>
      </c>
      <c r="C20" s="2561" t="s">
        <v>2300</v>
      </c>
      <c r="D20" s="2451"/>
      <c r="E20" s="2438"/>
      <c r="F20" s="2438"/>
      <c r="G20" s="2438"/>
      <c r="H20" s="2438"/>
      <c r="I20" s="2438"/>
      <c r="J20" s="2438"/>
      <c r="K20" s="2449"/>
      <c r="L20" s="2449"/>
      <c r="M20" s="3506" t="s">
        <v>3429</v>
      </c>
      <c r="N20" s="2448">
        <f>ROUND(1-(1-2%)*(2026-N19)/80,2)</f>
        <v>0.73</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7" t="s">
        <v>1213</v>
      </c>
      <c r="B21" s="98">
        <f>B20</f>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6"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7"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0" t="s">
        <v>1220</v>
      </c>
      <c r="B27" s="101">
        <v>120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1" t="s">
        <v>1221</v>
      </c>
      <c r="B28" s="103">
        <v>160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2"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4"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0" t="s">
        <v>1226</v>
      </c>
      <c r="B33" s="640">
        <v>0.05</v>
      </c>
      <c r="C33" s="2564" t="s">
        <v>3381</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1" t="s">
        <v>1227</v>
      </c>
      <c r="B34" s="106">
        <v>0</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1"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2" t="s">
        <v>1229</v>
      </c>
      <c r="B36" s="107">
        <v>0.02</v>
      </c>
      <c r="C36" s="2564" t="s">
        <v>3399</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3" t="s">
        <v>1230</v>
      </c>
      <c r="B37" s="108">
        <v>0.02</v>
      </c>
      <c r="C37" s="2564" t="s">
        <v>3382</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1" t="s">
        <v>1231</v>
      </c>
      <c r="B38" s="106">
        <v>0.02</v>
      </c>
      <c r="C38" s="2564" t="s">
        <v>3383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2310</v>
      </c>
      <c r="B40" s="1015">
        <f ca="1">IF(A40="利息：取LPR",存贷款利率!G1,存贷款利率!G1+C40)</f>
        <v>0.03</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0"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5"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6" t="s">
        <v>1236</v>
      </c>
      <c r="B44" s="112">
        <v>0.05</v>
      </c>
      <c r="C44" s="2564" t="s">
        <v>3384</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6"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6"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7"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8"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4"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09"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1" t="s">
        <v>1245</v>
      </c>
      <c r="B53" s="1610" t="s">
        <v>29</v>
      </c>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1" t="s">
        <v>1252</v>
      </c>
      <c r="B59" s="72">
        <f>C59</f>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1"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1"/>
  </cols>
  <sheetData>
    <row r="1" spans="1:29" s="2258" customFormat="1" ht="18.5" thickBot="1">
      <c r="A1" s="3255" t="s">
        <v>2286</v>
      </c>
      <c r="B1" s="3256"/>
      <c r="C1" s="3256"/>
      <c r="D1" s="3256"/>
      <c r="E1" s="3256"/>
      <c r="F1" s="3256"/>
      <c r="G1" s="325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4"/>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0"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2738.73</v>
      </c>
      <c r="C1" s="2461"/>
      <c r="D1" s="2461"/>
      <c r="E1" s="2461"/>
      <c r="F1" s="2461"/>
      <c r="G1" s="2462"/>
      <c r="H1" s="2462"/>
      <c r="I1" s="2462"/>
      <c r="J1" s="2462"/>
      <c r="K1" s="2462"/>
    </row>
    <row r="2" spans="1:11" ht="16.5">
      <c r="A2" s="2299" t="s">
        <v>653</v>
      </c>
      <c r="B2" s="2299">
        <f>SUM(C14:C23)</f>
        <v>5038.53</v>
      </c>
      <c r="C2" s="2461"/>
      <c r="D2" s="2461"/>
      <c r="E2" s="2461"/>
      <c r="F2" s="2461"/>
      <c r="G2" s="2462"/>
      <c r="H2" s="2462"/>
      <c r="I2" s="2462"/>
      <c r="J2" s="2462"/>
      <c r="K2" s="2462"/>
    </row>
    <row r="3" spans="1:11" ht="16.5">
      <c r="A3" s="2299" t="s">
        <v>662</v>
      </c>
      <c r="B3" s="2301">
        <f>项目基本情况!D3</f>
        <v>46022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1373</v>
      </c>
      <c r="C5" s="2299">
        <f ca="1">IF(B5=D14,结果表!H102,ROUND(B5*10000/$B$1,0))</f>
        <v>5013</v>
      </c>
      <c r="D5" s="2299">
        <f ca="1">ROUND(B5*10000/$B$2,0)</f>
        <v>2725</v>
      </c>
      <c r="E5" s="2461"/>
      <c r="F5" s="2462"/>
      <c r="G5" s="2462"/>
      <c r="H5" s="2462"/>
      <c r="I5" s="2462"/>
      <c r="J5" s="2462"/>
      <c r="K5" s="2462"/>
    </row>
    <row r="6" spans="1:11" ht="16.5">
      <c r="A6" s="2299" t="s">
        <v>656</v>
      </c>
      <c r="B6" s="2299">
        <f ca="1">SUM(G14:G23)</f>
        <v>1373</v>
      </c>
      <c r="C6" s="2299">
        <f ca="1">IF(B6=G14,结果表!H108,ROUND(B6*10000/$B$1,0))</f>
        <v>5013</v>
      </c>
      <c r="D6" s="2299">
        <f ca="1">ROUND(B6*10000/$B$2,0)</f>
        <v>2725</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3354</v>
      </c>
      <c r="D10" s="2299" t="s">
        <v>3355</v>
      </c>
      <c r="E10" s="3136"/>
      <c r="F10" s="3140" t="s">
        <v>3356</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结果表!B118</f>
        <v>2738.73</v>
      </c>
      <c r="C14" s="2305">
        <f>结果表!C118</f>
        <v>5038.53</v>
      </c>
      <c r="D14" s="2305">
        <f ca="1">结果表!H118</f>
        <v>1373</v>
      </c>
      <c r="E14" s="2305">
        <f ca="1">ROUND(D14*10000/B14,0)</f>
        <v>5013</v>
      </c>
      <c r="F14" s="2305">
        <f ca="1">ROUND(D14*10000/C14,0)</f>
        <v>2725</v>
      </c>
      <c r="G14" s="2305">
        <f ca="1">D14</f>
        <v>1373</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7" zoomScale="80" zoomScaleNormal="100" zoomScaleSheetLayoutView="80" zoomScalePageLayoutView="80" workbookViewId="0">
      <selection activeCell="I26" sqref="I26"/>
    </sheetView>
  </sheetViews>
  <sheetFormatPr defaultColWidth="12.6328125" defaultRowHeight="21.75" customHeight="1"/>
  <cols>
    <col min="1" max="2" width="12.6328125" style="1560"/>
    <col min="3" max="4" width="12.6328125" style="1560" customWidth="1"/>
    <col min="5" max="9" width="12.6328125" style="1560"/>
    <col min="10" max="11" width="12.6328125" style="684" customWidth="1"/>
    <col min="12" max="12" width="12.6328125" style="684"/>
    <col min="13" max="13" width="14.08984375" style="684" bestFit="1" customWidth="1"/>
    <col min="14" max="26" width="12.6328125" style="684"/>
    <col min="27" max="35" width="12.6328125" style="1622"/>
    <col min="36" max="16384" width="12.6328125" style="1560"/>
  </cols>
  <sheetData>
    <row r="1" spans="1:12" ht="21.75" customHeight="1" thickBot="1">
      <c r="A1" s="1520" t="s">
        <v>1262</v>
      </c>
      <c r="B1" s="646"/>
      <c r="C1" s="1619" t="s">
        <v>3</v>
      </c>
      <c r="D1" s="646"/>
      <c r="E1" s="646"/>
      <c r="F1" s="1620" t="s">
        <v>1263</v>
      </c>
      <c r="G1" s="1452" t="s">
        <v>3422</v>
      </c>
      <c r="H1" s="1620" t="str">
        <f>IF(G1="现房","——","估价对象范围")</f>
        <v>——</v>
      </c>
      <c r="I1" s="1621"/>
    </row>
    <row r="2" spans="1:12" ht="21.75" customHeight="1" thickBot="1">
      <c r="A2" s="3291" t="str">
        <f>项目基本情况!S2</f>
        <v>北京市房地产</v>
      </c>
      <c r="B2" s="3292"/>
      <c r="C2" s="3292"/>
      <c r="D2" s="3292"/>
      <c r="E2" s="3292"/>
      <c r="F2" s="3292"/>
      <c r="G2" s="3292"/>
      <c r="H2" s="3292"/>
      <c r="I2" s="3293"/>
    </row>
    <row r="3" spans="1:12" ht="13">
      <c r="A3" s="3295" t="s">
        <v>1264</v>
      </c>
      <c r="B3" s="3296"/>
      <c r="C3" s="3296"/>
      <c r="D3" s="3296"/>
      <c r="E3" s="3296"/>
      <c r="F3" s="3296"/>
      <c r="G3" s="3296"/>
      <c r="H3" s="3296"/>
      <c r="I3" s="3296"/>
    </row>
    <row r="4" spans="1:12" ht="14">
      <c r="A4" s="1623" t="s">
        <v>1265</v>
      </c>
      <c r="B4" s="1624" t="s">
        <v>1266</v>
      </c>
      <c r="C4" s="1625" t="s">
        <v>3447</v>
      </c>
      <c r="D4" s="1625" t="s">
        <v>3431</v>
      </c>
      <c r="E4" s="3297" t="s">
        <v>1267</v>
      </c>
      <c r="F4" s="3298"/>
      <c r="G4" s="3298"/>
      <c r="H4" s="3298"/>
      <c r="I4" s="329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71" t="s">
        <v>1268</v>
      </c>
      <c r="B5" s="3258">
        <v>25</v>
      </c>
      <c r="C5" s="3274"/>
      <c r="D5" s="3294"/>
      <c r="E5" s="123" t="s">
        <v>1269</v>
      </c>
      <c r="F5" s="1626"/>
      <c r="G5" s="1626"/>
      <c r="H5" s="1626"/>
      <c r="I5" s="1280"/>
    </row>
    <row r="6" spans="1:12" ht="13">
      <c r="A6" s="3271"/>
      <c r="B6" s="3258"/>
      <c r="C6" s="3275"/>
      <c r="D6" s="3294"/>
      <c r="E6" s="123" t="s">
        <v>1270</v>
      </c>
      <c r="F6" s="1626"/>
      <c r="G6" s="1626"/>
      <c r="H6" s="1626"/>
      <c r="I6" s="1280"/>
    </row>
    <row r="7" spans="1:12" ht="13">
      <c r="A7" s="3271"/>
      <c r="B7" s="3258"/>
      <c r="C7" s="3276"/>
      <c r="D7" s="3294"/>
      <c r="E7" s="123" t="s">
        <v>1271</v>
      </c>
      <c r="F7" s="1626"/>
      <c r="G7" s="1626"/>
      <c r="H7" s="1626"/>
      <c r="I7" s="1280"/>
    </row>
    <row r="8" spans="1:12" ht="13">
      <c r="A8" s="3271" t="s">
        <v>1272</v>
      </c>
      <c r="B8" s="3258">
        <v>15</v>
      </c>
      <c r="C8" s="3274"/>
      <c r="D8" s="3294"/>
      <c r="E8" s="123" t="s">
        <v>1273</v>
      </c>
      <c r="F8" s="1626"/>
      <c r="G8" s="1626"/>
      <c r="H8" s="1626"/>
      <c r="I8" s="1280"/>
    </row>
    <row r="9" spans="1:12" ht="13">
      <c r="A9" s="3271"/>
      <c r="B9" s="3258"/>
      <c r="C9" s="3276"/>
      <c r="D9" s="3294"/>
      <c r="E9" s="123" t="s">
        <v>1274</v>
      </c>
      <c r="F9" s="1626"/>
      <c r="G9" s="1626"/>
      <c r="H9" s="1626"/>
      <c r="I9" s="1280"/>
    </row>
    <row r="10" spans="1:12" ht="13">
      <c r="A10" s="3271" t="s">
        <v>1275</v>
      </c>
      <c r="B10" s="3258">
        <v>15</v>
      </c>
      <c r="C10" s="3274"/>
      <c r="D10" s="3294"/>
      <c r="E10" s="123" t="s">
        <v>1276</v>
      </c>
      <c r="F10" s="1626"/>
      <c r="G10" s="1626"/>
      <c r="H10" s="1626"/>
      <c r="I10" s="1280"/>
    </row>
    <row r="11" spans="1:12" ht="13">
      <c r="A11" s="3271"/>
      <c r="B11" s="3258"/>
      <c r="C11" s="3276"/>
      <c r="D11" s="3294"/>
      <c r="E11" s="123" t="s">
        <v>1277</v>
      </c>
      <c r="F11" s="1626"/>
      <c r="G11" s="1626"/>
      <c r="H11" s="1626"/>
      <c r="I11" s="1280"/>
    </row>
    <row r="12" spans="1:12" ht="13">
      <c r="A12" s="3271" t="s">
        <v>1278</v>
      </c>
      <c r="B12" s="3258">
        <v>15</v>
      </c>
      <c r="C12" s="3274"/>
      <c r="D12" s="3294"/>
      <c r="E12" s="123" t="s">
        <v>1279</v>
      </c>
      <c r="F12" s="1626"/>
      <c r="G12" s="1626"/>
      <c r="H12" s="1626"/>
      <c r="I12" s="1280"/>
    </row>
    <row r="13" spans="1:12" ht="13">
      <c r="A13" s="3271"/>
      <c r="B13" s="3258"/>
      <c r="C13" s="3276"/>
      <c r="D13" s="3294"/>
      <c r="E13" s="123" t="s">
        <v>1280</v>
      </c>
      <c r="F13" s="1626"/>
      <c r="G13" s="1626"/>
      <c r="H13" s="1626"/>
      <c r="I13" s="1280"/>
    </row>
    <row r="14" spans="1:12" ht="13">
      <c r="A14" s="3271" t="s">
        <v>1281</v>
      </c>
      <c r="B14" s="3258">
        <v>30</v>
      </c>
      <c r="C14" s="3274">
        <v>7</v>
      </c>
      <c r="D14" s="3294">
        <v>3</v>
      </c>
      <c r="E14" s="123" t="s">
        <v>1282</v>
      </c>
      <c r="F14" s="1626"/>
      <c r="G14" s="1626"/>
      <c r="H14" s="1626"/>
      <c r="I14" s="1280"/>
    </row>
    <row r="15" spans="1:12" ht="13">
      <c r="A15" s="3271"/>
      <c r="B15" s="3258"/>
      <c r="C15" s="3275"/>
      <c r="D15" s="3294"/>
      <c r="E15" s="123" t="s">
        <v>1283</v>
      </c>
      <c r="F15" s="1626"/>
      <c r="G15" s="1626"/>
      <c r="H15" s="1626"/>
      <c r="I15" s="1280"/>
    </row>
    <row r="16" spans="1:12" ht="13">
      <c r="A16" s="3271"/>
      <c r="B16" s="3258"/>
      <c r="C16" s="3276"/>
      <c r="D16" s="3294"/>
      <c r="E16" s="123" t="s">
        <v>1284</v>
      </c>
      <c r="F16" s="1626"/>
      <c r="G16" s="1626"/>
      <c r="H16" s="1626"/>
      <c r="I16" s="1280"/>
    </row>
    <row r="17" spans="1:36" ht="14">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281" t="s">
        <v>2131</v>
      </c>
      <c r="F18" s="3282"/>
      <c r="G18" s="3282"/>
      <c r="H18" s="3282"/>
      <c r="I18" s="3282"/>
      <c r="K18" s="294" t="s">
        <v>1289</v>
      </c>
      <c r="L18" s="294">
        <f>IF(C1="",'数据-汇总表'!E3,SUMIF(项目类型,C1,'数据-汇总表'!E17:E26)+SUMIF(项目类型,C1,'数据-汇总表'!I17:I26))</f>
        <v>2738.73</v>
      </c>
      <c r="M18" s="294">
        <f>IF(C1="",'数据-汇总表'!E3,SUMIF(项目类型,C1,'数据-汇总表'!E17:E26))</f>
        <v>2738.73</v>
      </c>
    </row>
    <row r="19" spans="1:36" ht="14">
      <c r="A19" s="1629" t="s">
        <v>1290</v>
      </c>
      <c r="B19" s="1630" t="s">
        <v>1291</v>
      </c>
      <c r="C19" s="126">
        <f ca="1">SUMIF(INDIRECT("'"&amp;C4&amp;"'"&amp;"!A:A"),结果表!B19,INDIRECT("'"&amp;C4&amp;"'"&amp;"!B:B"))</f>
        <v>1623</v>
      </c>
      <c r="D19" s="127">
        <f ca="1">SUMIF(INDIRECT("'"&amp;D4&amp;"'"&amp;"!A:A"),结果表!B19,INDIRECT("'"&amp;D4&amp;"'"&amp;"!B:B"))</f>
        <v>790</v>
      </c>
      <c r="E19" s="1629" t="s">
        <v>1292</v>
      </c>
      <c r="F19" s="1630" t="s">
        <v>1291</v>
      </c>
      <c r="G19" s="128">
        <f ca="1">ROUND(C19*$C$18+D19*$D$18,0)</f>
        <v>1373</v>
      </c>
      <c r="H19" s="1631" t="s">
        <v>1293</v>
      </c>
      <c r="I19" s="121"/>
      <c r="K19" s="294" t="s">
        <v>1294</v>
      </c>
      <c r="L19" s="294">
        <f>IF(C1="",'数据-汇总表'!D3,SUMIF(项目类型,C1,'数据-汇总表'!D17:D26)+SUMIF(项目类型,C1,'数据-汇总表'!H17:H27))</f>
        <v>5038.53</v>
      </c>
      <c r="M19" s="294">
        <f>IF(C1="",'数据-汇总表'!D3,SUMIF(项目类型,C1,'数据-汇总表'!D17:D26))</f>
        <v>5038.53</v>
      </c>
    </row>
    <row r="20" spans="1:36" ht="14">
      <c r="A20" s="1632"/>
      <c r="B20" s="43" t="s">
        <v>1295</v>
      </c>
      <c r="C20" s="129">
        <f ca="1">SUMIF(INDIRECT("'"&amp;C4&amp;"'"&amp;"!A:A"),结果表!B20,INDIRECT("'"&amp;C4&amp;"'"&amp;"!B:B"))</f>
        <v>5926</v>
      </c>
      <c r="D20" s="130">
        <f ca="1">SUMIF(INDIRECT("'"&amp;D4&amp;"'"&amp;"!A:A"),结果表!B20,INDIRECT("'"&amp;D4&amp;"'"&amp;"!B:B"))</f>
        <v>2885</v>
      </c>
      <c r="E20" s="1632"/>
      <c r="F20" s="43" t="s">
        <v>1295</v>
      </c>
      <c r="G20" s="131">
        <f ca="1">ROUND(C20*$C$18+D20*$D$18,0)</f>
        <v>5014</v>
      </c>
      <c r="H20" s="760" t="s">
        <v>1296</v>
      </c>
      <c r="I20" s="121"/>
    </row>
    <row r="21" spans="1:36" ht="15" customHeight="1" thickBot="1">
      <c r="A21" s="449"/>
      <c r="B21" s="93" t="s">
        <v>1297</v>
      </c>
      <c r="C21" s="678">
        <f ca="1">ROUND(C19*10000/L19,0)</f>
        <v>3221</v>
      </c>
      <c r="D21" s="679">
        <f ca="1">ROUND(D19*10000/L19,0)</f>
        <v>1568</v>
      </c>
      <c r="E21" s="449"/>
      <c r="F21" s="93" t="s">
        <v>1297</v>
      </c>
      <c r="G21" s="132">
        <f ca="1">ROUND(G19*10000/L19,0)</f>
        <v>2725</v>
      </c>
      <c r="H21" s="1633" t="s">
        <v>1296</v>
      </c>
      <c r="I21" s="121"/>
    </row>
    <row r="22" spans="1:36" ht="14.5" thickBot="1">
      <c r="A22" s="1563" t="s">
        <v>1298</v>
      </c>
      <c r="B22" s="1634"/>
      <c r="C22" s="1635"/>
      <c r="D22" s="680">
        <f ca="1">IF(C19&lt;D19,D19/C19-1,C19/D19-1)</f>
        <v>1.0544303797468353</v>
      </c>
      <c r="E22" s="121"/>
      <c r="F22" s="121"/>
      <c r="G22" s="121"/>
      <c r="H22" s="121"/>
      <c r="I22" s="121"/>
    </row>
    <row r="23" spans="1:36" ht="13.5" thickBot="1">
      <c r="A23" s="646"/>
      <c r="B23" s="646"/>
      <c r="C23" s="646"/>
      <c r="D23" s="646"/>
      <c r="E23" s="121"/>
      <c r="F23" s="121" t="s">
        <v>3448</v>
      </c>
      <c r="G23" s="121"/>
      <c r="H23" s="121" t="s">
        <v>3452</v>
      </c>
      <c r="I23" s="121" t="s">
        <v>3453</v>
      </c>
    </row>
    <row r="24" spans="1:36" ht="14">
      <c r="A24" s="3265" t="s">
        <v>1299</v>
      </c>
      <c r="B24" s="1630" t="s">
        <v>1291</v>
      </c>
      <c r="C24" s="128">
        <f>IF(B30=0,0,D30)</f>
        <v>0</v>
      </c>
      <c r="D24" s="1636"/>
      <c r="E24" s="121"/>
      <c r="F24" s="3509" t="s">
        <v>3450</v>
      </c>
      <c r="G24" s="121">
        <v>1475</v>
      </c>
      <c r="H24" s="121">
        <v>1426</v>
      </c>
      <c r="I24" s="121">
        <v>1350</v>
      </c>
    </row>
    <row r="25" spans="1:36" ht="14">
      <c r="A25" s="3266"/>
      <c r="B25" s="43" t="s">
        <v>1295</v>
      </c>
      <c r="C25" s="133">
        <f>IF(B30=0,0,C30)</f>
        <v>0</v>
      </c>
      <c r="D25" s="1637"/>
      <c r="E25" s="121"/>
      <c r="F25" s="3509" t="s">
        <v>3451</v>
      </c>
      <c r="G25" s="121">
        <v>5386</v>
      </c>
      <c r="H25" s="121">
        <v>5207</v>
      </c>
      <c r="I25" s="121">
        <f>ROUND(I24*10000/系统读取表!B14,0)</f>
        <v>4929</v>
      </c>
    </row>
    <row r="26" spans="1:36" ht="13.5" customHeight="1">
      <c r="A26" s="1638" t="s">
        <v>1300</v>
      </c>
      <c r="B26" s="134" t="s">
        <v>1301</v>
      </c>
      <c r="C26" s="134" t="s">
        <v>1302</v>
      </c>
      <c r="D26" s="135" t="s">
        <v>1303</v>
      </c>
      <c r="E26" s="121"/>
      <c r="F26" s="121"/>
      <c r="G26" s="121"/>
      <c r="H26" s="121">
        <f>H24/G24</f>
        <v>0.96677966101694912</v>
      </c>
      <c r="I26" s="121">
        <f>I24/H24</f>
        <v>0.94670406732117807</v>
      </c>
    </row>
    <row r="27" spans="1:36" ht="14">
      <c r="A27" s="1638"/>
      <c r="B27" s="134">
        <v>0</v>
      </c>
      <c r="C27" s="134">
        <v>0</v>
      </c>
      <c r="D27" s="135">
        <f>ROUND(C27*B27/10000,0)</f>
        <v>0</v>
      </c>
      <c r="E27" s="121"/>
      <c r="F27" s="121"/>
      <c r="G27" s="121"/>
      <c r="H27" s="121"/>
      <c r="I27" s="121"/>
    </row>
    <row r="28" spans="1:36" ht="14">
      <c r="A28" s="1638"/>
      <c r="B28" s="134"/>
      <c r="C28" s="134"/>
      <c r="D28" s="135"/>
      <c r="E28" s="121"/>
      <c r="F28" s="121"/>
      <c r="G28" s="121"/>
      <c r="H28" s="121"/>
      <c r="I28" s="121"/>
    </row>
    <row r="29" spans="1:36" ht="14">
      <c r="A29" s="1638"/>
      <c r="B29" s="134"/>
      <c r="C29" s="134"/>
      <c r="D29" s="135"/>
      <c r="E29" s="121"/>
      <c r="F29" s="121"/>
      <c r="G29" s="121"/>
      <c r="H29" s="121"/>
      <c r="I29" s="121"/>
    </row>
    <row r="30" spans="1:36" ht="14.5" thickBot="1">
      <c r="A30" s="134" t="s">
        <v>1304</v>
      </c>
      <c r="B30" s="134"/>
      <c r="C30" s="134"/>
      <c r="D30" s="134"/>
      <c r="E30" s="2126" t="s">
        <v>2132</v>
      </c>
      <c r="F30" s="121"/>
      <c r="G30" s="121"/>
      <c r="H30" s="121"/>
      <c r="I30" s="121"/>
    </row>
    <row r="31" spans="1:36" s="2132" customFormat="1" ht="26.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thickTop="1" thickBot="1">
      <c r="A32" s="1639" t="s">
        <v>1305</v>
      </c>
      <c r="B32" s="1534"/>
      <c r="C32" s="136">
        <f ca="1">IF(D32="总价",G19-C24,G20-C25)</f>
        <v>1373</v>
      </c>
      <c r="D32" s="1640" t="s">
        <v>3449</v>
      </c>
      <c r="E32" s="121"/>
      <c r="F32" s="121"/>
      <c r="G32" s="121"/>
      <c r="H32" s="121"/>
      <c r="I32" s="121"/>
    </row>
    <row r="33" spans="1:15" ht="14">
      <c r="A33" s="740" t="s">
        <v>1306</v>
      </c>
      <c r="B33" s="123"/>
      <c r="C33" s="1641" t="s">
        <v>3454</v>
      </c>
      <c r="D33" s="1642" t="s">
        <v>3447</v>
      </c>
      <c r="E33" s="1643" t="s">
        <v>1307</v>
      </c>
      <c r="F33" s="1644" t="str">
        <f>IF(D32="楼面单价","取值（单价）","取值（总价）")</f>
        <v>取值（总价）</v>
      </c>
      <c r="G33" s="121"/>
      <c r="H33" s="121"/>
      <c r="I33" s="121"/>
    </row>
    <row r="34" spans="1:15" ht="14">
      <c r="A34" s="1645"/>
      <c r="B34" s="1646" t="s">
        <v>1308</v>
      </c>
      <c r="C34" s="140">
        <f ca="1">IF(C33="自定义",F34,C32-C35)</f>
        <v>802</v>
      </c>
      <c r="D34" s="808">
        <f ca="1">IF(C33="自定义",ROUND(C34/C32,3),IF(C33="收益比率",SUMIF(INDIRECT("'"&amp;D33&amp;"'"&amp;"!b:b"),"土地收益比率",INDIRECT("'"&amp;D33&amp;"'"&amp;"!c:c")),SUMIF(INDIRECT("'"&amp;D33&amp;"'"&amp;"!b:b"),"土地成本比率",INDIRECT("'"&amp;D33&amp;"'"&amp;"!c:c"))))</f>
        <v>0.58400000000000007</v>
      </c>
      <c r="E34" s="1647" t="s">
        <v>1309</v>
      </c>
      <c r="F34" s="1242"/>
      <c r="G34" s="121"/>
      <c r="H34" s="121"/>
      <c r="I34" s="121"/>
    </row>
    <row r="35" spans="1:15" ht="14.5" thickBot="1">
      <c r="A35" s="1648"/>
      <c r="B35" s="1649" t="s">
        <v>1310</v>
      </c>
      <c r="C35" s="1089">
        <f ca="1">IF(C33="自定义",F35,ROUND(C32*D35,0))</f>
        <v>571</v>
      </c>
      <c r="D35" s="1090">
        <f ca="1">IF(C33="自定义",ROUND(C35/C32,3),IF(C33="收益比率",SUMIF(INDIRECT("'"&amp;D33&amp;"'"&amp;"!b:b"),"建筑物收益比率",INDIRECT("'"&amp;D33&amp;"'"&amp;"!c:c")),SUMIF(INDIRECT("'"&amp;D33&amp;"'"&amp;"!b:b"),"建筑物成本比率",INDIRECT("'"&amp;D33&amp;"'"&amp;"!c:c"))))</f>
        <v>0.41599999999999998</v>
      </c>
      <c r="E35" s="1650" t="s">
        <v>1311</v>
      </c>
      <c r="F35" s="146"/>
      <c r="G35" s="121"/>
      <c r="H35" s="121"/>
      <c r="I35" s="121"/>
    </row>
    <row r="36" spans="1:15" ht="14.5" thickBot="1">
      <c r="A36" s="3285" t="s">
        <v>1312</v>
      </c>
      <c r="B36" s="1651" t="s">
        <v>1313</v>
      </c>
      <c r="C36" s="137"/>
      <c r="D36" s="1652"/>
      <c r="E36" s="1566"/>
      <c r="F36" s="1653"/>
      <c r="G36" s="121"/>
      <c r="H36" s="121"/>
      <c r="I36" s="121"/>
    </row>
    <row r="37" spans="1:15" ht="14.5" thickBot="1">
      <c r="A37" s="3286"/>
      <c r="B37" s="1554" t="s">
        <v>1314</v>
      </c>
      <c r="C37" s="139"/>
      <c r="D37" s="1070"/>
      <c r="E37" s="1070"/>
      <c r="F37" s="1653"/>
      <c r="G37" s="121"/>
      <c r="H37" s="121"/>
      <c r="I37" s="121"/>
    </row>
    <row r="38" spans="1:15" ht="14.5" thickBot="1">
      <c r="A38" s="3287"/>
      <c r="B38" s="1654" t="s">
        <v>1315</v>
      </c>
      <c r="C38" s="641"/>
      <c r="D38" s="1655" t="s">
        <v>1316</v>
      </c>
      <c r="E38" s="1070"/>
      <c r="F38" s="1653"/>
      <c r="G38" s="121"/>
      <c r="H38" s="121"/>
      <c r="I38" s="121"/>
    </row>
    <row r="39" spans="1:15" ht="14">
      <c r="A39" s="1632" t="s">
        <v>1317</v>
      </c>
      <c r="B39" s="1656" t="s">
        <v>1318</v>
      </c>
      <c r="C39" s="1657" t="s">
        <v>1319</v>
      </c>
      <c r="D39" s="1657" t="s">
        <v>1320</v>
      </c>
      <c r="E39" s="1658" t="s">
        <v>1321</v>
      </c>
      <c r="F39" s="1653"/>
      <c r="G39" s="121"/>
      <c r="H39" s="121"/>
      <c r="I39" s="121"/>
    </row>
    <row r="40" spans="1:15" ht="14">
      <c r="A40" s="1659" t="s">
        <v>1322</v>
      </c>
      <c r="B40" s="141"/>
      <c r="C40" s="142"/>
      <c r="D40" s="142"/>
      <c r="E40" s="143"/>
      <c r="F40" s="1653"/>
      <c r="G40" s="121"/>
      <c r="H40" s="121"/>
      <c r="I40" s="121"/>
    </row>
    <row r="41" spans="1:15" ht="14">
      <c r="A41" s="1659" t="s">
        <v>1323</v>
      </c>
      <c r="B41" s="141"/>
      <c r="C41" s="142"/>
      <c r="D41" s="142"/>
      <c r="E41" s="143"/>
      <c r="F41" s="1653"/>
      <c r="G41" s="121"/>
      <c r="H41" s="121"/>
      <c r="I41" s="121"/>
    </row>
    <row r="42" spans="1:15" ht="14.5" thickBot="1">
      <c r="A42" s="1660"/>
      <c r="B42" s="144"/>
      <c r="C42" s="145"/>
      <c r="D42" s="145"/>
      <c r="E42" s="146"/>
      <c r="F42" s="1653"/>
      <c r="G42" s="121"/>
      <c r="H42" s="121"/>
      <c r="I42" s="121"/>
    </row>
    <row r="43" spans="1:15" ht="12.5">
      <c r="A43" s="1466"/>
      <c r="B43" s="1466"/>
      <c r="C43" s="1466"/>
      <c r="D43" s="1466"/>
      <c r="E43" s="1466"/>
      <c r="F43" s="1661"/>
      <c r="G43" s="1661"/>
      <c r="H43" s="1661"/>
      <c r="I43" s="1662"/>
    </row>
    <row r="44" spans="1:15" ht="18">
      <c r="A44" s="1463" t="s">
        <v>1324</v>
      </c>
      <c r="B44" s="1663"/>
      <c r="C44" s="1663"/>
      <c r="D44" s="1664"/>
      <c r="E44" s="1664"/>
      <c r="F44" s="1665"/>
      <c r="G44" s="1665"/>
      <c r="H44" s="1665"/>
      <c r="I44" s="1665"/>
      <c r="J44" s="1666" t="s">
        <v>1325</v>
      </c>
      <c r="K44" s="4"/>
      <c r="L44" s="4"/>
      <c r="M44" s="4"/>
      <c r="N44" s="4"/>
      <c r="O44" s="4"/>
    </row>
    <row r="45" spans="1:15" ht="14.25" customHeight="1" thickBot="1">
      <c r="A45" s="3262" t="s">
        <v>1326</v>
      </c>
      <c r="B45" s="3263"/>
      <c r="C45" s="3264"/>
      <c r="D45" s="147">
        <f ca="1">ROUND(H101*F45,0)</f>
        <v>1373</v>
      </c>
      <c r="E45" s="148" t="s">
        <v>1327</v>
      </c>
      <c r="F45" s="149">
        <v>1</v>
      </c>
      <c r="G45" s="150" t="s">
        <v>1328</v>
      </c>
      <c r="H45" s="121"/>
      <c r="I45" s="121"/>
      <c r="J45" s="3340" t="s">
        <v>1329</v>
      </c>
      <c r="K45" s="3340"/>
      <c r="L45" s="3340"/>
      <c r="M45" s="3340"/>
      <c r="N45" s="3340"/>
      <c r="O45" s="3340"/>
    </row>
    <row r="46" spans="1:15" ht="14.25" customHeight="1">
      <c r="A46" s="3259" t="s">
        <v>1330</v>
      </c>
      <c r="B46" s="3260"/>
      <c r="C46" s="3260"/>
      <c r="D46" s="3260"/>
      <c r="E46" s="3260"/>
      <c r="F46" s="3260"/>
      <c r="G46" s="3261"/>
      <c r="H46" s="1667"/>
      <c r="I46" s="151"/>
      <c r="J46" s="2309">
        <v>1</v>
      </c>
      <c r="K46" s="3321" t="s">
        <v>1331</v>
      </c>
      <c r="L46" s="3321"/>
      <c r="M46" s="3341"/>
      <c r="N46" s="3341"/>
      <c r="O46" s="3341"/>
    </row>
    <row r="47" spans="1:15" ht="12" customHeight="1">
      <c r="A47" s="152" t="s">
        <v>1332</v>
      </c>
      <c r="B47" s="153"/>
      <c r="C47" s="154"/>
      <c r="D47" s="1024" t="s">
        <v>1333</v>
      </c>
      <c r="E47" s="294" t="s">
        <v>1334</v>
      </c>
      <c r="F47" s="155" t="s">
        <v>1335</v>
      </c>
      <c r="G47" s="2332" t="s">
        <v>1336</v>
      </c>
      <c r="H47" s="2333"/>
      <c r="I47" s="151"/>
      <c r="J47" s="2309">
        <v>2</v>
      </c>
      <c r="K47" s="3321" t="s">
        <v>1337</v>
      </c>
      <c r="L47" s="3321"/>
      <c r="M47" s="3342">
        <f>'数据-取费表'!B2</f>
        <v>46022</v>
      </c>
      <c r="N47" s="3342"/>
      <c r="O47" s="3342"/>
    </row>
    <row r="48" spans="1:15" ht="26">
      <c r="A48" s="3290" t="s">
        <v>1338</v>
      </c>
      <c r="B48" s="3273"/>
      <c r="C48" s="3273"/>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321" t="s">
        <v>1340</v>
      </c>
      <c r="L48" s="3321"/>
      <c r="M48" s="3343">
        <f ca="1">H101</f>
        <v>1373</v>
      </c>
      <c r="N48" s="3343"/>
      <c r="O48" s="3343"/>
    </row>
    <row r="49" spans="1:35" ht="25.5" customHeight="1">
      <c r="A49" s="2151" t="s">
        <v>1341</v>
      </c>
      <c r="B49" s="3257" t="s">
        <v>1342</v>
      </c>
      <c r="C49" s="3257"/>
      <c r="D49" s="1477">
        <v>0</v>
      </c>
      <c r="E49" s="316" t="s">
        <v>1343</v>
      </c>
      <c r="F49" s="2232" t="s">
        <v>28</v>
      </c>
      <c r="G49" s="3327"/>
      <c r="H49" s="2133" t="s">
        <v>2134</v>
      </c>
      <c r="I49" s="2134"/>
      <c r="J49" s="2309">
        <v>4</v>
      </c>
      <c r="K49" s="3321" t="str">
        <f>IF(项目基本情况!E8="房地产抵押价值","房地产抵押价值","抵押担保权已注销时的房地产抵押价值")</f>
        <v>房地产抵押价值</v>
      </c>
      <c r="L49" s="3321"/>
      <c r="M49" s="3343">
        <f ca="1">IF(项目基本情况!E8="房地产抵押价值",H107,H109)</f>
        <v>1373</v>
      </c>
      <c r="N49" s="3343"/>
      <c r="O49" s="3343"/>
    </row>
    <row r="50" spans="1:35" ht="25.5" customHeight="1">
      <c r="A50" s="2337"/>
      <c r="B50" s="3257" t="s">
        <v>1344</v>
      </c>
      <c r="C50" s="3257"/>
      <c r="D50" s="2188"/>
      <c r="E50" s="323"/>
      <c r="F50" s="2232"/>
      <c r="G50" s="3328"/>
      <c r="H50" s="2135" t="s">
        <v>2135</v>
      </c>
      <c r="I50" s="2134"/>
      <c r="J50" s="3340" t="s">
        <v>1345</v>
      </c>
      <c r="K50" s="3340"/>
      <c r="L50" s="3340"/>
      <c r="M50" s="3340"/>
      <c r="N50" s="3340"/>
      <c r="O50" s="3340"/>
    </row>
    <row r="51" spans="1:35" ht="20.5" customHeight="1">
      <c r="A51" s="2338"/>
      <c r="B51" s="3257" t="s">
        <v>1346</v>
      </c>
      <c r="C51" s="3257"/>
      <c r="D51" s="1024"/>
      <c r="E51" s="319"/>
      <c r="F51" s="2232"/>
      <c r="G51" s="3329"/>
      <c r="H51" s="2135" t="s">
        <v>2136</v>
      </c>
      <c r="I51" s="2134"/>
      <c r="J51" s="2310" t="s">
        <v>1347</v>
      </c>
      <c r="K51" s="3321" t="s">
        <v>1348</v>
      </c>
      <c r="L51" s="3321"/>
      <c r="M51" s="2310" t="s">
        <v>1349</v>
      </c>
      <c r="N51" s="2310" t="s">
        <v>1350</v>
      </c>
      <c r="O51" s="2310" t="s">
        <v>1351</v>
      </c>
    </row>
    <row r="52" spans="1:35" ht="24" customHeight="1">
      <c r="A52" s="2152" t="s">
        <v>1352</v>
      </c>
      <c r="B52" s="3257" t="s">
        <v>1353</v>
      </c>
      <c r="C52" s="3257"/>
      <c r="D52" s="1024">
        <f ca="1">ROUND(D45*'数据-取费表'!B41/(1+'数据-取费表'!C42),0)</f>
        <v>72</v>
      </c>
      <c r="E52" s="1255" t="s">
        <v>1354</v>
      </c>
      <c r="F52" s="2339">
        <f>'数据-取费表'!B41</f>
        <v>5.5000000000000007E-2</v>
      </c>
      <c r="G52" s="2340"/>
      <c r="H52" s="2330"/>
      <c r="I52" s="1668"/>
      <c r="J52" s="2309">
        <v>1</v>
      </c>
      <c r="K52" s="3322" t="s">
        <v>1355</v>
      </c>
      <c r="L52" s="3322"/>
      <c r="M52" s="2311" t="b">
        <f>D48</f>
        <v>0</v>
      </c>
      <c r="N52" s="2309" t="str">
        <f>E48</f>
        <v>销售额×税（费）率</v>
      </c>
      <c r="O52" s="2312">
        <f>F48</f>
        <v>5.5000000000000007E-2</v>
      </c>
    </row>
    <row r="53" spans="1:35" ht="12" customHeight="1">
      <c r="A53" s="2152" t="s">
        <v>1356</v>
      </c>
      <c r="B53" s="3283" t="s">
        <v>2291</v>
      </c>
      <c r="C53" s="3284"/>
      <c r="D53" s="1024">
        <f ca="1">ROUND(D45*'数据-取费表'!B41/(1+'数据-取费表'!C42),0)</f>
        <v>72</v>
      </c>
      <c r="E53" s="1255" t="s">
        <v>1354</v>
      </c>
      <c r="F53" s="2339">
        <f>'数据-取费表'!B41</f>
        <v>5.5000000000000007E-2</v>
      </c>
      <c r="G53" s="2340"/>
      <c r="H53" s="2330"/>
      <c r="I53" s="1668"/>
      <c r="J53" s="2309">
        <v>2</v>
      </c>
      <c r="K53" s="3322" t="s">
        <v>1357</v>
      </c>
      <c r="L53" s="3322"/>
      <c r="M53" s="2311">
        <f t="shared" ref="M53:O54" ca="1" si="0">D55</f>
        <v>1</v>
      </c>
      <c r="N53" s="2309" t="str">
        <f t="shared" si="0"/>
        <v>销售额×税（费）率</v>
      </c>
      <c r="O53" s="2312" t="str">
        <f t="shared" si="0"/>
        <v>免征</v>
      </c>
    </row>
    <row r="54" spans="1:35" ht="12" customHeight="1">
      <c r="A54" s="2152" t="s">
        <v>1358</v>
      </c>
      <c r="B54" s="3283" t="s">
        <v>2292</v>
      </c>
      <c r="C54" s="3284"/>
      <c r="D54" s="1024">
        <f ca="1">C68</f>
        <v>72</v>
      </c>
      <c r="E54" s="319" t="s">
        <v>1359</v>
      </c>
      <c r="F54" s="2339">
        <f>'数据-取费表'!B41</f>
        <v>5.5000000000000007E-2</v>
      </c>
      <c r="G54" s="2340"/>
      <c r="H54" s="2341"/>
      <c r="I54" s="1668"/>
      <c r="J54" s="2309">
        <v>3</v>
      </c>
      <c r="K54" s="3322" t="s">
        <v>1360</v>
      </c>
      <c r="L54" s="3322"/>
      <c r="M54" s="2311">
        <f t="shared" ca="1" si="0"/>
        <v>778</v>
      </c>
      <c r="N54" s="2309" t="str">
        <f t="shared" si="0"/>
        <v>增值额×税（费）率</v>
      </c>
      <c r="O54" s="2313" t="str">
        <f t="shared" si="0"/>
        <v>免征</v>
      </c>
    </row>
    <row r="55" spans="1:35" ht="24" customHeight="1">
      <c r="A55" s="3272" t="s">
        <v>1361</v>
      </c>
      <c r="B55" s="3273"/>
      <c r="C55" s="3273"/>
      <c r="D55" s="12">
        <f ca="1">IF(H55="个人住宅",0,ROUND(D45*I55,0))</f>
        <v>1</v>
      </c>
      <c r="E55" s="1255" t="s">
        <v>1362</v>
      </c>
      <c r="F55" s="2339" t="str">
        <f>IF(H55="正常",I55,"免征")</f>
        <v>免征</v>
      </c>
      <c r="G55" s="2340"/>
      <c r="H55" s="2336"/>
      <c r="I55" s="157">
        <f>'数据-取费表'!B49</f>
        <v>5.0000000000000001E-4</v>
      </c>
      <c r="J55" s="2309">
        <f>IF(H59="非个人房产","",4)</f>
        <v>4</v>
      </c>
      <c r="K55" s="3322" t="str">
        <f>IF(H59="非个人房产","——","个人所得税")</f>
        <v>个人所得税</v>
      </c>
      <c r="L55" s="3322"/>
      <c r="M55" s="2314">
        <f ca="1">D59</f>
        <v>13</v>
      </c>
      <c r="N55" s="1882" t="str">
        <f>E59</f>
        <v>差额计税</v>
      </c>
      <c r="O55" s="2315">
        <f>F59</f>
        <v>0.01</v>
      </c>
    </row>
    <row r="56" spans="1:35" ht="26">
      <c r="A56" s="3272" t="s">
        <v>1363</v>
      </c>
      <c r="B56" s="3273"/>
      <c r="C56" s="3273"/>
      <c r="D56" s="12">
        <f ca="1">IF(H56="个人住宅",D57,D58)</f>
        <v>778</v>
      </c>
      <c r="E56" s="1255" t="s">
        <v>1364</v>
      </c>
      <c r="F56" s="2339" t="str">
        <f>IF(H56="正常",F58,"免征")</f>
        <v>免征</v>
      </c>
      <c r="G56" s="2342" t="s">
        <v>1365</v>
      </c>
      <c r="H56" s="2343"/>
      <c r="I56" s="1669"/>
      <c r="J56" s="2309" t="str">
        <f>IF(项目基本情况!K6="上海银行",IF(J55="",4,J55+1),"")</f>
        <v/>
      </c>
      <c r="K56" s="3345" t="str">
        <f>IF(项目基本情况!K6="上海银行","其他处置费用","")</f>
        <v/>
      </c>
      <c r="L56" s="3346"/>
      <c r="M56" s="2311" t="str">
        <f>IF(项目基本情况!K6="上海银行",M69,"")</f>
        <v/>
      </c>
      <c r="N56" s="3345" t="str">
        <f>IF(项目基本情况!K6="上海银行","包含处置中涉及的律师、诉讼、拍卖、评估等费用","")</f>
        <v/>
      </c>
      <c r="O56" s="3348"/>
    </row>
    <row r="57" spans="1:35" ht="13">
      <c r="A57" s="2152" t="s">
        <v>1341</v>
      </c>
      <c r="B57" s="3283" t="s">
        <v>1366</v>
      </c>
      <c r="C57" s="3284"/>
      <c r="D57" s="1477">
        <v>0</v>
      </c>
      <c r="E57" s="316" t="s">
        <v>1343</v>
      </c>
      <c r="F57" s="294"/>
      <c r="G57" s="2340"/>
      <c r="H57" s="2344"/>
      <c r="I57" s="1669"/>
      <c r="J57" s="3322">
        <f>IF(AND(J55="",J56=""),4,IF(项目基本情况!K6="上海银行",结果表!J56+1,结果表!J55+1))</f>
        <v>5</v>
      </c>
      <c r="K57" s="3322" t="s">
        <v>1367</v>
      </c>
      <c r="L57" s="2316" t="s">
        <v>1368</v>
      </c>
      <c r="M57" s="2317"/>
      <c r="N57" s="2318">
        <f ca="1">SUMIF(M52:M56,"&lt;9e307")</f>
        <v>792</v>
      </c>
      <c r="O57" s="2319"/>
      <c r="P57" s="2464">
        <f ca="1">N57/M49</f>
        <v>0.57683903860160235</v>
      </c>
    </row>
    <row r="58" spans="1:35" ht="26">
      <c r="A58" s="2152" t="s">
        <v>1352</v>
      </c>
      <c r="B58" s="3283" t="s">
        <v>1369</v>
      </c>
      <c r="C58" s="3257"/>
      <c r="D58" s="12">
        <f ca="1">IF(H58="转让取得",C81,C97)</f>
        <v>778</v>
      </c>
      <c r="E58" s="1255" t="s">
        <v>1364</v>
      </c>
      <c r="F58" s="294" t="s">
        <v>28</v>
      </c>
      <c r="G58" s="2340"/>
      <c r="H58" s="2343"/>
      <c r="I58" s="1669"/>
      <c r="J58" s="3322"/>
      <c r="K58" s="3322"/>
      <c r="L58" s="2316" t="s">
        <v>1370</v>
      </c>
      <c r="M58" s="2320"/>
      <c r="N58" s="2321" t="str">
        <f ca="1">NUMBERSTRING(INT(N57*10000),2)&amp;"元整"</f>
        <v>柒佰玖拾贰万元整</v>
      </c>
      <c r="O58" s="2322"/>
    </row>
    <row r="59" spans="1:35" ht="26.5" thickBot="1">
      <c r="A59" s="3325" t="s">
        <v>1371</v>
      </c>
      <c r="B59" s="3326"/>
      <c r="C59" s="3326"/>
      <c r="D59" s="2345">
        <f ca="1">IF(H59="非个人房产","——",IF(H59="个人住宅（满五唯一有凭证）",0,IF(H59="个人其他（无凭证）",ROUND(D45/(1+'数据-取费表'!C42)*F59,0),ROUND(C67*F59,0))))</f>
        <v>13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23">
        <f>J57+1</f>
        <v>6</v>
      </c>
      <c r="K59" s="3322" t="s">
        <v>1372</v>
      </c>
      <c r="L59" s="2309" t="s">
        <v>1368</v>
      </c>
      <c r="M59" s="2323"/>
      <c r="N59" s="2324">
        <f ca="1">M49-N57</f>
        <v>581</v>
      </c>
      <c r="O59" s="2325"/>
    </row>
    <row r="60" spans="1:35" ht="12" customHeight="1">
      <c r="A60" s="1670"/>
      <c r="B60" s="646"/>
      <c r="C60" s="646"/>
      <c r="D60" s="646"/>
      <c r="E60" s="1465"/>
      <c r="F60" s="1669"/>
      <c r="G60" s="1669"/>
      <c r="H60" s="151"/>
      <c r="I60" s="121"/>
      <c r="J60" s="3324"/>
      <c r="K60" s="3322"/>
      <c r="L60" s="2316" t="s">
        <v>1370</v>
      </c>
      <c r="M60" s="2320"/>
      <c r="N60" s="2321" t="str">
        <f ca="1">NUMBERSTRING(INT(N59*10000),2)&amp;"元整"</f>
        <v>伍佰捌拾壹万元整</v>
      </c>
      <c r="O60" s="2322"/>
    </row>
    <row r="61" spans="1:35" ht="13.5" thickBot="1">
      <c r="A61" s="3270" t="s">
        <v>1373</v>
      </c>
      <c r="B61" s="3270"/>
      <c r="C61" s="3270"/>
      <c r="D61" s="3270"/>
      <c r="E61" s="3270"/>
      <c r="F61" s="1669"/>
      <c r="G61" s="1669"/>
      <c r="H61" s="151"/>
      <c r="I61" s="121"/>
      <c r="J61" s="2309">
        <f>J59+1</f>
        <v>7</v>
      </c>
      <c r="K61" s="3322" t="s">
        <v>1374</v>
      </c>
      <c r="L61" s="3322"/>
      <c r="M61" s="2326"/>
      <c r="N61" s="2327">
        <f ca="1">ROUND(N59*10000/'数据-汇总表'!E3,0)</f>
        <v>2121</v>
      </c>
      <c r="O61" s="2328"/>
    </row>
    <row r="62" spans="1:35" ht="13">
      <c r="A62" s="3288" t="s">
        <v>1375</v>
      </c>
      <c r="B62" s="3289"/>
      <c r="C62" s="1864"/>
      <c r="D62" s="1864" t="s">
        <v>1376</v>
      </c>
      <c r="E62" s="158" t="s">
        <v>1377</v>
      </c>
      <c r="F62" s="1669"/>
      <c r="G62" s="1669"/>
      <c r="H62" s="151"/>
      <c r="I62" s="121"/>
    </row>
    <row r="63" spans="1:35" ht="13">
      <c r="A63" s="165" t="s">
        <v>330</v>
      </c>
      <c r="B63" s="159" t="s">
        <v>1378</v>
      </c>
      <c r="C63" s="2349">
        <f ca="1">ROUND((C64+C65)/(1+'数据-取费表'!C42),0)</f>
        <v>1308</v>
      </c>
      <c r="D63" s="159"/>
      <c r="E63" s="160"/>
      <c r="F63" s="1669"/>
      <c r="G63" s="1669"/>
      <c r="H63" s="151"/>
      <c r="I63" s="121"/>
      <c r="J63" s="3347" t="s">
        <v>1379</v>
      </c>
      <c r="K63" s="1244" t="s">
        <v>1380</v>
      </c>
      <c r="L63" s="1244">
        <f ca="1">IF(M49&gt;10000,M49*0.5%,IF(AND(M49&gt;1000,M49&lt;=10000),M49*1%,IF(AND(M49&gt;100,M49&lt;=1000),M49*3%,IF(AND(M49&gt;10,M49&lt;=100),M49*5%,M49*8%))))</f>
        <v>13.73</v>
      </c>
      <c r="M63" s="294">
        <f ca="1">ROUND(L63,1)</f>
        <v>13.7</v>
      </c>
      <c r="N63" s="2329"/>
      <c r="Z63" s="1622"/>
      <c r="AI63" s="1560"/>
    </row>
    <row r="64" spans="1:35" ht="14.25" customHeight="1">
      <c r="A64" s="161" t="s">
        <v>325</v>
      </c>
      <c r="B64" s="162" t="s">
        <v>1381</v>
      </c>
      <c r="C64" s="2350">
        <f ca="1">D45</f>
        <v>1373</v>
      </c>
      <c r="D64" s="162" t="s">
        <v>26</v>
      </c>
      <c r="E64" s="164"/>
      <c r="F64" s="1669"/>
      <c r="G64" s="1669"/>
      <c r="H64" s="151"/>
      <c r="I64" s="121"/>
      <c r="J64" s="3347"/>
      <c r="K64" s="1244" t="s">
        <v>1382</v>
      </c>
      <c r="L64" s="1244">
        <f ca="1">IF(M49&gt;2000,M49*0.5%,IF(AND(M49&gt;1000,M49&lt;=2000),M49*0.6%,IF(AND(M49&gt;500,M49&lt;=1000),M49*0.7%,IF(AND(M49&gt;200,M49&lt;=500),M49*0.8%,IF(AND(M49&gt;100,M49&lt;=200),M49*0.9%,IF(AND(M49&gt;50,M49&lt;=100),M49*1%,IF(AND(M49&gt;20,M49&lt;=50),M49*1.5%,IF(AND(M49&gt;10,M49&lt;=20),M49*2%,IF(AND(M49&gt;1,M49&lt;=10),M49*2.5%)))))))))</f>
        <v>8.2379999999999995</v>
      </c>
      <c r="M64" s="294">
        <f t="shared" ref="M64:M65" ca="1" si="1">ROUND(L64,1)</f>
        <v>8.1999999999999993</v>
      </c>
      <c r="N64" s="2330" t="s">
        <v>1383</v>
      </c>
      <c r="Z64" s="1622"/>
      <c r="AI64" s="1560"/>
    </row>
    <row r="65" spans="1:35" ht="14.25" customHeight="1">
      <c r="A65" s="161" t="s">
        <v>326</v>
      </c>
      <c r="B65" s="162" t="s">
        <v>1384</v>
      </c>
      <c r="C65" s="2351"/>
      <c r="D65" s="162"/>
      <c r="E65" s="164"/>
      <c r="F65" s="1669"/>
      <c r="G65" s="1669"/>
      <c r="H65" s="151"/>
      <c r="I65" s="121"/>
      <c r="J65" s="3347"/>
      <c r="K65" s="1244" t="s">
        <v>1385</v>
      </c>
      <c r="L65" s="1244">
        <f ca="1">IF(M49&gt;1000,M49*0.1%,IF(AND(M49&gt;500,M49&lt;=1000),M49*0.5%,IF(AND(M49&gt;50,M49&lt;=500),M49*1%,IF(AND(M49&gt;1,M49&lt;=50),M49*1.5%))))</f>
        <v>1.373</v>
      </c>
      <c r="M65" s="294">
        <f t="shared" ca="1" si="1"/>
        <v>1.4</v>
      </c>
      <c r="N65" s="2330" t="s">
        <v>1383</v>
      </c>
      <c r="Z65" s="1622"/>
      <c r="AI65" s="1560"/>
    </row>
    <row r="66" spans="1:35" ht="14.25" customHeight="1">
      <c r="A66" s="165" t="s">
        <v>327</v>
      </c>
      <c r="B66" s="166" t="s">
        <v>1386</v>
      </c>
      <c r="C66" s="2352"/>
      <c r="D66" s="166" t="s">
        <v>26</v>
      </c>
      <c r="E66" s="1250" t="s">
        <v>671</v>
      </c>
      <c r="F66" s="1669"/>
      <c r="G66" s="1669"/>
      <c r="H66" s="151"/>
      <c r="I66" s="121"/>
      <c r="J66" s="3347"/>
      <c r="K66" s="1244" t="s">
        <v>1387</v>
      </c>
      <c r="L66" s="1244">
        <f ca="1">M49*0.5%</f>
        <v>6.8650000000000002</v>
      </c>
      <c r="M66" s="294">
        <f ca="1">IF(L66&gt;0.5,0.5,ROUND(L66,0))</f>
        <v>0.5</v>
      </c>
      <c r="N66" s="2330" t="s">
        <v>1388</v>
      </c>
      <c r="Z66" s="1622"/>
      <c r="AI66" s="1560"/>
    </row>
    <row r="67" spans="1:35" ht="14.25" customHeight="1">
      <c r="A67" s="165" t="s">
        <v>328</v>
      </c>
      <c r="B67" s="166" t="s">
        <v>1389</v>
      </c>
      <c r="C67" s="2353">
        <f ca="1">C63-C66</f>
        <v>1308</v>
      </c>
      <c r="D67" s="162" t="s">
        <v>26</v>
      </c>
      <c r="E67" s="164"/>
      <c r="F67" s="1669"/>
      <c r="G67" s="1669"/>
      <c r="H67" s="151"/>
      <c r="I67" s="121"/>
      <c r="J67" s="3347"/>
      <c r="K67" s="1244" t="s">
        <v>1390</v>
      </c>
      <c r="L67" s="1244">
        <f ca="1">IF(M49&gt;=10000,(8.25+(M49-10000)*0.01%),IF(AND(M49&gt;=8000,M49&lt;10000),(7.85+(M49-8000)*0.02%),IF(AND(M49&gt;=5000,M49&lt;8000),(6.65+(M49-5000)*0.04%),IF(AND(M49&gt;=2000,M49&lt;5000),(4.25+(PM49-2000)*0.08%),IF(AND(M49&gt;=1000,M49&lt;2000),(2.75+(M49-1000)*0.15%),IF(AND(M49&gt;=100,M49&lt;1000),(0.5+(M49-100)*0.25%),IF(AND(M49&gt;0,M49&lt;100),M49*0.5%)))))))</f>
        <v>3.3094999999999999</v>
      </c>
      <c r="M67" s="294">
        <f ca="1">ROUND(L67*0.9,1)</f>
        <v>3</v>
      </c>
      <c r="N67" s="2329"/>
      <c r="Z67" s="1622"/>
      <c r="AI67" s="1560"/>
    </row>
    <row r="68" spans="1:35" ht="14.25" customHeight="1" thickBot="1">
      <c r="A68" s="168" t="s">
        <v>329</v>
      </c>
      <c r="B68" s="169" t="s">
        <v>1391</v>
      </c>
      <c r="C68" s="2354">
        <f ca="1">IF(C67&lt;=0,0,ROUND(C67*D68,0))</f>
        <v>72</v>
      </c>
      <c r="D68" s="2355">
        <f>'数据-取费表'!B41</f>
        <v>5.5000000000000007E-2</v>
      </c>
      <c r="E68" s="170"/>
      <c r="F68" s="1669"/>
      <c r="G68" s="1669"/>
      <c r="H68" s="151"/>
      <c r="I68" s="121"/>
      <c r="J68" s="3347"/>
      <c r="K68" s="1244" t="s">
        <v>1392</v>
      </c>
      <c r="L68" s="1244">
        <f ca="1">IF(M49&gt;10000,M49*0.5%,IF(AND(M49&gt;5000,M49&lt;=10000),M49*1%,IF(AND(M49&gt;1000,M49&lt;=5000),M49*2%,IF(AND(M49&gt;200,M49&lt;=1000),M49*3%,M49*5%))))</f>
        <v>27.46</v>
      </c>
      <c r="M68" s="294">
        <f ca="1">ROUND(L68,1)</f>
        <v>27.5</v>
      </c>
      <c r="N68" s="2329"/>
      <c r="Z68" s="1622"/>
      <c r="AI68" s="1560"/>
    </row>
    <row r="69" spans="1:35" ht="16.5" customHeight="1">
      <c r="A69" s="1671"/>
      <c r="B69" s="1672"/>
      <c r="C69" s="1673"/>
      <c r="D69" s="1674"/>
      <c r="E69" s="1675"/>
      <c r="F69" s="1465"/>
      <c r="G69" s="1465"/>
      <c r="H69" s="1466"/>
      <c r="I69" s="646"/>
      <c r="J69" s="3347"/>
      <c r="K69" s="1244" t="s">
        <v>1393</v>
      </c>
      <c r="L69" s="1244"/>
      <c r="M69" s="294">
        <f ca="1">ROUND(SUM(M63:M68),0)</f>
        <v>54</v>
      </c>
      <c r="N69" s="2331">
        <f ca="1">M69/M49</f>
        <v>3.9329934450109252E-2</v>
      </c>
      <c r="Z69" s="1622"/>
      <c r="AI69" s="1560"/>
    </row>
    <row r="70" spans="1:35" s="642" customFormat="1" ht="14.5" thickBot="1">
      <c r="A70" s="3309" t="s">
        <v>1394</v>
      </c>
      <c r="B70" s="3310"/>
      <c r="C70" s="3310"/>
      <c r="D70" s="3310"/>
      <c r="E70" s="3310"/>
      <c r="F70" s="3310"/>
      <c r="G70" s="3310"/>
      <c r="H70" s="3310"/>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
      <c r="A71" s="3288" t="s">
        <v>1375</v>
      </c>
      <c r="B71" s="3289"/>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
      <c r="A72" s="165" t="s">
        <v>330</v>
      </c>
      <c r="B72" s="166" t="s">
        <v>1395</v>
      </c>
      <c r="C72" s="2353">
        <f ca="1">ROUND(D45/(1+'数据-取费表'!C42),0)</f>
        <v>1308</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
      <c r="A73" s="165" t="s">
        <v>327</v>
      </c>
      <c r="B73" s="155" t="s">
        <v>1396</v>
      </c>
      <c r="C73" s="2353">
        <f ca="1">C74+C78</f>
        <v>7</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6">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83" t="s">
        <v>1402</v>
      </c>
      <c r="F76" s="3257"/>
      <c r="G76" s="3257"/>
      <c r="H76" s="330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7</v>
      </c>
      <c r="D78" s="2362">
        <f>'数据-取费表'!B43</f>
        <v>5.000000000000001E-3</v>
      </c>
      <c r="E78" s="3267" t="s">
        <v>1406</v>
      </c>
      <c r="F78" s="3268"/>
      <c r="G78" s="3268"/>
      <c r="H78" s="327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
      <c r="A79" s="165" t="s">
        <v>334</v>
      </c>
      <c r="B79" s="166" t="s">
        <v>1407</v>
      </c>
      <c r="C79" s="2353">
        <f ca="1">C72-C73</f>
        <v>1301</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6">
      <c r="A80" s="165" t="s">
        <v>335</v>
      </c>
      <c r="B80" s="166" t="s">
        <v>1408</v>
      </c>
      <c r="C80" s="2363">
        <f ca="1">IF(C79&lt;=0,0,C79/C73)</f>
        <v>185.85714285714286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6.5" thickBot="1">
      <c r="A81" s="168" t="s">
        <v>336</v>
      </c>
      <c r="B81" s="169" t="s">
        <v>1409</v>
      </c>
      <c r="C81" s="2364">
        <f ca="1">ROUND(IF(C79&lt;=0,0,IF(C80&gt;=200%,C79*60%-C73*35%,IF(C80&gt;=100%,C79*50%-C73*15%,IF(C80&gt;=50%,C79*40%-C73*5%,IF(C80&lt;50%,C79*30%,0))))),0)</f>
        <v>778</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5" thickBot="1">
      <c r="A83" s="3309" t="s">
        <v>1410</v>
      </c>
      <c r="B83" s="3310"/>
      <c r="C83" s="3310"/>
      <c r="D83" s="3310"/>
      <c r="E83" s="3310"/>
      <c r="F83" s="3310"/>
      <c r="G83" s="3310"/>
      <c r="H83" s="331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
      <c r="A84" s="3288" t="s">
        <v>1375</v>
      </c>
      <c r="B84" s="3289"/>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
      <c r="A85" s="165" t="s">
        <v>330</v>
      </c>
      <c r="B85" s="166" t="s">
        <v>1395</v>
      </c>
      <c r="C85" s="2353">
        <f ca="1">ROUND(D45/(1+'数据-取费表'!C42),0)</f>
        <v>1308</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
      <c r="A86" s="165" t="s">
        <v>327</v>
      </c>
      <c r="B86" s="155" t="s">
        <v>1396</v>
      </c>
      <c r="C86" s="2353">
        <f ca="1">IF(H88="仅含出让金",C87+C90+C91+C92+C93+C94,C87+C91+C92+C93+C94)</f>
        <v>7</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
      <c r="A90" s="161" t="s">
        <v>326</v>
      </c>
      <c r="B90" s="162" t="s">
        <v>1416</v>
      </c>
      <c r="C90" s="2367"/>
      <c r="D90" s="2362"/>
      <c r="E90" s="185" t="str">
        <f>IF(H88="-","土地取得成本中已包含该笔费用"," ")</f>
        <v xml:space="preserve"> </v>
      </c>
      <c r="F90" s="2147"/>
      <c r="G90" s="3349" t="s">
        <v>2129</v>
      </c>
      <c r="H90" s="3350"/>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67" t="s">
        <v>1419</v>
      </c>
      <c r="F91" s="3268"/>
      <c r="G91" s="326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67" t="s">
        <v>1422</v>
      </c>
      <c r="F92" s="3268"/>
      <c r="G92" s="3268"/>
      <c r="H92" s="3277"/>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7</v>
      </c>
      <c r="D93" s="2362">
        <f>'数据-取费表'!B43</f>
        <v>5.000000000000001E-3</v>
      </c>
      <c r="E93" s="3267" t="s">
        <v>1406</v>
      </c>
      <c r="F93" s="3268"/>
      <c r="G93" s="3268"/>
      <c r="H93" s="327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278" t="s">
        <v>1426</v>
      </c>
      <c r="F94" s="3279"/>
      <c r="G94" s="3279"/>
      <c r="H94" s="328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
      <c r="A95" s="165" t="s">
        <v>334</v>
      </c>
      <c r="B95" s="166" t="s">
        <v>1407</v>
      </c>
      <c r="C95" s="2353">
        <f ca="1">ROUND(C85-C86,0)</f>
        <v>1301</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6">
      <c r="A96" s="165" t="s">
        <v>335</v>
      </c>
      <c r="B96" s="166" t="s">
        <v>1408</v>
      </c>
      <c r="C96" s="2363">
        <f ca="1">IF(C95&lt;=0,0,C95/C86)</f>
        <v>185.85714285714286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6.5" thickBot="1">
      <c r="A97" s="168" t="s">
        <v>336</v>
      </c>
      <c r="B97" s="169" t="s">
        <v>1409</v>
      </c>
      <c r="C97" s="2364">
        <f ca="1">ROUND(IF(C95&lt;=0,0,IF(C96&gt;=200%,C95*60%-C86*35%,IF(C96&gt;=100%,C95*50%-C86*15%,IF(C96&gt;=50%,C95*40%-C86*5%,IF(C96&lt;50%,C95*30%,0))))),0)</f>
        <v>778</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1" t="s">
        <v>1428</v>
      </c>
      <c r="B100" s="3252"/>
      <c r="C100" s="3252"/>
      <c r="D100" s="3269"/>
      <c r="E100" s="3252" t="s">
        <v>1429</v>
      </c>
      <c r="F100" s="3252"/>
      <c r="G100" s="3252"/>
      <c r="H100" s="3269"/>
      <c r="I100" s="121"/>
    </row>
    <row r="101" spans="1:35" ht="18.75" customHeight="1">
      <c r="A101" s="3330" t="s">
        <v>1430</v>
      </c>
      <c r="B101" s="3331"/>
      <c r="C101" s="2370" t="str">
        <f>C4</f>
        <v>成本法</v>
      </c>
      <c r="D101" s="2371" t="str">
        <f>D4</f>
        <v>收益法</v>
      </c>
      <c r="E101" s="3344" t="s">
        <v>1431</v>
      </c>
      <c r="F101" s="3301"/>
      <c r="G101" s="1686" t="s">
        <v>1432</v>
      </c>
      <c r="H101" s="2380">
        <f ca="1">H118</f>
        <v>1373</v>
      </c>
      <c r="I101" s="121"/>
    </row>
    <row r="102" spans="1:35" ht="18.75" customHeight="1">
      <c r="A102" s="3303" t="s">
        <v>1433</v>
      </c>
      <c r="B102" s="2369" t="s">
        <v>1432</v>
      </c>
      <c r="C102" s="2370">
        <f ca="1">IF(D32="楼面单价",ROUND(C19,0),C19)</f>
        <v>1623</v>
      </c>
      <c r="D102" s="2371">
        <f ca="1">IF(D32="楼面单价",ROUND(D19,0),D19)</f>
        <v>790</v>
      </c>
      <c r="E102" s="3344"/>
      <c r="F102" s="3301"/>
      <c r="G102" s="1686" t="s">
        <v>1434</v>
      </c>
      <c r="H102" s="2340">
        <f ca="1">I118</f>
        <v>5013</v>
      </c>
      <c r="I102" s="121"/>
    </row>
    <row r="103" spans="1:35" ht="42.75" customHeight="1">
      <c r="A103" s="3303"/>
      <c r="B103" s="2369" t="s">
        <v>1434</v>
      </c>
      <c r="C103" s="2372">
        <f ca="1">C20</f>
        <v>5926</v>
      </c>
      <c r="D103" s="2373">
        <f ca="1">D20</f>
        <v>2885</v>
      </c>
      <c r="E103" s="3338" t="s">
        <v>1435</v>
      </c>
      <c r="F103" s="3339"/>
      <c r="G103" s="1687" t="s">
        <v>1436</v>
      </c>
      <c r="H103" s="2380">
        <f>IF(D36="正常操作",H104+H105+H106,H105+H106)</f>
        <v>0</v>
      </c>
      <c r="I103" s="121"/>
    </row>
    <row r="104" spans="1:35" ht="18.75" customHeight="1">
      <c r="A104" s="3303" t="s">
        <v>1437</v>
      </c>
      <c r="B104" s="2374" t="s">
        <v>1432</v>
      </c>
      <c r="C104" s="2375">
        <f ca="1">H118</f>
        <v>1373</v>
      </c>
      <c r="D104" s="2376"/>
      <c r="E104" s="1554" t="s">
        <v>1438</v>
      </c>
      <c r="F104" s="1547"/>
      <c r="G104" s="1687" t="s">
        <v>1436</v>
      </c>
      <c r="H104" s="2381">
        <f>IF(D36="同一抵押权人同一抵押物续贷",C36&amp;"（续贷，未扣减，详见特别提示）",C36)</f>
        <v>0</v>
      </c>
      <c r="I104" s="121"/>
    </row>
    <row r="105" spans="1:35" ht="18.75" customHeight="1" thickBot="1">
      <c r="A105" s="3304"/>
      <c r="B105" s="2377" t="s">
        <v>1434</v>
      </c>
      <c r="C105" s="2378">
        <f ca="1">I118</f>
        <v>5013</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300" t="str">
        <f>IF(项目基本情况!E8="已注销","——","3.房地产抵押价值")</f>
        <v>3.房地产抵押价值</v>
      </c>
      <c r="F107" s="3301"/>
      <c r="G107" s="1686" t="s">
        <v>1432</v>
      </c>
      <c r="H107" s="2380">
        <f ca="1">IF(E107="——","——",H101-H103)</f>
        <v>1373</v>
      </c>
      <c r="I107" s="121"/>
    </row>
    <row r="108" spans="1:35" ht="18.75" customHeight="1">
      <c r="A108" s="121"/>
      <c r="B108" s="121"/>
      <c r="C108" s="121"/>
      <c r="D108" s="121"/>
      <c r="E108" s="3300"/>
      <c r="F108" s="3301"/>
      <c r="G108" s="1686" t="s">
        <v>1434</v>
      </c>
      <c r="H108" s="2340">
        <f ca="1">IF(H107=H101,H102,ROUND(H107*10000/'数据-汇总表'!E3,0))</f>
        <v>5013</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301"/>
      <c r="G109" s="1686" t="s">
        <v>1432</v>
      </c>
      <c r="H109" s="2383" t="str">
        <f>IF(E109="——","——",H101-H105-H106)</f>
        <v>——</v>
      </c>
      <c r="I109" s="121"/>
    </row>
    <row r="110" spans="1:35" ht="18.75" customHeight="1">
      <c r="A110" s="121"/>
      <c r="B110" s="121"/>
      <c r="C110" s="121"/>
      <c r="D110" s="121"/>
      <c r="E110" s="3300"/>
      <c r="F110" s="3301"/>
      <c r="G110" s="1686" t="s">
        <v>1434</v>
      </c>
      <c r="H110" s="2340"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v>
      </c>
      <c r="F111" s="3302"/>
      <c r="G111" s="1686" t="s">
        <v>1432</v>
      </c>
      <c r="H111" s="2380" t="str">
        <f>IF(E111="——","——",N59)</f>
        <v>——</v>
      </c>
      <c r="I111" s="121"/>
    </row>
    <row r="112" spans="1:35" ht="18.75" customHeight="1" thickBot="1">
      <c r="A112" s="121"/>
      <c r="B112" s="121"/>
      <c r="C112" s="121"/>
      <c r="D112" s="121"/>
      <c r="E112" s="3333"/>
      <c r="F112" s="3334"/>
      <c r="G112" s="1689"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0"/>
      <c r="F114" s="1670"/>
      <c r="G114" s="1670"/>
      <c r="H114" s="1670"/>
      <c r="I114" s="646"/>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2738.73</v>
      </c>
      <c r="C118" s="2149">
        <f>M19</f>
        <v>5038.53</v>
      </c>
      <c r="D118" s="2149">
        <f ca="1">ROUND(IF(D32="总价",C34,E118*B118/10000),0)</f>
        <v>802</v>
      </c>
      <c r="E118" s="2149">
        <f ca="1">ROUND(IF(C33="自定义",IF(D32="楼面单价",C34,D118*10000/B118),I118-G118),0)</f>
        <v>2928</v>
      </c>
      <c r="F118" s="2149">
        <f ca="1">ROUND(IF(D32="总价",C35,G118*B118/10000),0)</f>
        <v>571</v>
      </c>
      <c r="G118" s="2149">
        <f ca="1">ROUND(IF(D32="楼面单价",C35,F118*10000/B118),0)</f>
        <v>2085</v>
      </c>
      <c r="H118" s="2149">
        <f ca="1">ROUND(IF(D32="总价",C32,I118*B118/10000),0)</f>
        <v>1373</v>
      </c>
      <c r="I118" s="2149">
        <f ca="1">ROUND(IF(D32="楼面单价",C32,H118*10000/B118),0)</f>
        <v>5013</v>
      </c>
    </row>
    <row r="119" spans="1:27" ht="18.75" customHeight="1">
      <c r="A119" s="3271" t="s">
        <v>1452</v>
      </c>
      <c r="B119" s="3271"/>
      <c r="C119" s="3271"/>
      <c r="D119" s="3311" t="str">
        <f ca="1">NUMBERSTRING(INT(D118*10000),2)&amp;"元整"</f>
        <v>捌佰零贰万元整</v>
      </c>
      <c r="E119" s="3313"/>
      <c r="F119" s="3311" t="str">
        <f ca="1">NUMBERSTRING(INT(F118*10000),2)&amp;"元整"</f>
        <v>伍佰柒拾壹万元整</v>
      </c>
      <c r="G119" s="3313"/>
      <c r="H119" s="3311" t="str">
        <f ca="1">NUMBERSTRING(INT(H118*10000),2)&amp;"元整"</f>
        <v>壹仟叁佰柒拾叁万元整</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1" t="s">
        <v>1452</v>
      </c>
      <c r="B121" s="3312"/>
      <c r="C121" s="3313"/>
      <c r="D121" s="3311" t="str">
        <f>IF(D120=0,"零元整",NUMBERSTRING(INT(D120*10000),2)&amp;"元整")</f>
        <v>零元整</v>
      </c>
      <c r="E121" s="3312"/>
      <c r="F121" s="3312"/>
      <c r="G121" s="3312"/>
      <c r="H121" s="3312"/>
      <c r="I121" s="3313"/>
      <c r="AA121" s="684"/>
    </row>
    <row r="122" spans="1:27" ht="18.75" customHeight="1">
      <c r="A122" s="3302" t="str">
        <f>IF(项目基本情况!B9="房地产市场价值","",MID(E107,3,LEN(E107)-2))</f>
        <v>房地产抵押价值</v>
      </c>
      <c r="B122" s="3302"/>
      <c r="C122" s="3302"/>
      <c r="D122" s="3335">
        <f ca="1">H107</f>
        <v>1373</v>
      </c>
      <c r="E122" s="3336"/>
      <c r="F122" s="3336"/>
      <c r="G122" s="3336"/>
      <c r="H122" s="3336"/>
      <c r="I122" s="3337"/>
      <c r="AA122" s="684"/>
    </row>
    <row r="123" spans="1:27" ht="18.75" customHeight="1">
      <c r="A123" s="3271" t="s">
        <v>1452</v>
      </c>
      <c r="B123" s="3271"/>
      <c r="C123" s="3271"/>
      <c r="D123" s="3311" t="str">
        <f ca="1">NUMBERSTRING(INT(D122*10000),2)&amp;"元整"</f>
        <v>壹仟叁佰柒拾叁万元整</v>
      </c>
      <c r="E123" s="3312"/>
      <c r="F123" s="3312"/>
      <c r="G123" s="3312"/>
      <c r="H123" s="3312"/>
      <c r="I123" s="3313"/>
      <c r="AA123" s="684"/>
    </row>
    <row r="124" spans="1:27" ht="18.75" customHeight="1">
      <c r="A124" s="3302" t="str">
        <f>IF(项目基本情况!B9="房地产市场价值","",MID(E109,3,LEN(E109)-2))</f>
        <v/>
      </c>
      <c r="B124" s="3302"/>
      <c r="C124" s="3302"/>
      <c r="D124" s="3335" t="str">
        <f>H109</f>
        <v>——</v>
      </c>
      <c r="E124" s="3336"/>
      <c r="F124" s="3336"/>
      <c r="G124" s="3336"/>
      <c r="H124" s="3336"/>
      <c r="I124" s="3337"/>
      <c r="AA124" s="684"/>
    </row>
    <row r="125" spans="1:27" ht="18.75" customHeight="1">
      <c r="A125" s="3271" t="s">
        <v>1452</v>
      </c>
      <c r="B125" s="3271"/>
      <c r="C125" s="3271"/>
      <c r="D125" s="3311" t="e">
        <f>NUMBERSTRING(INT(D124*10000),2)&amp;"元整"</f>
        <v>#VALUE!</v>
      </c>
      <c r="E125" s="3312"/>
      <c r="F125" s="3312"/>
      <c r="G125" s="3312"/>
      <c r="H125" s="3312"/>
      <c r="I125" s="3313"/>
      <c r="AA125" s="684"/>
    </row>
    <row r="126" spans="1:27" ht="18.75" customHeight="1">
      <c r="A126" s="3302" t="str">
        <f>IF(项目基本情况!B9="房地产市场价值","",MID(E111,3,LEN(E111)-2))</f>
        <v/>
      </c>
      <c r="B126" s="3302"/>
      <c r="C126" s="3302"/>
      <c r="D126" s="3335" t="str">
        <f>H111</f>
        <v>——</v>
      </c>
      <c r="E126" s="3336"/>
      <c r="F126" s="3336"/>
      <c r="G126" s="3336"/>
      <c r="H126" s="3336"/>
      <c r="I126" s="3337"/>
      <c r="AA126" s="684"/>
    </row>
    <row r="127" spans="1:27" ht="18.75" customHeight="1">
      <c r="A127" s="3271" t="s">
        <v>1452</v>
      </c>
      <c r="B127" s="3271"/>
      <c r="C127" s="3271"/>
      <c r="D127" s="3311" t="e">
        <f>NUMBERSTRING(INT(D126*10000),2)&amp;"元整"</f>
        <v>#VALUE!</v>
      </c>
      <c r="E127" s="3312"/>
      <c r="F127" s="3312"/>
      <c r="G127" s="3312"/>
      <c r="H127" s="3312"/>
      <c r="I127" s="3313"/>
      <c r="AA127" s="684"/>
    </row>
    <row r="128" spans="1:27" ht="21.75" customHeight="1">
      <c r="A128" s="3318" t="s">
        <v>1453</v>
      </c>
      <c r="B128" s="3318"/>
      <c r="C128" s="3318"/>
      <c r="D128" s="3318"/>
      <c r="E128" s="3318"/>
      <c r="F128" s="3318"/>
      <c r="G128" s="3318"/>
      <c r="H128" s="3318"/>
      <c r="I128" s="3318"/>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6" sqref="C6"/>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3" t="s">
        <v>3</v>
      </c>
      <c r="C1" s="190"/>
      <c r="D1" s="190"/>
      <c r="E1" s="190"/>
      <c r="F1" s="190"/>
      <c r="G1" s="1062">
        <f>MATCH(B1,'数据-取费表'!A6:A16,0)+5</f>
        <v>6</v>
      </c>
    </row>
    <row r="2" spans="1:9" s="192" customFormat="1" ht="18" customHeight="1">
      <c r="A2" s="193" t="s">
        <v>1462</v>
      </c>
      <c r="B2" s="194">
        <f ca="1">IF(D2="——",C52,C52-E2)</f>
        <v>1623</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5926</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 ca="1">C6+C7+C8</f>
        <v>797</v>
      </c>
      <c r="D5" s="203" t="s">
        <v>1469</v>
      </c>
      <c r="E5" s="204" t="s">
        <v>1470</v>
      </c>
      <c r="F5" s="204" t="s">
        <v>1471</v>
      </c>
      <c r="G5" s="205"/>
    </row>
    <row r="6" spans="1:9" s="206" customFormat="1" ht="13.5" customHeight="1">
      <c r="A6" s="732" t="s">
        <v>1472</v>
      </c>
      <c r="B6" s="207" t="s">
        <v>1473</v>
      </c>
      <c r="C6" s="208">
        <f>ROUND(1450*'数据-汇总表'!D3/10000,0)</f>
        <v>731</v>
      </c>
      <c r="D6" s="209"/>
      <c r="E6" s="210"/>
      <c r="F6" s="210"/>
      <c r="G6" s="211"/>
    </row>
    <row r="7" spans="1:9" s="206" customFormat="1" ht="13.5" customHeight="1">
      <c r="A7" s="732" t="s">
        <v>1474</v>
      </c>
      <c r="B7" s="207" t="s">
        <v>1475</v>
      </c>
      <c r="C7" s="212">
        <f>ROUND(C6*F7,0)</f>
        <v>22</v>
      </c>
      <c r="D7" s="212"/>
      <c r="E7" s="210"/>
      <c r="F7" s="213">
        <f>IF(项目基本情况!B8="出让",0,'数据-取费表'!B48+'数据-取费表'!B49)</f>
        <v>3.0499999999999999E-2</v>
      </c>
      <c r="G7" s="211"/>
    </row>
    <row r="8" spans="1:9" s="215" customFormat="1" ht="13">
      <c r="A8" s="732" t="s">
        <v>1476</v>
      </c>
      <c r="B8" s="207" t="s">
        <v>1477</v>
      </c>
      <c r="C8" s="212">
        <f ca="1">IF(G8="已包含在土地购买价格中","0",IF(B1="",'数据-取费表'!B29,IF(G9="全部缴纳",C9+C10,H9)))</f>
        <v>44</v>
      </c>
      <c r="D8" s="214"/>
      <c r="E8" s="212"/>
      <c r="F8" s="213"/>
      <c r="G8" s="1713" t="s">
        <v>3444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120</v>
      </c>
      <c r="F9" s="213"/>
      <c r="G9" s="1714" t="s">
        <v>3446</v>
      </c>
      <c r="H9" s="3508">
        <f ca="1">C10</f>
        <v>44</v>
      </c>
      <c r="I9" s="1715" t="s">
        <v>1479</v>
      </c>
    </row>
    <row r="10" spans="1:9" s="206" customFormat="1" ht="13.5" customHeight="1">
      <c r="A10" s="733" t="s">
        <v>356</v>
      </c>
      <c r="B10" s="216" t="s">
        <v>1480</v>
      </c>
      <c r="C10" s="217">
        <f ca="1">ROUND(D10*E10/10000,0)</f>
        <v>44</v>
      </c>
      <c r="D10" s="795">
        <f ca="1">IF(B1="",'数据-汇总表'!E6,IF(INDIRECT("'数据-取费表'!c"&amp;$G$1)="住宅",INDIRECT("'数据-取费表'!s"&amp;$G$1),INDIRECT("'数据-取费表'!k"&amp;$G$1)+INDIRECT("'数据-取费表'!s"&amp;$G$1)))</f>
        <v>2738.73</v>
      </c>
      <c r="E10" s="217">
        <f>'数据-取费表'!B28</f>
        <v>160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2738.73</v>
      </c>
      <c r="E19" s="203">
        <f>'数据-取费表'!B31</f>
        <v>200</v>
      </c>
      <c r="F19" s="223"/>
      <c r="G19" s="1713" t="s">
        <v>3445</v>
      </c>
    </row>
    <row r="20" spans="1:7" s="206" customFormat="1" ht="13.5" customHeight="1">
      <c r="A20" s="247" t="s">
        <v>1493</v>
      </c>
      <c r="B20" s="202" t="s">
        <v>1494</v>
      </c>
      <c r="C20" s="224">
        <f ca="1">ROUND((C5+C19)*F20,0)</f>
        <v>16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24</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24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2.9999999999999997E-4</v>
      </c>
      <c r="D26" s="230"/>
      <c r="E26" s="233"/>
      <c r="F26" s="231"/>
      <c r="G26" s="235"/>
    </row>
    <row r="27" spans="1:7" s="206" customFormat="1" ht="27">
      <c r="A27" s="247" t="s">
        <v>1512</v>
      </c>
      <c r="B27" s="236" t="s">
        <v>1513</v>
      </c>
      <c r="C27" s="237">
        <f ca="1">C28</f>
        <v>41</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41</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948</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788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685</v>
      </c>
      <c r="D34" s="209"/>
      <c r="E34" s="212"/>
      <c r="F34" s="249">
        <f ca="1">IF('数据-取费表'!B24=0,1,IF(B1="",'数据-取费表'!N16,INDIRECT("'数据-取费表'!n"&amp;$G$1)))</f>
        <v>1</v>
      </c>
      <c r="G34" s="211" t="s">
        <v>1526</v>
      </c>
    </row>
    <row r="35" spans="1:7" ht="13.5" customHeight="1">
      <c r="A35" s="734" t="s">
        <v>351</v>
      </c>
      <c r="B35" s="207" t="s">
        <v>1527</v>
      </c>
      <c r="C35" s="212">
        <f ca="1">ROUND(C34*F35,0)</f>
        <v>34</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55</v>
      </c>
      <c r="D37" s="209">
        <f ca="1">D19</f>
        <v>2738.73</v>
      </c>
      <c r="E37" s="241">
        <f>'数据-取费表'!B35</f>
        <v>200</v>
      </c>
      <c r="F37" s="251"/>
      <c r="G37" s="253" t="s">
        <v>1532</v>
      </c>
    </row>
    <row r="38" spans="1:7" ht="13.5" customHeight="1">
      <c r="A38" s="734" t="s">
        <v>354</v>
      </c>
      <c r="B38" s="207" t="s">
        <v>1533</v>
      </c>
      <c r="C38" s="212">
        <f ca="1">ROUND(C34*F38,0)</f>
        <v>14</v>
      </c>
      <c r="D38" s="212"/>
      <c r="E38" s="212"/>
      <c r="F38" s="251">
        <f>'数据-取费表'!B36</f>
        <v>0.02</v>
      </c>
      <c r="G38" s="211" t="s">
        <v>1528</v>
      </c>
    </row>
    <row r="39" spans="1:7" s="206" customFormat="1" ht="13.5" customHeight="1">
      <c r="A39" s="247" t="s">
        <v>1534</v>
      </c>
      <c r="B39" s="202" t="s">
        <v>1535</v>
      </c>
      <c r="C39" s="224">
        <f ca="1">ROUND(C33*F20,0)</f>
        <v>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12</v>
      </c>
      <c r="D42" s="230"/>
      <c r="E42" s="230"/>
      <c r="F42" s="231"/>
      <c r="G42" s="3351" t="s">
        <v>1544</v>
      </c>
    </row>
    <row r="43" spans="1:7" ht="13.5" customHeight="1">
      <c r="A43" s="734" t="s">
        <v>347</v>
      </c>
      <c r="B43" s="207" t="s">
        <v>1545</v>
      </c>
      <c r="C43" s="230">
        <f ca="1">ROUND(IF('数据-取费表'!B22&lt;=1,C39*F22*'数据-取费表'!B21/2,C39*(POWER((1+F22),'数据-取费表'!B21/2)-1)),0)</f>
        <v>0</v>
      </c>
      <c r="D43" s="230"/>
      <c r="E43" s="230"/>
      <c r="F43" s="231"/>
      <c r="G43" s="3352"/>
    </row>
    <row r="44" spans="1:7" ht="13.5" customHeight="1">
      <c r="A44" s="734" t="s">
        <v>348</v>
      </c>
      <c r="B44" s="207" t="s">
        <v>1546</v>
      </c>
      <c r="C44" s="230">
        <f ca="1">ROUND(IF('数据-取费表'!B22&lt;=1,C40*F22*'数据-取费表'!B21/2,C40*(POWER((1+F22),'数据-取费表'!B21/2)-1)),4)</f>
        <v>2.9999999999999997E-4</v>
      </c>
      <c r="D44" s="230"/>
      <c r="E44" s="230"/>
      <c r="F44" s="231"/>
      <c r="G44" s="3353"/>
    </row>
    <row r="45" spans="1:7" s="206" customFormat="1" ht="13.5" customHeight="1">
      <c r="A45" s="247" t="s">
        <v>1547</v>
      </c>
      <c r="B45" s="236" t="s">
        <v>1513</v>
      </c>
      <c r="C45" s="237">
        <f ca="1">C46</f>
        <v>40</v>
      </c>
      <c r="D45" s="227">
        <f ca="1">C47</f>
        <v>1E-3</v>
      </c>
      <c r="E45" s="228" t="s">
        <v>1539</v>
      </c>
      <c r="F45" s="238">
        <f ca="1">F27</f>
        <v>0.05</v>
      </c>
      <c r="G45" s="239" t="s">
        <v>1548</v>
      </c>
    </row>
    <row r="46" spans="1:7" s="206" customFormat="1" ht="13.5" customHeight="1">
      <c r="A46" s="734" t="s">
        <v>346</v>
      </c>
      <c r="B46" s="240" t="s">
        <v>1549</v>
      </c>
      <c r="C46" s="241">
        <f ca="1">ROUND((C33+C39)*F27,0)</f>
        <v>40</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924</v>
      </c>
      <c r="D49" s="224"/>
      <c r="E49" s="224"/>
      <c r="F49" s="256"/>
      <c r="G49" s="226" t="s">
        <v>1554</v>
      </c>
    </row>
    <row r="50" spans="1:7" s="250" customFormat="1" ht="26">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675</v>
      </c>
      <c r="D51" s="224"/>
      <c r="E51" s="224"/>
      <c r="F51" s="256"/>
      <c r="G51" s="226" t="s">
        <v>1560</v>
      </c>
    </row>
    <row r="52" spans="1:7" s="200" customFormat="1" ht="16.5" thickBot="1">
      <c r="A52" s="257" t="s">
        <v>1561</v>
      </c>
      <c r="B52" s="258"/>
      <c r="C52" s="259">
        <f ca="1">C31+C51</f>
        <v>1623</v>
      </c>
      <c r="D52" s="258"/>
      <c r="E52" s="258"/>
      <c r="F52" s="258"/>
      <c r="G52" s="260"/>
    </row>
    <row r="55" spans="1:7" ht="15.5">
      <c r="B55" s="262" t="s">
        <v>1562</v>
      </c>
      <c r="C55" s="263"/>
    </row>
    <row r="56" spans="1:7" ht="13">
      <c r="B56" s="265" t="s">
        <v>802</v>
      </c>
      <c r="C56" s="267">
        <f ca="1">1-C57</f>
        <v>0.58400000000000007</v>
      </c>
    </row>
    <row r="57" spans="1:7" ht="13">
      <c r="B57" s="265" t="s">
        <v>803</v>
      </c>
      <c r="C57" s="266">
        <f ca="1">ROUND(C51/C52,3)</f>
        <v>0.41599999999999998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69" t="str">
        <f>项目基本情况!B1</f>
        <v>北京市房地产抵押价值预评估</v>
      </c>
      <c r="C37" s="3169"/>
      <c r="D37" s="3169"/>
      <c r="E37" s="3169"/>
      <c r="F37" s="3169"/>
      <c r="G37" s="3169"/>
      <c r="H37" s="3169"/>
      <c r="I37" s="3169"/>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3.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47" sqref="J47:J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791.29579999999999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2889</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438197</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438197</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120</v>
      </c>
      <c r="F9" s="213"/>
      <c r="G9" s="218"/>
    </row>
    <row r="10" spans="1:8" s="206" customFormat="1" ht="13.5" customHeight="1">
      <c r="A10" s="733" t="s">
        <v>356</v>
      </c>
      <c r="B10" s="216" t="s">
        <v>1480</v>
      </c>
      <c r="C10" s="217">
        <f ca="1">ROUND(D10*E10,0)</f>
        <v>438197</v>
      </c>
      <c r="D10" s="795">
        <f ca="1">IF(B1="",'数据-汇总表'!E6,IF(INDIRECT("'数据-取费表'!c"&amp;$G$1)="住宅",INDIRECT("'数据-取费表'!s"&amp;$G$1),INDIRECT("'数据-取费表'!k"&amp;$G$1)+INDIRECT("'数据-取费表'!s"&amp;$G$1)))</f>
        <v>2738.73</v>
      </c>
      <c r="E10" s="217">
        <f>'数据-取费表'!B28</f>
        <v>160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547746</v>
      </c>
      <c r="D19" s="204">
        <f ca="1">D9+D10</f>
        <v>2738.73</v>
      </c>
      <c r="E19" s="203">
        <f>'数据-取费表'!B31</f>
        <v>200</v>
      </c>
      <c r="F19" s="223"/>
      <c r="G19" s="1713"/>
    </row>
    <row r="20" spans="1:7" s="206" customFormat="1" ht="13.5" customHeight="1">
      <c r="A20" s="247" t="s">
        <v>1574</v>
      </c>
      <c r="B20" s="202" t="s">
        <v>1575</v>
      </c>
      <c r="C20" s="224">
        <f ca="1">ROUND((C5+C19)*F20,0)</f>
        <v>19719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29874</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13146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16432</v>
      </c>
      <c r="D24" s="230"/>
      <c r="E24" s="230"/>
      <c r="F24" s="231"/>
      <c r="G24" s="232" t="s">
        <v>1586</v>
      </c>
    </row>
    <row r="25" spans="1:7" s="206" customFormat="1" ht="26">
      <c r="A25" s="734" t="s">
        <v>1476</v>
      </c>
      <c r="B25" s="207" t="s">
        <v>1587</v>
      </c>
      <c r="C25" s="230">
        <f ca="1">ROUND(IF('数据-取费表'!B22&lt;=1,C20*F22*'数据-取费表'!B22/2,C20*(POWER((1+F22),'数据-取费表'!B22/2)-1)),0)</f>
        <v>296</v>
      </c>
      <c r="D25" s="230"/>
      <c r="E25" s="233"/>
      <c r="F25" s="231"/>
      <c r="G25" s="234" t="s">
        <v>1588</v>
      </c>
    </row>
    <row r="26" spans="1:7" s="206" customFormat="1" ht="13">
      <c r="A26" s="734" t="s">
        <v>350</v>
      </c>
      <c r="B26" s="207" t="s">
        <v>1511</v>
      </c>
      <c r="C26" s="230">
        <f ca="1">ROUND(IF('数据-取费表'!B22&lt;=1,F21*F22*'数据-取费表'!B22/2,F21*(POWER((1+F22),'数据-取费表'!B22/2)-1)),4)</f>
        <v>2.9999999999999997E-4</v>
      </c>
      <c r="D26" s="230"/>
      <c r="E26" s="233"/>
      <c r="F26" s="231"/>
      <c r="G26" s="235"/>
    </row>
    <row r="27" spans="1:7" s="206" customFormat="1" ht="27">
      <c r="A27" s="247" t="s">
        <v>1512</v>
      </c>
      <c r="B27" s="236" t="s">
        <v>1513</v>
      </c>
      <c r="C27" s="237">
        <f ca="1">C28</f>
        <v>50283</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50283</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1172211</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7873849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6846825</v>
      </c>
      <c r="D34" s="209"/>
      <c r="E34" s="212"/>
      <c r="F34" s="249"/>
      <c r="G34" s="211"/>
    </row>
    <row r="35" spans="1:7" ht="13.5" customHeight="1">
      <c r="A35" s="734" t="s">
        <v>351</v>
      </c>
      <c r="B35" s="207" t="s">
        <v>1527</v>
      </c>
      <c r="C35" s="212">
        <f ca="1">ROUND(C34*F35,0)</f>
        <v>342341</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547746</v>
      </c>
      <c r="D37" s="209">
        <f ca="1">D19</f>
        <v>2738.73</v>
      </c>
      <c r="E37" s="241">
        <f>'数据-取费表'!B35</f>
        <v>200</v>
      </c>
      <c r="F37" s="251"/>
      <c r="G37" s="253"/>
    </row>
    <row r="38" spans="1:7" ht="13.5" customHeight="1">
      <c r="A38" s="734" t="s">
        <v>354</v>
      </c>
      <c r="B38" s="207" t="s">
        <v>1533</v>
      </c>
      <c r="C38" s="212">
        <f ca="1">ROUND(C34*F38,0)</f>
        <v>136937</v>
      </c>
      <c r="D38" s="212"/>
      <c r="E38" s="212"/>
      <c r="F38" s="251">
        <f>'数据-取费表'!B36</f>
        <v>0.02</v>
      </c>
      <c r="G38" s="211" t="s">
        <v>1528</v>
      </c>
    </row>
    <row r="39" spans="1:7" s="206" customFormat="1" ht="13.5" customHeight="1">
      <c r="A39" s="247" t="s">
        <v>1534</v>
      </c>
      <c r="B39" s="202" t="s">
        <v>1535</v>
      </c>
      <c r="C39" s="224">
        <f ca="1">ROUND(C33*F20,0)</f>
        <v>157477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120470</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118108</v>
      </c>
      <c r="D42" s="230"/>
      <c r="E42" s="230"/>
      <c r="F42" s="231"/>
      <c r="G42" s="3351" t="s">
        <v>1591</v>
      </c>
    </row>
    <row r="43" spans="1:7" ht="13.5" customHeight="1">
      <c r="A43" s="734" t="s">
        <v>347</v>
      </c>
      <c r="B43" s="207" t="s">
        <v>1545</v>
      </c>
      <c r="C43" s="230">
        <f ca="1">ROUND(IF('数据-取费表'!B22&lt;=1,C39*F22*'数据-取费表'!B20/2,C39*(POWER((1+F22),'数据-取费表'!B20/2)-1)),0)</f>
        <v>2362</v>
      </c>
      <c r="D43" s="230"/>
      <c r="E43" s="230"/>
      <c r="F43" s="231"/>
      <c r="G43" s="3352"/>
    </row>
    <row r="44" spans="1:7" ht="13.5" customHeight="1">
      <c r="A44" s="734" t="s">
        <v>348</v>
      </c>
      <c r="B44" s="207" t="s">
        <v>1546</v>
      </c>
      <c r="C44" s="230">
        <f ca="1">ROUND(IF('数据-取费表'!B22&lt;=1,C40*F22*'数据-取费表'!B20/2,C40*(POWER((1+F22),'数据-取费表'!B20/2)-1)),4)</f>
        <v>2.9999999999999997E-4</v>
      </c>
      <c r="D44" s="230"/>
      <c r="E44" s="230"/>
      <c r="F44" s="231"/>
      <c r="G44" s="3353"/>
    </row>
    <row r="45" spans="1:7" s="206" customFormat="1" ht="13.5" customHeight="1">
      <c r="A45" s="247" t="s">
        <v>1547</v>
      </c>
      <c r="B45" s="236" t="s">
        <v>1513</v>
      </c>
      <c r="C45" s="237">
        <f ca="1">C46</f>
        <v>401566</v>
      </c>
      <c r="D45" s="227">
        <f ca="1">C47</f>
        <v>1E-3</v>
      </c>
      <c r="E45" s="228" t="s">
        <v>1539</v>
      </c>
      <c r="F45" s="238">
        <f ca="1">F27</f>
        <v>0.05</v>
      </c>
      <c r="G45" s="239" t="s">
        <v>1548</v>
      </c>
    </row>
    <row r="46" spans="1:7" s="206" customFormat="1" ht="13.5" customHeight="1">
      <c r="A46" s="734" t="s">
        <v>346</v>
      </c>
      <c r="B46" s="240" t="s">
        <v>1549</v>
      </c>
      <c r="C46" s="241">
        <f ca="1">ROUND((C33+C39)*F27,0)</f>
        <v>401566</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9233900</v>
      </c>
      <c r="D49" s="224"/>
      <c r="E49" s="224"/>
      <c r="F49" s="256"/>
      <c r="G49" s="226" t="s">
        <v>1554</v>
      </c>
    </row>
    <row r="50" spans="1:7" s="250" customFormat="1" ht="13.5">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6740747</v>
      </c>
      <c r="D51" s="224"/>
      <c r="E51" s="224"/>
      <c r="F51" s="256"/>
      <c r="G51" s="226" t="s">
        <v>1560</v>
      </c>
    </row>
    <row r="52" spans="1:7" s="200" customFormat="1" ht="16.5" thickBot="1">
      <c r="A52" s="257" t="s">
        <v>1561</v>
      </c>
      <c r="B52" s="258"/>
      <c r="C52" s="259">
        <f ca="1">C31+C51</f>
        <v>7912958</v>
      </c>
      <c r="D52" s="258"/>
      <c r="E52" s="258"/>
      <c r="F52" s="258"/>
      <c r="G52" s="260"/>
    </row>
    <row r="55" spans="1:7" ht="15.5">
      <c r="B55" s="262" t="s">
        <v>1562</v>
      </c>
      <c r="C55" s="263"/>
    </row>
    <row r="56" spans="1:7" ht="13">
      <c r="B56" s="265" t="s">
        <v>802</v>
      </c>
      <c r="C56" s="267">
        <f ca="1">1-C57</f>
        <v>0.14800000000000002</v>
      </c>
    </row>
    <row r="57" spans="1:7" ht="13">
      <c r="B57" s="265" t="s">
        <v>803</v>
      </c>
      <c r="C57" s="266">
        <f ca="1">ROUND(C51/C52,3)</f>
        <v>0.85199999999999998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J47" sqref="J47:J49"/>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09"/>
      <c r="D1" s="1108"/>
      <c r="E1" s="2567"/>
      <c r="F1" s="2567"/>
      <c r="G1" s="2448"/>
      <c r="H1" s="2567"/>
      <c r="I1" s="2567"/>
      <c r="J1" s="2567"/>
      <c r="K1" s="2568">
        <f>MATCH(C1,'数据-取费表'!A6:A16,0)+5</f>
        <v>7</v>
      </c>
    </row>
    <row r="2" spans="1:33" ht="18" customHeight="1">
      <c r="A2" s="193" t="s">
        <v>1462</v>
      </c>
      <c r="B2" s="196">
        <f ca="1">C32</f>
        <v>-46</v>
      </c>
      <c r="C2" s="268" t="s">
        <v>1595</v>
      </c>
      <c r="D2" s="268"/>
      <c r="E2" s="2567"/>
      <c r="F2" s="2567"/>
      <c r="G2" s="2567"/>
      <c r="H2" s="2567"/>
      <c r="I2" s="2567"/>
      <c r="J2" s="2567"/>
      <c r="K2" s="2567"/>
    </row>
    <row r="3" spans="1:33" ht="18" customHeight="1" thickBot="1">
      <c r="A3" s="195" t="s">
        <v>1464</v>
      </c>
      <c r="B3" s="196">
        <f ca="1">ROUND(B2*10000/IF(C1="",'数据-汇总表'!E3,INDIRECT("'数据-取费表'!K"&amp;$K$1)),0)</f>
        <v>-168</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2738.73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2738.73</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44</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120</v>
      </c>
      <c r="F19" s="756"/>
      <c r="G19" s="12"/>
      <c r="H19" s="1107"/>
      <c r="I19" s="761"/>
      <c r="J19" s="761"/>
      <c r="K19" s="762"/>
    </row>
    <row r="20" spans="1:33" s="755" customFormat="1" ht="13.5" customHeight="1">
      <c r="A20" s="752" t="s">
        <v>361</v>
      </c>
      <c r="B20" s="753" t="s">
        <v>1627</v>
      </c>
      <c r="C20" s="21">
        <f ca="1">ROUND(D20*E20/10000,0)</f>
        <v>44</v>
      </c>
      <c r="D20" s="796">
        <f ca="1">IF(C1="",'数据-汇总表'!E6,IF(INDIRECT("'数据-取费表'!c"&amp;$K$1)="住宅",INDIRECT("'数据-取费表'!s"&amp;$K$1),INDIRECT("'数据-取费表'!k"&amp;$K$1)+INDIRECT("'数据-取费表'!s"&amp;$K$1)))</f>
        <v>2738.73</v>
      </c>
      <c r="E20" s="21">
        <f>'数据-取费表'!B28</f>
        <v>160</v>
      </c>
      <c r="F20" s="756"/>
      <c r="G20" s="12"/>
      <c r="H20" s="761"/>
      <c r="I20" s="761"/>
      <c r="J20" s="761"/>
      <c r="K20" s="762"/>
    </row>
    <row r="21" spans="1:33" s="755" customFormat="1" ht="13.5" customHeight="1">
      <c r="A21" s="744" t="s">
        <v>357</v>
      </c>
      <c r="B21" s="765" t="s">
        <v>1628</v>
      </c>
      <c r="C21" s="766">
        <f ca="1">C16+C17+C18</f>
        <v>44</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2</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-46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83" sqref="G83:G90"/>
    </sheetView>
  </sheetViews>
  <sheetFormatPr defaultColWidth="12" defaultRowHeight="12.5"/>
  <cols>
    <col min="1" max="1" width="9.7265625" style="1894" customWidth="1"/>
    <col min="2" max="2" width="22.453125" style="1982" customWidth="1"/>
    <col min="3" max="3" width="12" style="1844"/>
    <col min="4" max="4" width="14.90625" style="1844" customWidth="1"/>
    <col min="5" max="5" width="14.6328125" style="1844" customWidth="1"/>
    <col min="6" max="8" width="12" style="1844"/>
    <col min="9" max="9" width="12.26953125" style="1844" bestFit="1" customWidth="1"/>
    <col min="10" max="10" width="12" style="1844"/>
    <col min="11" max="11" width="8.08984375" style="1890" customWidth="1"/>
    <col min="12" max="12" width="19.453125" style="1844" customWidth="1"/>
    <col min="13" max="13" width="8.453125" style="1844" customWidth="1"/>
    <col min="14" max="14" width="9.7265625" style="1844" customWidth="1"/>
    <col min="15" max="25" width="12" style="1844"/>
    <col min="26" max="26" width="9.36328125" style="1894" customWidth="1"/>
    <col min="27" max="32" width="9.36328125" style="1058" customWidth="1"/>
    <col min="33" max="36" width="9.36328125" style="1894" customWidth="1"/>
    <col min="37" max="38" width="9.36328125" style="1844" customWidth="1"/>
    <col min="39" max="16384" width="12" style="1844"/>
  </cols>
  <sheetData>
    <row r="1" spans="1:36" ht="30">
      <c r="A1" s="188" t="s">
        <v>1926</v>
      </c>
      <c r="B1" s="189"/>
      <c r="C1" s="193" t="s">
        <v>1927</v>
      </c>
      <c r="D1" s="333">
        <f>SUM(D33:D34,D37:D42)</f>
        <v>5038.53</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5">
      <c r="A2" s="193" t="s">
        <v>1934</v>
      </c>
      <c r="B2" s="196">
        <f>C30</f>
        <v>475</v>
      </c>
      <c r="C2" s="1845" t="s">
        <v>1935</v>
      </c>
      <c r="D2" s="162" t="s">
        <v>1936</v>
      </c>
      <c r="E2" s="3120" t="s">
        <v>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Ⅸ-雁栖开发区A</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3">
        <f>ROUND(SUMPRODUCT((B106:B110=R2)*(C105:N105=G2)*(C106:N110)),4)</f>
        <v>1.5418000000000001</v>
      </c>
      <c r="T2" s="3063">
        <f t="shared" ref="T2:T16" si="0">ROUND($C$5*$C$22*$C$23*$C$24*S2*$C$28,0)</f>
        <v>1453</v>
      </c>
      <c r="U2" s="1129"/>
      <c r="V2" s="3063">
        <f>ROUND(T2*U2/10000,0)</f>
        <v>0</v>
      </c>
      <c r="W2" s="1132"/>
      <c r="X2" s="1132"/>
      <c r="Y2" s="1132"/>
      <c r="Z2" s="1132"/>
      <c r="AA2" s="1132"/>
      <c r="AB2" s="1132"/>
      <c r="AC2" s="1133"/>
      <c r="AD2" s="1134"/>
      <c r="AE2" s="1134"/>
      <c r="AF2" s="1134"/>
      <c r="AG2" s="1134"/>
      <c r="AH2" s="1134"/>
      <c r="AI2" s="1134"/>
      <c r="AJ2" s="1135"/>
    </row>
    <row r="3" spans="1:36" ht="15.5">
      <c r="A3" s="195" t="s">
        <v>1940</v>
      </c>
      <c r="B3" s="196">
        <f>ROUND(B2*10000/D1,0)</f>
        <v>943</v>
      </c>
      <c r="C3" s="1845" t="s">
        <v>1941</v>
      </c>
      <c r="D3" s="162" t="s">
        <v>1942</v>
      </c>
      <c r="E3" s="3118" t="s">
        <v>2479</v>
      </c>
      <c r="F3" s="1847" t="s">
        <v>3437</v>
      </c>
      <c r="G3" s="708">
        <f>IF(F3="宗地容积率",'数据-汇总表'!I4,IF(F3="估价对象容积率",'数据-汇总表'!I6,'数据-汇总表'!I7))</f>
        <v>1</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3">
        <f>ROUND(SUMPRODUCT((B106:B110=R3)*(C105:N105=G2)*(C106:N110)),4)</f>
        <v>1.1883999999999999</v>
      </c>
      <c r="T3" s="3063">
        <f t="shared" si="0"/>
        <v>1120</v>
      </c>
      <c r="U3" s="1129"/>
      <c r="V3" s="3063">
        <f t="shared" ref="V3:V16" si="1">ROUND(T3*U3/10000,0)</f>
        <v>0</v>
      </c>
      <c r="W3" s="1132"/>
      <c r="X3" s="1132"/>
      <c r="Y3" s="1132"/>
      <c r="Z3" s="1132"/>
      <c r="AA3" s="1132"/>
      <c r="AB3" s="1132"/>
      <c r="AC3" s="1133"/>
      <c r="AD3" s="1134"/>
      <c r="AE3" s="1134"/>
      <c r="AF3" s="1134"/>
      <c r="AG3" s="1134"/>
      <c r="AH3" s="1134"/>
      <c r="AI3" s="1134"/>
      <c r="AJ3" s="1135"/>
    </row>
    <row r="4" spans="1:36" ht="15.5">
      <c r="A4" s="3462"/>
      <c r="B4" s="3463"/>
      <c r="C4" s="3463"/>
      <c r="D4" s="3464"/>
      <c r="E4" s="3464"/>
      <c r="F4" s="3464"/>
      <c r="G4" s="3464"/>
      <c r="H4" s="3464"/>
      <c r="I4" s="3464"/>
      <c r="J4" s="3465"/>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3">
        <f>ROUND(SUMPRODUCT((B106:B110=R4)*(C105:N105=G2)*(C106:N110)),4)</f>
        <v>0.96940000000000004</v>
      </c>
      <c r="T4" s="3063">
        <f t="shared" si="0"/>
        <v>914</v>
      </c>
      <c r="U4" s="1129"/>
      <c r="V4" s="3063">
        <f t="shared" si="1"/>
        <v>0</v>
      </c>
      <c r="W4" s="1132"/>
      <c r="X4" s="1132"/>
      <c r="Y4" s="1132"/>
      <c r="Z4" s="1132"/>
      <c r="AA4" s="1132"/>
      <c r="AB4" s="1132"/>
      <c r="AC4" s="1133"/>
      <c r="AD4" s="1134"/>
      <c r="AE4" s="1134"/>
      <c r="AF4" s="1134"/>
      <c r="AG4" s="1134"/>
      <c r="AH4" s="1134"/>
      <c r="AI4" s="1134"/>
      <c r="AJ4" s="1135"/>
    </row>
    <row r="5" spans="1:36" s="1857" customFormat="1" ht="16" thickBot="1">
      <c r="A5" s="1848" t="s">
        <v>362</v>
      </c>
      <c r="B5" s="1849" t="s">
        <v>1947</v>
      </c>
      <c r="C5" s="709">
        <f>ROUND(IF(E2="商业",C6*C7*C17+C20,(IF(E2="住宅",C6*C13*C17+C20,IF(E2="办公",C6*C12*C17+C20,C6+C20)))),0)</f>
        <v>1080</v>
      </c>
      <c r="D5" s="1251">
        <f>ROUND(C6*C17+C20,0)</f>
        <v>1080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3">
        <f>ROUND(SUMPRODUCT((B106:B110=R5)*(C105:N105=G2)*(C106:N110)),4)</f>
        <v>0.82299999999999995</v>
      </c>
      <c r="T5" s="3063">
        <f t="shared" si="0"/>
        <v>776</v>
      </c>
      <c r="U5" s="1129"/>
      <c r="V5" s="3063">
        <f t="shared" si="1"/>
        <v>0</v>
      </c>
      <c r="W5" s="1132"/>
      <c r="X5" s="1132"/>
      <c r="Y5" s="1132"/>
      <c r="Z5" s="1132"/>
      <c r="AA5" s="1132"/>
      <c r="AB5" s="1132"/>
      <c r="AC5" s="1854"/>
      <c r="AD5" s="1855"/>
      <c r="AE5" s="1855"/>
      <c r="AF5" s="1855"/>
      <c r="AG5" s="1855"/>
      <c r="AH5" s="1855"/>
      <c r="AI5" s="1855"/>
      <c r="AJ5" s="1856"/>
    </row>
    <row r="6" spans="1:36" ht="16" thickBot="1">
      <c r="A6" s="1858" t="s">
        <v>1949</v>
      </c>
      <c r="B6" s="1859" t="s">
        <v>1950</v>
      </c>
      <c r="C6" s="710">
        <f>SUMIF(L1:L12,G2,M1:M12)</f>
        <v>1080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3">
        <f>ROUND(SUMPRODUCT((B106:B110=R6)*(C105:N105=G2)*(C106:N110)),4)</f>
        <v>0.74980000000000002</v>
      </c>
      <c r="T6" s="3063">
        <f t="shared" si="0"/>
        <v>707</v>
      </c>
      <c r="U6" s="1129"/>
      <c r="V6" s="3063">
        <f t="shared" si="1"/>
        <v>0</v>
      </c>
      <c r="W6" s="1132"/>
      <c r="X6" s="1132"/>
      <c r="Y6" s="1132"/>
      <c r="Z6" s="1132"/>
      <c r="AA6" s="1132"/>
      <c r="AB6" s="1132"/>
      <c r="AC6" s="1854"/>
      <c r="AD6" s="1855"/>
      <c r="AE6" s="1855"/>
      <c r="AF6" s="1855"/>
      <c r="AG6" s="1855"/>
      <c r="AH6" s="1855"/>
      <c r="AI6" s="1855"/>
      <c r="AJ6" s="1856"/>
    </row>
    <row r="7" spans="1:36" ht="26.5" thickBot="1">
      <c r="A7" s="3012" t="s">
        <v>3237</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7"/>
      <c r="T7" s="3063">
        <f t="shared" si="0"/>
        <v>0</v>
      </c>
      <c r="U7" s="1129"/>
      <c r="V7" s="3063">
        <f t="shared" si="1"/>
        <v>0</v>
      </c>
      <c r="W7" s="1266" t="s">
        <v>1955</v>
      </c>
      <c r="X7" s="1130" t="str">
        <f>G2</f>
        <v>九级</v>
      </c>
      <c r="Y7" s="1130" t="s">
        <v>1956</v>
      </c>
      <c r="Z7" s="1131">
        <f>G3</f>
        <v>1</v>
      </c>
      <c r="AA7" s="1132"/>
      <c r="AB7" s="1132"/>
      <c r="AC7" s="1133"/>
      <c r="AD7" s="1134"/>
      <c r="AE7" s="1134"/>
      <c r="AF7" s="1134"/>
      <c r="AG7" s="1134"/>
      <c r="AH7" s="1134"/>
      <c r="AI7" s="1134"/>
      <c r="AJ7" s="1135"/>
    </row>
    <row r="8" spans="1:36" ht="15.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3">
        <f t="shared" si="0"/>
        <v>0</v>
      </c>
      <c r="U8" s="1129"/>
      <c r="V8" s="3063">
        <f t="shared" si="1"/>
        <v>0</v>
      </c>
      <c r="W8" s="3459" t="s">
        <v>1960</v>
      </c>
      <c r="X8" s="3460"/>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5">
      <c r="A9" s="3009"/>
      <c r="B9" s="162" t="s">
        <v>1973</v>
      </c>
      <c r="C9" s="714">
        <f>SUMIF(修正!C73:C140,C8,修正!E73:E140)</f>
        <v>0</v>
      </c>
      <c r="D9" s="163" t="s">
        <v>113</v>
      </c>
      <c r="E9" s="163" t="e">
        <f>ROUND(C11/E7,4)</f>
        <v>#DIV/0!</v>
      </c>
      <c r="F9" s="1870" t="s">
        <v>1974</v>
      </c>
      <c r="G9" s="1871"/>
      <c r="H9" s="1871"/>
      <c r="I9" s="1871"/>
      <c r="J9" s="1872"/>
      <c r="K9" s="1056"/>
      <c r="L9" s="1846" t="s">
        <v>1975</v>
      </c>
      <c r="M9" s="811">
        <f>SUMPRODUCT((区片价!B277:B326=I2)*(区片价!C3:G3=E2)*(区片价!C277:G326))</f>
        <v>1080</v>
      </c>
      <c r="N9" s="813">
        <f>SUMPRODUCT((因素修正幅度!B277:B326=I2)*(因素修正幅度!C3:G3=E2)*(因素修正幅度!C277:G326))</f>
        <v>0.05</v>
      </c>
      <c r="O9" s="1056"/>
      <c r="P9" s="1056"/>
      <c r="Q9" s="1056"/>
      <c r="R9" s="1128">
        <v>8</v>
      </c>
      <c r="S9" s="1129"/>
      <c r="T9" s="3063">
        <f t="shared" si="0"/>
        <v>0</v>
      </c>
      <c r="U9" s="1129"/>
      <c r="V9" s="3063">
        <f t="shared" si="1"/>
        <v>0</v>
      </c>
      <c r="W9" s="3461"/>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1976</v>
      </c>
      <c r="C10" s="163">
        <f>SUMIF(修正!C73:C140,C8,修正!F73:F140)</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3">
        <f t="shared" si="0"/>
        <v>0</v>
      </c>
      <c r="U10" s="1129"/>
      <c r="V10" s="3063">
        <f t="shared" si="1"/>
        <v>0</v>
      </c>
      <c r="W10" s="346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7" thickBot="1">
      <c r="A12" s="3012" t="s">
        <v>3238</v>
      </c>
      <c r="B12" s="3013" t="s">
        <v>3239</v>
      </c>
      <c r="C12" s="3014"/>
      <c r="D12" s="3015" t="s">
        <v>3240</v>
      </c>
      <c r="E12" s="3016" t="s">
        <v>3241</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26.5" thickBot="1">
      <c r="A13" s="3012" t="s">
        <v>3242</v>
      </c>
      <c r="B13" s="1877" t="s">
        <v>1982</v>
      </c>
      <c r="C13" s="711">
        <f>ROUND(C16*D16*E16*F16*G16*H16*I16*J16,4)</f>
        <v>0</v>
      </c>
      <c r="D13" s="1878" t="s">
        <v>1983</v>
      </c>
      <c r="E13" s="1879"/>
      <c r="F13" s="1879"/>
      <c r="G13" s="1880"/>
      <c r="H13" s="1880"/>
      <c r="I13" s="1880"/>
      <c r="J13" s="1881"/>
      <c r="K13" s="1056"/>
      <c r="L13" s="3"/>
      <c r="M13" s="4"/>
      <c r="N13" s="3010"/>
      <c r="O13" s="1056"/>
      <c r="P13" s="1056"/>
      <c r="Q13" s="1056"/>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26">
      <c r="A14" s="3008"/>
      <c r="B14" s="1882" t="s">
        <v>1985</v>
      </c>
      <c r="C14" s="1883" t="s">
        <v>1986</v>
      </c>
      <c r="D14" s="1260" t="s">
        <v>1987</v>
      </c>
      <c r="E14" s="27" t="s">
        <v>1988</v>
      </c>
      <c r="F14" s="3020" t="s">
        <v>3243</v>
      </c>
      <c r="G14" s="3020" t="s">
        <v>3243</v>
      </c>
      <c r="H14" s="3020" t="s">
        <v>3243</v>
      </c>
      <c r="I14" s="3020" t="s">
        <v>3243</v>
      </c>
      <c r="J14" s="3020" t="s">
        <v>3243</v>
      </c>
      <c r="K14" s="1056"/>
      <c r="L14" s="1056"/>
      <c r="M14" s="1056"/>
      <c r="N14" s="1056"/>
      <c r="O14" s="1056"/>
      <c r="P14" s="1056"/>
      <c r="Q14" s="1056"/>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5">
      <c r="A15" s="3008"/>
      <c r="B15" s="1884"/>
      <c r="C15" s="1885"/>
      <c r="D15" s="1886"/>
      <c r="E15" s="1887"/>
      <c r="F15" s="1469" t="s">
        <v>3244</v>
      </c>
      <c r="G15" s="1927"/>
      <c r="H15" s="3021"/>
      <c r="I15" s="3022"/>
      <c r="J15" s="3023"/>
      <c r="K15" s="1056"/>
      <c r="L15" s="1056"/>
      <c r="M15" s="1056"/>
      <c r="N15" s="1056"/>
      <c r="O15" s="1056"/>
      <c r="P15" s="1056"/>
      <c r="Q15" s="1056"/>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6"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ht="26">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
      <c r="A18" s="3038"/>
      <c r="B18" s="2309"/>
      <c r="C18" s="3034"/>
      <c r="D18" s="3029" t="s">
        <v>3248</v>
      </c>
      <c r="E18" s="2356"/>
      <c r="F18" s="3030" t="s">
        <v>3251</v>
      </c>
      <c r="G18" s="3034">
        <f>ROUND(1-(1/(POWER(1+G24,E18))),4)</f>
        <v>0</v>
      </c>
      <c r="H18" s="3030" t="s">
        <v>3253</v>
      </c>
      <c r="I18" s="3034">
        <f>ROUND(1-(1/(POWER(1+G24,J24))),4)</f>
        <v>0.91279999999999994</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4.5" thickBot="1">
      <c r="A19" s="3040"/>
      <c r="B19" s="3041"/>
      <c r="C19" s="3042"/>
      <c r="D19" s="3042" t="s">
        <v>3249</v>
      </c>
      <c r="E19" s="3043"/>
      <c r="F19" s="3044" t="s">
        <v>3252</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
      <c r="A20" s="3466" t="s">
        <v>3254</v>
      </c>
      <c r="B20" s="159" t="s">
        <v>1994</v>
      </c>
      <c r="C20" s="3031">
        <f>ROUND(IF(F21="与级别开发程度一致",0,(G21-E21)/C21),0)</f>
        <v>0</v>
      </c>
      <c r="D20" s="3046" t="s">
        <v>1998</v>
      </c>
      <c r="E20" s="3047"/>
      <c r="F20" s="3472" t="s">
        <v>1995</v>
      </c>
      <c r="G20" s="3473"/>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5.5" thickBot="1">
      <c r="A21" s="3467"/>
      <c r="B21" s="2001" t="s">
        <v>1997</v>
      </c>
      <c r="C21" s="2002">
        <f>IF(E3="M4科研用地",SUMPRODUCT((修正!A2:A7=E3)*(修正!B1:M1=G2)*(修正!B2:M7)),SUMPRODUCT((修正!A2:A7=E2)*(修正!B1:M1=G2)*(修正!B2:M7)))</f>
        <v>1</v>
      </c>
      <c r="D21" s="179" t="str">
        <f>IF(OR(G2="八级",G2="九级",G2="十级",G2="十一级",G2="十二级"),"五通一平","七通一平")</f>
        <v>五通一平</v>
      </c>
      <c r="E21" s="1992">
        <f>SUMPRODUCT((修正!B1:M1=G2)*(修正!B17:M17))</f>
        <v>185</v>
      </c>
      <c r="F21" s="1993" t="s">
        <v>3438</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4.5" thickBot="1">
      <c r="A22" s="1995" t="s">
        <v>363</v>
      </c>
      <c r="B22" s="1996" t="s">
        <v>2000</v>
      </c>
      <c r="C22" s="1997">
        <f>SUMIF(修正!C20:C53,E3,修正!E20:E53)</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5.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1895" t="s">
        <v>2002</v>
      </c>
      <c r="E23" s="717">
        <v>44197</v>
      </c>
      <c r="F23" s="1895" t="s">
        <v>2003</v>
      </c>
      <c r="G23" s="718">
        <f>'数据-取费表'!B2</f>
        <v>46022</v>
      </c>
      <c r="H23" s="3048" t="s">
        <v>3439</v>
      </c>
      <c r="I23" s="3049" t="str">
        <f>IF(H23="季度增幅（自定义）",SUMIF(N25:N28,E2,O25:O28),"")</f>
        <v/>
      </c>
      <c r="J23" s="3141" t="s">
        <v>3440</v>
      </c>
      <c r="K23" s="1061"/>
      <c r="L23" s="1896" t="s">
        <v>2004</v>
      </c>
      <c r="M23" s="1240">
        <f>ROUND(SUMIF(地价!B2:G2,E2,地价!B16:G16),0)</f>
        <v>318</v>
      </c>
      <c r="N23" s="1897" t="s">
        <v>2005</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6.5" thickBot="1">
      <c r="A24" s="1899" t="s">
        <v>365</v>
      </c>
      <c r="B24" s="1900" t="s">
        <v>2006</v>
      </c>
      <c r="C24" s="720">
        <f>ROUND(POWER(1+G24,J24-I24)*(POWER(1+G24,I24)-1)/(POWER(1+G24,J24)-1),4)</f>
        <v>0.79290000000000005</v>
      </c>
      <c r="D24" s="1901" t="s">
        <v>2007</v>
      </c>
      <c r="E24" s="1247">
        <f>存贷款利率!E28/100</f>
        <v>4.3499999999999997E-2</v>
      </c>
      <c r="F24" s="1901" t="s">
        <v>1999</v>
      </c>
      <c r="G24" s="724">
        <f>SUMIF(M30:Q30,E2,M33:Q33)</f>
        <v>0.05</v>
      </c>
      <c r="H24" s="1901" t="s">
        <v>2008</v>
      </c>
      <c r="I24" s="725">
        <f>SUMIF('数据-取费表'!C6:C15,E2,'数据-取费表'!F6:F15)/COUNTIF('数据-取费表'!C6:C15,E2)</f>
        <v>26.37</v>
      </c>
      <c r="J24" s="726">
        <f>IF(E2="住宅",70,IF(E2="商业",40,50))</f>
        <v>50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6" t="s">
        <v>366</v>
      </c>
      <c r="B25" s="1907" t="s">
        <v>3333</v>
      </c>
      <c r="C25" s="461">
        <f>IF(B25="容积率修正",IF(G3&lt;10,D26,J26),C27)</f>
        <v>1</v>
      </c>
      <c r="D25" s="1908"/>
      <c r="E25" s="1908"/>
      <c r="F25" s="1908"/>
      <c r="G25" s="1908"/>
      <c r="H25" s="1908"/>
      <c r="I25" s="1908"/>
      <c r="J25" s="1909"/>
      <c r="K25" s="1061"/>
      <c r="L25" s="2552"/>
      <c r="M25" s="2552"/>
      <c r="N25" s="1910" t="s">
        <v>2013</v>
      </c>
      <c r="O25" s="1092"/>
      <c r="P25" s="1093">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5">
      <c r="A26" s="1805" t="s">
        <v>2014</v>
      </c>
      <c r="B26" s="1911" t="s">
        <v>2015</v>
      </c>
      <c r="C26" s="1911" t="s">
        <v>3255</v>
      </c>
      <c r="D26" s="1262">
        <f>IF(E26=G26,F26,IF(G3&lt;10,ROUND(F26+(H26-F26)*(G3-E26)/(G26-E26),4),"——"))</f>
        <v>1</v>
      </c>
      <c r="E26" s="708">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3256</v>
      </c>
      <c r="J26" s="374" t="str">
        <f>IF(G3&gt;=10,D115,"——")</f>
        <v>——</v>
      </c>
      <c r="K26" s="1061"/>
      <c r="L26" s="2552"/>
      <c r="M26" s="2552"/>
      <c r="N26" s="1910" t="s">
        <v>2016</v>
      </c>
      <c r="O26" s="1092"/>
      <c r="P26" s="1093">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2"/>
      <c r="P27" s="1093">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4.5" thickBot="1">
      <c r="A28" s="1899" t="s">
        <v>367</v>
      </c>
      <c r="B28" s="1892" t="s">
        <v>2020</v>
      </c>
      <c r="C28" s="716">
        <f>SUMIF(A47:A101,E2,B47:B101)</f>
        <v>1.0102</v>
      </c>
      <c r="D28" s="1893"/>
      <c r="E28" s="1918"/>
      <c r="F28" s="1918"/>
      <c r="G28" s="1918"/>
      <c r="H28" s="1918"/>
      <c r="I28" s="1918"/>
      <c r="J28" s="1919"/>
      <c r="K28" s="1061"/>
      <c r="L28" s="2552"/>
      <c r="M28" s="2552"/>
      <c r="N28" s="1920" t="s">
        <v>2021</v>
      </c>
      <c r="O28" s="1094"/>
      <c r="P28" s="1095">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4.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
      <c r="A30" s="1923"/>
      <c r="B30" s="1911" t="s">
        <v>2024</v>
      </c>
      <c r="C30" s="2144">
        <f>IF(B25="容积率修正",E33+SUM(E37:E42),SUM(V2:V16)+SUM(E37:E42))</f>
        <v>475</v>
      </c>
      <c r="D30" s="1924"/>
      <c r="E30" s="1841"/>
      <c r="F30" s="1925"/>
      <c r="G30" s="1841"/>
      <c r="H30" s="1841"/>
      <c r="I30" s="1841"/>
      <c r="J30" s="1926"/>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4.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4.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
      <c r="A33" s="1937"/>
      <c r="B33" s="1938" t="s">
        <v>2030</v>
      </c>
      <c r="C33" s="167">
        <f>ROUND(C5*C22*C23*C24*C25*C28,0)</f>
        <v>942</v>
      </c>
      <c r="D33" s="1939">
        <f>'数据-汇总表'!D19</f>
        <v>5038.53</v>
      </c>
      <c r="E33" s="727">
        <f>ROUND(C33*D33/10000,0)</f>
        <v>475</v>
      </c>
      <c r="F33" s="3050" t="s">
        <v>3258</v>
      </c>
      <c r="G33" s="1940"/>
      <c r="H33" s="1940"/>
      <c r="I33" s="1940"/>
      <c r="J33" s="1941"/>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6.5" thickBot="1">
      <c r="A34" s="1942"/>
      <c r="B34" s="1943" t="s">
        <v>2031</v>
      </c>
      <c r="C34" s="179">
        <f>ROUND(IF(E2="工业",C33*M42,IF(B25="楼层修正",SUM(V2:V16)*M41*10000/D34,C33*M41)),0)</f>
        <v>141</v>
      </c>
      <c r="D34" s="1944"/>
      <c r="E34" s="727">
        <f>ROUND(IF(B25="楼层修正",SUM(V2:V16)*M40,C34*D34/10000),0)</f>
        <v>0</v>
      </c>
      <c r="F34" s="1945" t="s">
        <v>2032</v>
      </c>
      <c r="G34" s="1946"/>
      <c r="H34" s="1946"/>
      <c r="I34" s="1946"/>
      <c r="J34" s="1947"/>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ht="13">
      <c r="A35" s="1948"/>
      <c r="B35" s="1949" t="s">
        <v>2033</v>
      </c>
      <c r="C35" s="3051" t="s">
        <v>3259</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6.5" thickBot="1">
      <c r="A36" s="1937"/>
      <c r="B36" s="1952"/>
      <c r="C36" s="436" t="s">
        <v>2027</v>
      </c>
      <c r="D36" s="433" t="s">
        <v>2028</v>
      </c>
      <c r="E36" s="433" t="s">
        <v>2029</v>
      </c>
      <c r="F36" s="333" t="s">
        <v>2035</v>
      </c>
      <c r="G36" s="1953" t="s">
        <v>2027</v>
      </c>
      <c r="H36" s="1953" t="s">
        <v>2028</v>
      </c>
      <c r="I36" s="1953" t="s">
        <v>2029</v>
      </c>
      <c r="J36" s="235"/>
      <c r="K36" s="1963" t="s">
        <v>3263</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6.5" thickBot="1">
      <c r="A37" s="3470"/>
      <c r="B37" s="1954" t="s">
        <v>2036</v>
      </c>
      <c r="C37" s="167">
        <f>ROUND(D5*C22*C23*C24*C28*F37,0)</f>
        <v>471</v>
      </c>
      <c r="D37" s="1939"/>
      <c r="E37" s="163">
        <f>ROUND(C37*D37/10000,0)</f>
        <v>0</v>
      </c>
      <c r="F37" s="163">
        <f>SUMIF(修正!A59:A70,G2,修正!B59:B70)</f>
        <v>0.5</v>
      </c>
      <c r="G37" s="163">
        <f>ROUND(IF(E2="工业",C37*$M$42,C37*$M$41),0)</f>
        <v>71</v>
      </c>
      <c r="H37" s="163">
        <f>D37</f>
        <v>0</v>
      </c>
      <c r="I37" s="163">
        <f>ROUND(G37*H37/10000,0)</f>
        <v>0</v>
      </c>
      <c r="J37" s="2754"/>
      <c r="K37" s="3061" t="s">
        <v>3264</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ht="13">
      <c r="A38" s="3471"/>
      <c r="B38" s="1883" t="s">
        <v>2037</v>
      </c>
      <c r="C38" s="167">
        <f>ROUND(D5*C22*C23*C24*C28*F38,0)</f>
        <v>188</v>
      </c>
      <c r="D38" s="1939"/>
      <c r="E38" s="163">
        <f t="shared" ref="E38:E42" si="4">ROUND(C38*D38/10000,0)</f>
        <v>0</v>
      </c>
      <c r="F38" s="163">
        <f>SUMIF(修正!A59:A70,G2,修正!C59:C70)</f>
        <v>0.2</v>
      </c>
      <c r="G38" s="163">
        <f>ROUND(IF(E2="工业",C38*$M$42,C38*$M$41),0)</f>
        <v>28</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71"/>
      <c r="B39" s="1883" t="s">
        <v>3257</v>
      </c>
      <c r="C39" s="167">
        <f>ROUND(D5*C22*C23*C24*C28*F39,0)</f>
        <v>188</v>
      </c>
      <c r="D39" s="1939"/>
      <c r="E39" s="163">
        <f t="shared" si="4"/>
        <v>0</v>
      </c>
      <c r="F39" s="163">
        <f>SUMIF(修正!A59:A70,G2,修正!D59:D70)</f>
        <v>0.2</v>
      </c>
      <c r="G39" s="163">
        <f>ROUND(IF(E2="工业",C39*$M$42,C39*$M$41),0)</f>
        <v>28</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5"/>
      <c r="B40" s="1883" t="s">
        <v>2038</v>
      </c>
      <c r="C40" s="163">
        <f>ROUND(D5*C22*C23*C24*C28*F40,0)</f>
        <v>188</v>
      </c>
      <c r="D40" s="1939"/>
      <c r="E40" s="163">
        <f t="shared" si="4"/>
        <v>0</v>
      </c>
      <c r="F40" s="167">
        <f>SUMIF(修正!A59:A70,G2,修正!E59:E70)</f>
        <v>0.2</v>
      </c>
      <c r="G40" s="163">
        <f>ROUND(IF(E2="工业",C40*$M$42,C40*$M$41),0)</f>
        <v>28</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ht="13">
      <c r="A41" s="1955"/>
      <c r="B41" s="1883" t="s">
        <v>2040</v>
      </c>
      <c r="C41" s="163">
        <f>ROUND(D5*C22*C23*C44*C28*F41,0)</f>
        <v>0</v>
      </c>
      <c r="D41" s="1939"/>
      <c r="E41" s="163">
        <f t="shared" si="4"/>
        <v>0</v>
      </c>
      <c r="F41" s="167">
        <f>SUMIF(修正!A59:A70,G2,修正!F59:F70)</f>
        <v>0.2</v>
      </c>
      <c r="G41" s="163">
        <f>ROUND(IF(E2="工业",C41*$M$42,C41*$M$41),0)</f>
        <v>0</v>
      </c>
      <c r="H41" s="163">
        <f t="shared" si="5"/>
        <v>0</v>
      </c>
      <c r="I41" s="163">
        <f t="shared" si="6"/>
        <v>0</v>
      </c>
      <c r="J41" s="939"/>
      <c r="L41" s="3062" t="s">
        <v>3265</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SUMIF(修正!A59:A70,G2,修正!G59:G70)</f>
        <v>0.1</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4.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4">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6">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3267</v>
      </c>
      <c r="B52" s="1261">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69" t="s">
        <v>2054</v>
      </c>
      <c r="B53" s="1973" t="s">
        <v>2055</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69" t="s">
        <v>2056</v>
      </c>
      <c r="B54" s="1261">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69" t="s">
        <v>2057</v>
      </c>
      <c r="B55" s="1974" t="s">
        <v>2058</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5" t="s">
        <v>2059</v>
      </c>
      <c r="B56" s="1239" t="str">
        <f>估价对象房地状况!C21</f>
        <v>估价对象所在区域公共配套设施齐备情况</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5" t="s">
        <v>2060</v>
      </c>
      <c r="B57" s="1261" t="str">
        <f>估价对象房地状况!C22</f>
        <v>估价对象所在区域基础设施水平</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69" t="s">
        <v>2053</v>
      </c>
      <c r="B62" s="1261"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0" t="s">
        <v>3267</v>
      </c>
      <c r="B63" s="1261">
        <f>估价对象房地状况!C19</f>
        <v>0</v>
      </c>
      <c r="C63" s="1886"/>
      <c r="D63" s="1002">
        <f t="shared" si="12"/>
        <v>0</v>
      </c>
      <c r="E63" s="703"/>
      <c r="F63" s="1674"/>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69" t="s">
        <v>2054</v>
      </c>
      <c r="B64" s="1973" t="s">
        <v>2055</v>
      </c>
      <c r="C64" s="1886"/>
      <c r="D64" s="1002">
        <f t="shared" si="12"/>
        <v>0</v>
      </c>
      <c r="E64" s="703"/>
      <c r="F64" s="1674"/>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69" t="s">
        <v>2056</v>
      </c>
      <c r="B65" s="1261">
        <f>估价对象房地状况!C24</f>
        <v>0</v>
      </c>
      <c r="C65" s="1886"/>
      <c r="D65" s="1002">
        <f t="shared" si="12"/>
        <v>0</v>
      </c>
      <c r="E65" s="703"/>
      <c r="F65" s="1674"/>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69" t="s">
        <v>2057</v>
      </c>
      <c r="B66" s="1974" t="s">
        <v>2058</v>
      </c>
      <c r="C66" s="1886"/>
      <c r="D66" s="1002">
        <f t="shared" si="12"/>
        <v>0</v>
      </c>
      <c r="E66" s="703"/>
      <c r="F66" s="1674"/>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69" t="s">
        <v>2059</v>
      </c>
      <c r="B67" s="1239" t="str">
        <f>估价对象房地状况!C21</f>
        <v>估价对象所在区域公共配套设施齐备情况</v>
      </c>
      <c r="C67" s="1886"/>
      <c r="D67" s="1002">
        <f t="shared" si="12"/>
        <v>0</v>
      </c>
      <c r="E67" s="703"/>
      <c r="F67" s="1674"/>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69" t="s">
        <v>2060</v>
      </c>
      <c r="B68" s="1239" t="str">
        <f>估价对象房地状况!C22</f>
        <v>估价对象所在区域基础设施水平</v>
      </c>
      <c r="C68" s="1886"/>
      <c r="D68" s="1002">
        <f t="shared" si="12"/>
        <v>0</v>
      </c>
      <c r="E68" s="703"/>
      <c r="F68" s="1674"/>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6" t="s">
        <v>2061</v>
      </c>
      <c r="B69" s="1978" t="str">
        <f>估价对象房地状况!C20</f>
        <v>区域自然环境：；人文环境；综合评价环境状况一般</v>
      </c>
      <c r="C69" s="1886"/>
      <c r="D69" s="1002">
        <f t="shared" si="12"/>
        <v>0</v>
      </c>
      <c r="E69" s="704"/>
      <c r="F69" s="1674"/>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9">
      <c r="A74" s="3070" t="s">
        <v>3267</v>
      </c>
      <c r="B74" s="1261">
        <f>估价对象房地状况!C19</f>
        <v>0</v>
      </c>
      <c r="C74" s="1886"/>
      <c r="D74" s="1002">
        <f t="shared" si="17"/>
        <v>0</v>
      </c>
      <c r="E74" s="705"/>
      <c r="F74" s="1674"/>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
      <c r="A75" s="1969" t="s">
        <v>2067</v>
      </c>
      <c r="B75" s="1261">
        <f>估价对象房地状况!C24</f>
        <v>0</v>
      </c>
      <c r="C75" s="1886"/>
      <c r="D75" s="1002">
        <f t="shared" si="17"/>
        <v>0</v>
      </c>
      <c r="E75" s="705"/>
      <c r="F75" s="1674"/>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6">
      <c r="A76" s="1969" t="s">
        <v>2059</v>
      </c>
      <c r="B76" s="1239" t="str">
        <f>估价对象房地状况!C21</f>
        <v>估价对象所在区域公共配套设施齐备情况</v>
      </c>
      <c r="C76" s="1886"/>
      <c r="D76" s="1002">
        <f t="shared" si="17"/>
        <v>0</v>
      </c>
      <c r="E76" s="705"/>
      <c r="F76" s="1674"/>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6">
      <c r="A77" s="1969" t="s">
        <v>2060</v>
      </c>
      <c r="B77" s="1239" t="str">
        <f>估价对象房地状况!C22</f>
        <v>估价对象所在区域基础设施水平</v>
      </c>
      <c r="C77" s="1886"/>
      <c r="D77" s="1002">
        <f t="shared" si="17"/>
        <v>0</v>
      </c>
      <c r="E77" s="705"/>
      <c r="F77" s="1674"/>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6">
      <c r="A78" s="1969" t="s">
        <v>2057</v>
      </c>
      <c r="B78" s="1974" t="s">
        <v>2058</v>
      </c>
      <c r="C78" s="1886"/>
      <c r="D78" s="1002">
        <f t="shared" si="17"/>
        <v>0</v>
      </c>
      <c r="E78" s="705"/>
      <c r="F78" s="1674"/>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6">
      <c r="A79" s="1969" t="s">
        <v>2061</v>
      </c>
      <c r="B79" s="1972" t="str">
        <f>估价对象房地状况!C20</f>
        <v>区域自然环境：；人文环境；综合评价环境状况一般</v>
      </c>
      <c r="C79" s="1886"/>
      <c r="D79" s="1002">
        <f t="shared" si="17"/>
        <v>0</v>
      </c>
      <c r="E79" s="705"/>
      <c r="F79" s="1674"/>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6.5" thickBot="1">
      <c r="A80" s="1976" t="s">
        <v>2068</v>
      </c>
      <c r="B80" s="1980"/>
      <c r="C80" s="1886"/>
      <c r="D80" s="1002">
        <f t="shared" si="17"/>
        <v>0</v>
      </c>
      <c r="E80" s="706"/>
      <c r="F80" s="1674"/>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4">
      <c r="A81" s="1966" t="s">
        <v>2069</v>
      </c>
      <c r="B81" s="1967">
        <f>1+E83</f>
        <v>1.0102</v>
      </c>
      <c r="C81" s="699"/>
      <c r="D81" s="699"/>
      <c r="E81" s="700"/>
      <c r="F81" s="1968"/>
      <c r="G81" s="3"/>
      <c r="H81" s="3"/>
      <c r="I81" s="3"/>
      <c r="J81" s="4"/>
      <c r="K81" s="4"/>
      <c r="L81" s="4"/>
      <c r="M81" s="4"/>
      <c r="N81" s="4"/>
      <c r="Z81" s="1844"/>
      <c r="AA81" s="1894"/>
      <c r="AG81" s="1058"/>
      <c r="AK81" s="1894"/>
    </row>
    <row r="82" spans="1:37" ht="26">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7.5">
      <c r="A83" s="1969" t="s">
        <v>2070</v>
      </c>
      <c r="B83" s="1261" t="str">
        <f>估价对象房地状况!G15</f>
        <v>估价对象位于XX开发区，园区建设成熟度XX，产业集聚程度XX</v>
      </c>
      <c r="C83" s="1886" t="s">
        <v>3441</v>
      </c>
      <c r="D83" s="1002">
        <f t="shared" ref="D83:D90" si="22">SUMIF($J$82:$N$82,C83,J83:N83)</f>
        <v>6.4999999999999997E-3</v>
      </c>
      <c r="E83" s="702">
        <f>ROUND(SUM(D83:D90),4)</f>
        <v>1.0200000000000001E-2</v>
      </c>
      <c r="F83" s="1674">
        <f>IF(E2="工业",SUMIF(L1:L12,G2,N1:N12),"——")</f>
        <v>0.05</v>
      </c>
      <c r="G83" s="1000">
        <v>6.4999999999999997E-3</v>
      </c>
      <c r="H83" s="1003">
        <f t="shared" ref="H83:H90" si="23">IFERROR(ROUNDDOWN($F$83*I83/2,4),"——")</f>
        <v>6.4999999999999997E-3</v>
      </c>
      <c r="I83" s="3068">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4"/>
      <c r="AA83" s="1894"/>
      <c r="AG83" s="1058"/>
      <c r="AK83" s="1894"/>
    </row>
    <row r="84" spans="1:37" ht="50">
      <c r="A84" s="1969" t="s">
        <v>2053</v>
      </c>
      <c r="B84" s="1261" t="str">
        <f>估价对象房地状况!G16</f>
        <v>估价对象周边道路状况、公共交通通达情况、停车便捷程度，综合评价交通便捷度较好</v>
      </c>
      <c r="C84" s="1886" t="s">
        <v>3442</v>
      </c>
      <c r="D84" s="1002">
        <f t="shared" si="22"/>
        <v>0</v>
      </c>
      <c r="E84" s="705"/>
      <c r="F84" s="1674"/>
      <c r="G84" s="1000">
        <v>7.4999999999999997E-3</v>
      </c>
      <c r="H84" s="1003">
        <f t="shared" si="23"/>
        <v>7.4999999999999997E-3</v>
      </c>
      <c r="I84" s="3068">
        <v>0.3</v>
      </c>
      <c r="J84" s="1001">
        <f t="shared" si="24"/>
        <v>1.4999999999999999E-2</v>
      </c>
      <c r="K84" s="1001">
        <f t="shared" si="25"/>
        <v>7.4999999999999997E-3</v>
      </c>
      <c r="L84" s="1001">
        <v>0</v>
      </c>
      <c r="M84" s="1001">
        <f t="shared" si="26"/>
        <v>-7.4999999999999997E-3</v>
      </c>
      <c r="N84" s="1001">
        <f t="shared" si="26"/>
        <v>-1.4999999999999999E-2</v>
      </c>
      <c r="Z84" s="1844"/>
      <c r="AA84" s="1894"/>
      <c r="AG84" s="1058"/>
      <c r="AK84" s="1894"/>
    </row>
    <row r="85" spans="1:37" ht="39">
      <c r="A85" s="3070" t="s">
        <v>3268</v>
      </c>
      <c r="B85" s="1261">
        <f>估价对象房地状况!G17</f>
        <v>0</v>
      </c>
      <c r="C85" s="1886" t="s">
        <v>3441</v>
      </c>
      <c r="D85" s="1002">
        <f t="shared" si="22"/>
        <v>2.5000000000000001E-3</v>
      </c>
      <c r="E85" s="705"/>
      <c r="F85" s="1674"/>
      <c r="G85" s="1000">
        <v>2.5000000000000001E-3</v>
      </c>
      <c r="H85" s="1003">
        <f t="shared" si="23"/>
        <v>2.5000000000000001E-3</v>
      </c>
      <c r="I85" s="3068">
        <v>0.1</v>
      </c>
      <c r="J85" s="1001">
        <f t="shared" si="24"/>
        <v>5.0000000000000001E-3</v>
      </c>
      <c r="K85" s="1001">
        <f t="shared" si="25"/>
        <v>2.5000000000000001E-3</v>
      </c>
      <c r="L85" s="1001">
        <v>0</v>
      </c>
      <c r="M85" s="1001">
        <f t="shared" si="26"/>
        <v>-2.5000000000000001E-3</v>
      </c>
      <c r="N85" s="1001">
        <f t="shared" si="26"/>
        <v>-5.0000000000000001E-3</v>
      </c>
      <c r="Z85" s="1844"/>
      <c r="AA85" s="1894"/>
      <c r="AG85" s="1058"/>
      <c r="AK85" s="1894"/>
    </row>
    <row r="86" spans="1:37" ht="14">
      <c r="A86" s="1969" t="s">
        <v>2067</v>
      </c>
      <c r="B86" s="1261">
        <f>估价对象房地状况!G22</f>
        <v>0</v>
      </c>
      <c r="C86" s="1886" t="s">
        <v>3442</v>
      </c>
      <c r="D86" s="1002">
        <f t="shared" si="22"/>
        <v>0</v>
      </c>
      <c r="E86" s="705"/>
      <c r="F86" s="1674"/>
      <c r="G86" s="1000">
        <v>1.1999999999999999E-3</v>
      </c>
      <c r="H86" s="1003">
        <f t="shared" si="23"/>
        <v>1.1999999999999999E-3</v>
      </c>
      <c r="I86" s="3068">
        <v>0.05</v>
      </c>
      <c r="J86" s="1001">
        <f t="shared" si="24"/>
        <v>2.3999999999999998E-3</v>
      </c>
      <c r="K86" s="1001">
        <f t="shared" si="25"/>
        <v>1.1999999999999999E-3</v>
      </c>
      <c r="L86" s="1001">
        <v>0</v>
      </c>
      <c r="M86" s="1001">
        <f t="shared" si="26"/>
        <v>-1.1999999999999999E-3</v>
      </c>
      <c r="N86" s="1001">
        <f t="shared" si="26"/>
        <v>-2.3999999999999998E-3</v>
      </c>
      <c r="Z86" s="1844"/>
      <c r="AA86" s="1894"/>
      <c r="AG86" s="1058"/>
      <c r="AK86" s="1894"/>
    </row>
    <row r="87" spans="1:37" ht="26">
      <c r="A87" s="1969" t="s">
        <v>2059</v>
      </c>
      <c r="B87" s="1239" t="str">
        <f>估价对象房地状况!G19</f>
        <v>估价对象所在区域公共配套设施齐备情况</v>
      </c>
      <c r="C87" s="1886" t="s">
        <v>3443</v>
      </c>
      <c r="D87" s="1002">
        <f t="shared" si="22"/>
        <v>-1.5E-3</v>
      </c>
      <c r="E87" s="705"/>
      <c r="F87" s="1674"/>
      <c r="G87" s="1000">
        <v>1.5E-3</v>
      </c>
      <c r="H87" s="1003">
        <f t="shared" si="23"/>
        <v>1.5E-3</v>
      </c>
      <c r="I87" s="3068">
        <v>0.06</v>
      </c>
      <c r="J87" s="1001">
        <f t="shared" si="24"/>
        <v>3.0000000000000001E-3</v>
      </c>
      <c r="K87" s="1001">
        <f t="shared" si="25"/>
        <v>1.5E-3</v>
      </c>
      <c r="L87" s="1001">
        <v>0</v>
      </c>
      <c r="M87" s="1001">
        <f t="shared" si="26"/>
        <v>-1.5E-3</v>
      </c>
      <c r="N87" s="1001">
        <f t="shared" si="26"/>
        <v>-3.0000000000000001E-3</v>
      </c>
    </row>
    <row r="88" spans="1:37" ht="26">
      <c r="A88" s="1969" t="s">
        <v>2060</v>
      </c>
      <c r="B88" s="1239" t="str">
        <f>估价对象房地状况!G20</f>
        <v>估价对象所在区域基础设施水平</v>
      </c>
      <c r="C88" s="1886" t="s">
        <v>3442</v>
      </c>
      <c r="D88" s="1002">
        <f t="shared" si="22"/>
        <v>0</v>
      </c>
      <c r="E88" s="705"/>
      <c r="F88" s="1674"/>
      <c r="G88" s="1000">
        <v>3.0000000000000001E-3</v>
      </c>
      <c r="H88" s="1003">
        <f t="shared" si="23"/>
        <v>3.0000000000000001E-3</v>
      </c>
      <c r="I88" s="3068">
        <v>0.12</v>
      </c>
      <c r="J88" s="1001">
        <f t="shared" si="24"/>
        <v>6.0000000000000001E-3</v>
      </c>
      <c r="K88" s="1001">
        <f t="shared" si="25"/>
        <v>3.0000000000000001E-3</v>
      </c>
      <c r="L88" s="1001">
        <v>0</v>
      </c>
      <c r="M88" s="1001">
        <f t="shared" si="26"/>
        <v>-3.0000000000000001E-3</v>
      </c>
      <c r="N88" s="1001">
        <f t="shared" si="26"/>
        <v>-6.0000000000000001E-3</v>
      </c>
    </row>
    <row r="89" spans="1:37" ht="26">
      <c r="A89" s="1969" t="s">
        <v>2057</v>
      </c>
      <c r="B89" s="1974" t="s">
        <v>2071</v>
      </c>
      <c r="C89" s="1886" t="s">
        <v>3441</v>
      </c>
      <c r="D89" s="1002">
        <f t="shared" si="22"/>
        <v>1.5E-3</v>
      </c>
      <c r="E89" s="705"/>
      <c r="F89" s="1674"/>
      <c r="G89" s="1000">
        <v>1.5E-3</v>
      </c>
      <c r="H89" s="1003">
        <f t="shared" si="23"/>
        <v>1.5E-3</v>
      </c>
      <c r="I89" s="3068">
        <v>0.06</v>
      </c>
      <c r="J89" s="1001">
        <f t="shared" si="24"/>
        <v>3.0000000000000001E-3</v>
      </c>
      <c r="K89" s="1001">
        <f t="shared" si="25"/>
        <v>1.5E-3</v>
      </c>
      <c r="L89" s="1001">
        <v>0</v>
      </c>
      <c r="M89" s="1001">
        <f t="shared" si="26"/>
        <v>-1.5E-3</v>
      </c>
      <c r="N89" s="1001">
        <f t="shared" si="26"/>
        <v>-3.0000000000000001E-3</v>
      </c>
    </row>
    <row r="90" spans="1:37" ht="38" thickBot="1">
      <c r="A90" s="1976" t="s">
        <v>2072</v>
      </c>
      <c r="B90" s="1981" t="str">
        <f>估价对象房地状况!G18</f>
        <v>该园区内是否有污染型企业，绿化情况，卫生条件，整体环境状况判断</v>
      </c>
      <c r="C90" s="1886" t="s">
        <v>3441</v>
      </c>
      <c r="D90" s="1002">
        <f t="shared" si="22"/>
        <v>1.1999999999999999E-3</v>
      </c>
      <c r="E90" s="706"/>
      <c r="F90" s="1674"/>
      <c r="G90" s="1000">
        <v>1.1999999999999999E-3</v>
      </c>
      <c r="H90" s="1003">
        <f t="shared" si="23"/>
        <v>1.1999999999999999E-3</v>
      </c>
      <c r="I90" s="3069">
        <v>0.05</v>
      </c>
      <c r="J90" s="1001">
        <f t="shared" si="24"/>
        <v>2.3999999999999998E-3</v>
      </c>
      <c r="K90" s="1001">
        <f t="shared" si="25"/>
        <v>1.1999999999999999E-3</v>
      </c>
      <c r="L90" s="1001">
        <v>0</v>
      </c>
      <c r="M90" s="1001">
        <f t="shared" si="26"/>
        <v>-1.1999999999999999E-3</v>
      </c>
      <c r="N90" s="1001">
        <f t="shared" si="26"/>
        <v>-2.3999999999999998E-3</v>
      </c>
    </row>
    <row r="91" spans="1:37" ht="14">
      <c r="A91" s="3078" t="s">
        <v>2612</v>
      </c>
      <c r="B91" s="3079">
        <f>1+E93</f>
        <v>1</v>
      </c>
      <c r="C91" s="3072"/>
      <c r="D91" s="3073"/>
      <c r="E91" s="1674"/>
      <c r="F91" s="1674"/>
      <c r="G91" s="3074"/>
      <c r="H91" s="3075"/>
      <c r="I91" s="3076"/>
      <c r="J91" s="3077"/>
      <c r="K91" s="3077"/>
      <c r="L91" s="3077"/>
      <c r="M91" s="3077"/>
      <c r="N91" s="3077"/>
    </row>
    <row r="92" spans="1:37" ht="26">
      <c r="A92" s="3080" t="s">
        <v>3269</v>
      </c>
      <c r="B92" s="2309"/>
      <c r="C92" s="2309" t="s">
        <v>3278</v>
      </c>
      <c r="D92" s="2309" t="s">
        <v>3279</v>
      </c>
      <c r="E92" s="3052" t="s">
        <v>3280</v>
      </c>
      <c r="F92" s="3082" t="s">
        <v>3281</v>
      </c>
      <c r="G92" s="2309" t="s">
        <v>3282</v>
      </c>
      <c r="H92" s="3089" t="s">
        <v>3285</v>
      </c>
      <c r="I92" s="2309" t="s">
        <v>3286</v>
      </c>
      <c r="J92" s="2149" t="s">
        <v>3287</v>
      </c>
      <c r="K92" s="2149" t="s">
        <v>3288</v>
      </c>
      <c r="L92" s="2149" t="s">
        <v>3289</v>
      </c>
      <c r="M92" s="2149" t="s">
        <v>3290</v>
      </c>
      <c r="N92" s="2149" t="s">
        <v>3291</v>
      </c>
    </row>
    <row r="93" spans="1:37" ht="26">
      <c r="A93" s="3070" t="s">
        <v>3270</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50">
      <c r="A94" s="3080" t="s">
        <v>3271</v>
      </c>
      <c r="B94" s="3071" t="str">
        <f>估价对象房地状况!C18</f>
        <v>估价对象周边道路状况、公共交通通达情况、停车便捷程度，综合评价交通便捷度较好</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9">
      <c r="A95" s="3070" t="s">
        <v>3267</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9">
      <c r="A96" s="3080" t="s">
        <v>3272</v>
      </c>
      <c r="B96" s="3086" t="s">
        <v>3283</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6">
      <c r="A97" s="3080" t="s">
        <v>3273</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6">
      <c r="A98" s="3080" t="s">
        <v>3274</v>
      </c>
      <c r="B98" s="3087" t="s">
        <v>3284</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6">
      <c r="A99" s="3080" t="s">
        <v>3275</v>
      </c>
      <c r="B99" s="3071" t="str">
        <f>估价对象房地状况!C21</f>
        <v>估价对象所在区域公共配套设施齐备情况</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6">
      <c r="A100" s="3080" t="s">
        <v>3276</v>
      </c>
      <c r="B100" s="3071" t="str">
        <f>估价对象房地状况!C22</f>
        <v>估价对象所在区域基础设施水平</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6.5" thickBot="1">
      <c r="A101" s="3081" t="s">
        <v>3277</v>
      </c>
      <c r="B101" s="3088" t="str">
        <f>估价对象房地状况!C20</f>
        <v>区域自然环境：；人文环境；综合评价环境状况一般</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ht="13">
      <c r="A103" s="3468" t="s">
        <v>3292</v>
      </c>
      <c r="B103" s="3468"/>
      <c r="C103" s="3468"/>
      <c r="D103" s="3468"/>
      <c r="E103" s="3468"/>
      <c r="F103" s="3468"/>
      <c r="G103" s="3468"/>
      <c r="H103" s="3468"/>
      <c r="I103" s="3468"/>
      <c r="J103" s="3468"/>
      <c r="K103" s="1666"/>
      <c r="L103" s="1666"/>
      <c r="M103" s="1666"/>
      <c r="N103" s="1666"/>
    </row>
    <row r="104" spans="1:14" ht="13">
      <c r="A104" s="3469" t="s">
        <v>3293</v>
      </c>
      <c r="B104" s="3469" t="s">
        <v>3294</v>
      </c>
      <c r="C104" s="3090" t="s">
        <v>3295</v>
      </c>
      <c r="D104" s="3091"/>
      <c r="E104" s="3091"/>
      <c r="F104" s="3091"/>
      <c r="G104" s="3091"/>
      <c r="H104" s="3091"/>
      <c r="I104" s="3091"/>
      <c r="J104" s="3092"/>
      <c r="K104" s="3093"/>
      <c r="L104" s="3093"/>
      <c r="M104" s="3093"/>
      <c r="N104" s="3093"/>
    </row>
    <row r="105" spans="1:14" ht="13">
      <c r="A105" s="3469"/>
      <c r="B105" s="3469"/>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55"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56"/>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7"/>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458" t="s">
        <v>3309</v>
      </c>
      <c r="B113" s="3458"/>
      <c r="C113" s="3458"/>
      <c r="D113" s="3458"/>
      <c r="E113" s="3458"/>
      <c r="F113" s="3458"/>
      <c r="G113" s="3458"/>
      <c r="H113" s="3458"/>
      <c r="I113" s="3458"/>
      <c r="J113" s="3458"/>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 thickBot="1">
      <c r="A115" s="3097"/>
      <c r="B115" s="3097"/>
      <c r="C115" s="3097"/>
      <c r="D115" s="3097"/>
      <c r="E115" s="3097"/>
      <c r="F115" s="3097"/>
      <c r="G115" s="3097"/>
      <c r="H115" s="3097"/>
      <c r="I115" s="3097"/>
      <c r="J115" s="3097"/>
      <c r="K115" s="1963"/>
      <c r="L115" s="3097"/>
      <c r="M115" s="3097"/>
      <c r="N115" s="3097"/>
    </row>
    <row r="116" spans="1:14" ht="26" thickBot="1">
      <c r="A116" s="3098" t="s">
        <v>3310</v>
      </c>
      <c r="B116" s="3114">
        <f>G3</f>
        <v>1</v>
      </c>
      <c r="C116" s="3099" t="s">
        <v>3311</v>
      </c>
      <c r="D116" s="3100">
        <f>SUMPRODUCT((A118:A122=F116)*(B117:M117=H116)*B118:M122)</f>
        <v>0.57150000000000001</v>
      </c>
      <c r="E116" s="162" t="s">
        <v>3312</v>
      </c>
      <c r="F116" s="3101" t="str">
        <f>E2</f>
        <v>工业</v>
      </c>
      <c r="G116" s="162" t="s">
        <v>3313</v>
      </c>
      <c r="H116" s="3101" t="str">
        <f>G2</f>
        <v>九级</v>
      </c>
      <c r="I116" s="162"/>
      <c r="J116" s="3102"/>
      <c r="K116" s="3102"/>
      <c r="L116" s="3102"/>
      <c r="M116" s="3102"/>
      <c r="N116" s="3097"/>
    </row>
    <row r="117" spans="1:14" ht="13">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ht="13">
      <c r="A118" s="3057" t="s">
        <v>3326</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5">I118</f>
        <v>0.8306</v>
      </c>
      <c r="K118" s="3089">
        <f t="shared" si="35"/>
        <v>0.8306</v>
      </c>
      <c r="L118" s="3089">
        <f t="shared" si="35"/>
        <v>0.8306</v>
      </c>
      <c r="M118" s="3109">
        <f t="shared" si="35"/>
        <v>0.8306</v>
      </c>
      <c r="N118" s="3097"/>
    </row>
    <row r="119" spans="1:14" ht="13">
      <c r="A119" s="3057" t="s">
        <v>3327</v>
      </c>
      <c r="B119" s="3089">
        <f>ROUND(0.993-0.0112*B116,4)</f>
        <v>0.98180000000000001</v>
      </c>
      <c r="C119" s="3089">
        <f>B119</f>
        <v>0.98180000000000001</v>
      </c>
      <c r="D119" s="3089">
        <f>ROUND(0.9415-0.0142*B116,4)</f>
        <v>0.92730000000000001</v>
      </c>
      <c r="E119" s="3089">
        <f t="shared" ref="E119:H120" si="36">D119</f>
        <v>0.92730000000000001</v>
      </c>
      <c r="F119" s="3089">
        <f t="shared" si="36"/>
        <v>0.92730000000000001</v>
      </c>
      <c r="G119" s="3089">
        <f t="shared" si="36"/>
        <v>0.92730000000000001</v>
      </c>
      <c r="H119" s="3089">
        <f t="shared" si="36"/>
        <v>0.92730000000000001</v>
      </c>
      <c r="I119" s="3089">
        <f>ROUND(0.838-0.0182*B116,4)</f>
        <v>0.81979999999999997</v>
      </c>
      <c r="J119" s="3089">
        <f t="shared" si="35"/>
        <v>0.81979999999999997</v>
      </c>
      <c r="K119" s="3089">
        <f t="shared" si="35"/>
        <v>0.81979999999999997</v>
      </c>
      <c r="L119" s="3089">
        <f t="shared" si="35"/>
        <v>0.81979999999999997</v>
      </c>
      <c r="M119" s="3109">
        <f t="shared" si="35"/>
        <v>0.81979999999999997</v>
      </c>
      <c r="N119" s="3097"/>
    </row>
    <row r="120" spans="1:14" ht="13">
      <c r="A120" s="3057" t="s">
        <v>3328</v>
      </c>
      <c r="B120" s="3089">
        <f>ROUND(0.9448-0.0115*B116,4)</f>
        <v>0.93330000000000002</v>
      </c>
      <c r="C120" s="3089">
        <f>B120</f>
        <v>0.93330000000000002</v>
      </c>
      <c r="D120" s="3089">
        <f>ROUND(0.937-0.0145*B116,4)</f>
        <v>0.92249999999999999</v>
      </c>
      <c r="E120" s="3089">
        <f t="shared" si="36"/>
        <v>0.92249999999999999</v>
      </c>
      <c r="F120" s="3089">
        <f t="shared" si="36"/>
        <v>0.92249999999999999</v>
      </c>
      <c r="G120" s="3089">
        <f t="shared" si="36"/>
        <v>0.92249999999999999</v>
      </c>
      <c r="H120" s="3089">
        <f t="shared" si="36"/>
        <v>0.92249999999999999</v>
      </c>
      <c r="I120" s="3089">
        <f>ROUND(0.7965-0.0185*B116,4)</f>
        <v>0.77800000000000002</v>
      </c>
      <c r="J120" s="3089">
        <f t="shared" si="35"/>
        <v>0.77800000000000002</v>
      </c>
      <c r="K120" s="3089">
        <f t="shared" si="35"/>
        <v>0.77800000000000002</v>
      </c>
      <c r="L120" s="3089">
        <f t="shared" si="35"/>
        <v>0.77800000000000002</v>
      </c>
      <c r="M120" s="3109">
        <f t="shared" si="35"/>
        <v>0.77800000000000002</v>
      </c>
      <c r="N120" s="3097"/>
    </row>
    <row r="121" spans="1:14" ht="13.5" thickBot="1">
      <c r="A121" s="3110" t="s">
        <v>3329</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5"/>
        <v>0.57150000000000001</v>
      </c>
      <c r="K121" s="3111">
        <f t="shared" si="35"/>
        <v>0.57150000000000001</v>
      </c>
      <c r="L121" s="3111">
        <f t="shared" si="35"/>
        <v>0.57150000000000001</v>
      </c>
      <c r="M121" s="3112">
        <f t="shared" si="35"/>
        <v>0.57150000000000001</v>
      </c>
      <c r="N121" s="3097"/>
    </row>
    <row r="122" spans="1:14" ht="13">
      <c r="A122" s="3113" t="s">
        <v>2612</v>
      </c>
      <c r="B122" s="3089">
        <f>ROUND(0.9404-0.0106*B116,4)</f>
        <v>0.92979999999999996</v>
      </c>
      <c r="C122" s="3089">
        <f>B122</f>
        <v>0.92979999999999996</v>
      </c>
      <c r="D122" s="3089">
        <f>ROUND(0.8955-0.0135*B116,4)</f>
        <v>0.88200000000000001</v>
      </c>
      <c r="E122" s="3089">
        <f t="shared" ref="E122:H122" si="37">D122</f>
        <v>0.88200000000000001</v>
      </c>
      <c r="F122" s="3089">
        <f t="shared" si="37"/>
        <v>0.88200000000000001</v>
      </c>
      <c r="G122" s="3089">
        <f t="shared" si="37"/>
        <v>0.88200000000000001</v>
      </c>
      <c r="H122" s="3089">
        <f t="shared" si="37"/>
        <v>0.88200000000000001</v>
      </c>
      <c r="I122" s="3089">
        <f>ROUND(0.7632-0.0166*B116,4)</f>
        <v>0.74660000000000004</v>
      </c>
      <c r="J122" s="3089">
        <f t="shared" si="35"/>
        <v>0.74660000000000004</v>
      </c>
      <c r="K122" s="3089">
        <f t="shared" si="35"/>
        <v>0.74660000000000004</v>
      </c>
      <c r="L122" s="3089">
        <f t="shared" si="35"/>
        <v>0.74660000000000004</v>
      </c>
      <c r="M122" s="3109">
        <f t="shared" si="35"/>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B3" sqref="B3"/>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1" customWidth="1"/>
    <col min="12" max="12" width="16.36328125" style="250" customWidth="1"/>
    <col min="13" max="13" width="13" style="250" customWidth="1"/>
    <col min="14" max="14" width="13.7265625" style="1291" customWidth="1"/>
    <col min="15" max="15" width="5.08984375" style="1291" customWidth="1"/>
    <col min="16" max="16" width="25.7265625" style="1291" customWidth="1"/>
    <col min="17" max="17" width="13.7265625" style="1291" customWidth="1"/>
    <col min="18" max="18" width="20.453125" style="1291" customWidth="1"/>
    <col min="19" max="19" width="13.26953125" style="1291" customWidth="1"/>
    <col min="20" max="37" width="9" style="1291"/>
    <col min="38" max="16384" width="9" style="250"/>
  </cols>
  <sheetData>
    <row r="1" spans="1:37" s="285" customFormat="1" ht="21">
      <c r="A1" s="1282" t="s">
        <v>877</v>
      </c>
      <c r="B1" s="663"/>
      <c r="C1" s="1286" t="s">
        <v>3</v>
      </c>
      <c r="D1" s="1270" t="s">
        <v>43</v>
      </c>
      <c r="E1" s="1271" t="s">
        <v>678</v>
      </c>
      <c r="F1" s="999">
        <f ca="1">J53</f>
        <v>26.37</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790</v>
      </c>
      <c r="C2" s="1288" t="s">
        <v>805</v>
      </c>
      <c r="D2" s="1288"/>
      <c r="E2" s="1294"/>
      <c r="F2" s="1295"/>
      <c r="G2" s="2478"/>
      <c r="H2" s="2468"/>
      <c r="I2" s="2468"/>
      <c r="J2" s="2468"/>
      <c r="K2" s="2469"/>
      <c r="L2" s="2468"/>
      <c r="M2" s="2468"/>
    </row>
    <row r="3" spans="1:37" ht="18" customHeight="1" thickBot="1">
      <c r="A3" s="1296" t="s">
        <v>806</v>
      </c>
      <c r="B3" s="1297">
        <f ca="1">IF(ISERROR(B2*10000/F43),0,ROUND(B2*10000/F43,0))</f>
        <v>2885</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63</v>
      </c>
      <c r="D5" s="1272" t="s">
        <v>693</v>
      </c>
      <c r="E5" s="1008"/>
      <c r="F5" s="1009"/>
      <c r="G5" s="1291"/>
      <c r="H5" s="291">
        <v>1</v>
      </c>
      <c r="I5" s="292" t="s">
        <v>692</v>
      </c>
      <c r="J5" s="1007">
        <f ca="1">J6+J10+J12</f>
        <v>0</v>
      </c>
      <c r="K5" s="1272" t="s">
        <v>693</v>
      </c>
      <c r="L5" s="1008"/>
      <c r="M5" s="1009"/>
    </row>
    <row r="6" spans="1:37" ht="18" customHeight="1">
      <c r="A6" s="1006" t="s">
        <v>398</v>
      </c>
      <c r="B6" s="3356" t="s">
        <v>694</v>
      </c>
      <c r="C6" s="1011">
        <f ca="1">ROUND(F6*F8*F7*(1-F9)/10000,0)</f>
        <v>63</v>
      </c>
      <c r="D6" s="147" t="s">
        <v>2109</v>
      </c>
      <c r="E6" s="294" t="s">
        <v>696</v>
      </c>
      <c r="F6" s="295">
        <f ca="1">INDIRECT("'数据-取费表'!u"&amp;$G$1)</f>
        <v>0.7</v>
      </c>
      <c r="G6" s="1291"/>
      <c r="H6" s="1006" t="s">
        <v>398</v>
      </c>
      <c r="I6" s="3356" t="s">
        <v>694</v>
      </c>
      <c r="J6" s="293">
        <f ca="1">ROUND(M6*M8*M7*(1-M9)/10000,0)</f>
        <v>0</v>
      </c>
      <c r="K6" s="147" t="s">
        <v>2108</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2738.73</v>
      </c>
      <c r="G7" s="1291"/>
      <c r="H7" s="296"/>
      <c r="I7" s="3357"/>
      <c r="J7" s="298"/>
      <c r="K7" s="299"/>
      <c r="L7" s="294" t="s">
        <v>697</v>
      </c>
      <c r="M7" s="295">
        <f ca="1">F7</f>
        <v>2738.73</v>
      </c>
    </row>
    <row r="8" spans="1:37" ht="18" customHeight="1">
      <c r="A8" s="296"/>
      <c r="B8" s="3357"/>
      <c r="C8" s="298"/>
      <c r="D8" s="299"/>
      <c r="E8" s="294" t="s">
        <v>698</v>
      </c>
      <c r="F8" s="295">
        <f ca="1">INDIRECT("'数据-取费表'!ai"&amp;$G$1)</f>
        <v>365</v>
      </c>
      <c r="G8" s="1291"/>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1"/>
      <c r="H9" s="296"/>
      <c r="I9" s="3358"/>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t="s">
        <v>3432</v>
      </c>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675</v>
      </c>
      <c r="D13" s="1018" t="s">
        <v>705</v>
      </c>
      <c r="E13" s="1018" t="s">
        <v>706</v>
      </c>
      <c r="F13" s="1019">
        <f ca="1">INDIRECT("'数据-取费表'!y"&amp;$G$1)</f>
        <v>0.73</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685</v>
      </c>
      <c r="D14" s="1256" t="s">
        <v>708</v>
      </c>
      <c r="E14" s="1254"/>
      <c r="F14" s="311"/>
      <c r="G14" s="1291"/>
      <c r="H14" s="928" t="s">
        <v>398</v>
      </c>
      <c r="I14" s="294" t="s">
        <v>709</v>
      </c>
      <c r="J14" s="21">
        <f ca="1">C29</f>
        <v>924</v>
      </c>
      <c r="K14" s="12"/>
      <c r="L14" s="759"/>
      <c r="M14" s="760"/>
    </row>
    <row r="15" spans="1:37" s="1303" customFormat="1" ht="18" customHeight="1" thickBot="1">
      <c r="A15" s="928" t="s">
        <v>399</v>
      </c>
      <c r="B15" s="294" t="s">
        <v>710</v>
      </c>
      <c r="C15" s="21">
        <f ca="1">ROUND(C14*F15,0)</f>
        <v>34</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5</v>
      </c>
      <c r="K16" s="1024" t="s">
        <v>715</v>
      </c>
      <c r="L16" s="1025"/>
      <c r="M16" s="1009"/>
    </row>
    <row r="17" spans="1:37" s="1303" customFormat="1" ht="18" customHeight="1">
      <c r="A17" s="928" t="s">
        <v>681</v>
      </c>
      <c r="B17" s="294" t="s">
        <v>716</v>
      </c>
      <c r="C17" s="21">
        <f ca="1">ROUND(F17*(F43+INDIRECT("'数据-取费表'!S"&amp;$G$1))/10000,0)</f>
        <v>55</v>
      </c>
      <c r="D17" s="294" t="s">
        <v>717</v>
      </c>
      <c r="E17" s="294" t="s">
        <v>718</v>
      </c>
      <c r="F17" s="23">
        <f>'数据-取费表'!B35</f>
        <v>200</v>
      </c>
      <c r="G17" s="1302"/>
      <c r="H17" s="928" t="s">
        <v>398</v>
      </c>
      <c r="I17" s="294" t="s">
        <v>719</v>
      </c>
      <c r="J17" s="2139">
        <f ca="1">ROUND(IF(AND(项目基本情况!B11="自然人",项目基本情况!B10="北京市"),J6*M17/(1+'数据-取费表'!C42),J18+J19+J20),2)</f>
        <v>0.76</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14</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788</v>
      </c>
      <c r="D19" s="123" t="s">
        <v>726</v>
      </c>
      <c r="E19" s="1268"/>
      <c r="F19" s="23"/>
      <c r="G19" s="1291"/>
      <c r="H19" s="928" t="s">
        <v>399</v>
      </c>
      <c r="I19" s="294" t="s">
        <v>727</v>
      </c>
      <c r="J19" s="21">
        <f ca="1">IF(K19="按租金收入计税",ROUND(J6*M19/(1+'数据-取费表'!C42),2),ROUND(C29*M19*0.7,2))</f>
        <v>0</v>
      </c>
      <c r="K19" s="1277" t="s">
        <v>3334</v>
      </c>
      <c r="L19" s="294" t="s">
        <v>712</v>
      </c>
      <c r="M19" s="314">
        <f>IF(K19="按租金收入计税",'数据-取费表'!B51,'数据-取费表'!B50)</f>
        <v>0.12</v>
      </c>
    </row>
    <row r="20" spans="1:37" s="1303" customFormat="1" ht="18" customHeight="1">
      <c r="A20" s="928" t="s">
        <v>402</v>
      </c>
      <c r="B20" s="294" t="s">
        <v>728</v>
      </c>
      <c r="C20" s="21">
        <f ca="1">ROUND(C19*F20,0)</f>
        <v>16</v>
      </c>
      <c r="D20" s="315" t="s">
        <v>729</v>
      </c>
      <c r="E20" s="294" t="s">
        <v>712</v>
      </c>
      <c r="F20" s="314">
        <f>'数据-取费表'!B37</f>
        <v>0.02</v>
      </c>
      <c r="G20" s="1302"/>
      <c r="H20" s="928" t="s">
        <v>680</v>
      </c>
      <c r="I20" s="147" t="s">
        <v>730</v>
      </c>
      <c r="J20" s="22">
        <f ca="1">ROUND(M20*M21/10000,2)</f>
        <v>0.76</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5038.53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4.62</v>
      </c>
      <c r="K22" s="1255" t="s">
        <v>739</v>
      </c>
      <c r="L22" s="294" t="s">
        <v>712</v>
      </c>
      <c r="M22" s="320">
        <f ca="1">INDIRECT("'数据-取费表'!Ak"&amp;$G$1)</f>
        <v>5.0000000000000001E-3</v>
      </c>
    </row>
    <row r="23" spans="1:37" s="1303" customFormat="1" ht="18" customHeight="1">
      <c r="A23" s="928" t="s">
        <v>397</v>
      </c>
      <c r="B23" s="294" t="s">
        <v>740</v>
      </c>
      <c r="C23" s="21">
        <f ca="1">IF('数据-取费表'!B22&lt;=1,ROUND(C19*F24*F23/2,0)+ROUND(C20*F24*F23/2,0),ROUND(C19*(POWER((1+F24),F23/2)-1),0)+ROUND(C20*(POWER((1+F24),F23/2)-1),0))</f>
        <v>12</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2"/>
      <c r="H24" s="1026" t="s">
        <v>684</v>
      </c>
      <c r="I24" s="1027" t="s">
        <v>728</v>
      </c>
      <c r="J24" s="1028">
        <f ca="1">ROUND(J5*M24,2)</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-5</v>
      </c>
      <c r="K25" s="1032" t="s">
        <v>753</v>
      </c>
      <c r="L25" s="1033"/>
      <c r="M25" s="1034"/>
    </row>
    <row r="26" spans="1:37" ht="13">
      <c r="A26" s="928" t="s">
        <v>397</v>
      </c>
      <c r="B26" s="294" t="s">
        <v>754</v>
      </c>
      <c r="C26" s="21">
        <f ca="1">ROUND((C19+C20)*F26,0)</f>
        <v>40</v>
      </c>
      <c r="D26" s="315" t="s">
        <v>755</v>
      </c>
      <c r="E26" s="305" t="s">
        <v>756</v>
      </c>
      <c r="F26" s="304">
        <f ca="1">INDIRECT("'数据-取费表'!q"&amp;$G$1)</f>
        <v>0.05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924</v>
      </c>
      <c r="D29" s="1029"/>
      <c r="E29" s="1027"/>
      <c r="F29" s="1030"/>
      <c r="G29" s="1302"/>
      <c r="H29" s="325" t="s">
        <v>396</v>
      </c>
      <c r="I29" s="326" t="s">
        <v>768</v>
      </c>
      <c r="J29" s="327">
        <f ca="1">ROUND(J26/(1+F40)^F41,0)</f>
        <v>0</v>
      </c>
      <c r="K29" s="328" t="s">
        <v>769</v>
      </c>
      <c r="L29" s="329"/>
      <c r="M29" s="330">
        <f ca="1">INDIRECT("'数据-取费表'!k"&amp;$G$1)</f>
        <v>2738.73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17</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11.26</v>
      </c>
      <c r="D31" s="1256" t="s">
        <v>720</v>
      </c>
      <c r="E31" s="1255" t="s">
        <v>770</v>
      </c>
      <c r="F31" s="2138" t="str">
        <f>IF(项目基本情况!B11="企业","——",IF(M47="住宅",IF(F6*F7*F8/12/(1+'数据-取费表'!F30)&gt;100000,4%,2.5%),IF(F6*F7*F8/12/(1+'数据-取费表'!F30)&gt;100000,12%,7%)))</f>
        <v>——</v>
      </c>
      <c r="G31" s="1291"/>
      <c r="H31" s="2569" t="s">
        <v>2306</v>
      </c>
      <c r="I31" s="1304"/>
      <c r="J31" s="1305"/>
      <c r="K31" s="121"/>
      <c r="L31" s="2471"/>
      <c r="M31" s="2472"/>
    </row>
    <row r="32" spans="1:37" ht="18" customHeight="1">
      <c r="A32" s="928" t="s">
        <v>397</v>
      </c>
      <c r="B32" s="294" t="s">
        <v>723</v>
      </c>
      <c r="C32" s="21">
        <f ca="1">IF(项目基本情况!B11="自然人","——",ROUND(C6*F32/(1+'数据-取费表'!C42),2))</f>
        <v>3.3</v>
      </c>
      <c r="D32" s="1255" t="s">
        <v>724</v>
      </c>
      <c r="E32" s="294" t="s">
        <v>712</v>
      </c>
      <c r="F32" s="322">
        <f>'数据-取费表'!B41</f>
        <v>5.5000000000000007E-2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7.2</v>
      </c>
      <c r="D33" s="1277" t="s">
        <v>3334</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f ca="1">IF(项目基本情况!B11="自然人","——",ROUND(F34*F35/10000,2))</f>
        <v>0.76</v>
      </c>
      <c r="D34" s="316" t="s">
        <v>731</v>
      </c>
      <c r="E34" s="294" t="s">
        <v>732</v>
      </c>
      <c r="F34" s="317">
        <f>'数据-取费表'!B52</f>
        <v>1.5</v>
      </c>
      <c r="G34" s="1291"/>
      <c r="H34" s="2470"/>
      <c r="I34" s="1304"/>
      <c r="J34" s="1305"/>
      <c r="K34" s="2475"/>
      <c r="L34" s="2476"/>
      <c r="M34" s="2476"/>
    </row>
    <row r="35" spans="1:18" ht="18" customHeight="1">
      <c r="A35" s="1040"/>
      <c r="B35" s="1038"/>
      <c r="C35" s="26"/>
      <c r="D35" s="319"/>
      <c r="E35" s="294" t="s">
        <v>736</v>
      </c>
      <c r="F35" s="295">
        <f ca="1">INDIRECT("'数据-取费表'!r"&amp;$G$1)</f>
        <v>5038.53</v>
      </c>
      <c r="G35" s="1291"/>
      <c r="H35" s="2470"/>
      <c r="I35" s="1304"/>
      <c r="J35" s="1305"/>
      <c r="K35" s="2474"/>
      <c r="L35" s="2473"/>
      <c r="M35" s="2473"/>
    </row>
    <row r="36" spans="1:18" ht="18" customHeight="1">
      <c r="A36" s="1039" t="s">
        <v>402</v>
      </c>
      <c r="B36" s="294" t="s">
        <v>738</v>
      </c>
      <c r="C36" s="21">
        <f ca="1">ROUND(C29*F36,2)</f>
        <v>4.62</v>
      </c>
      <c r="D36" s="1255" t="s">
        <v>771</v>
      </c>
      <c r="E36" s="294" t="s">
        <v>712</v>
      </c>
      <c r="F36" s="320">
        <f ca="1">INDIRECT("'数据-取费表'!Ak"&amp;$G$1)</f>
        <v>5.0000000000000001E-3</v>
      </c>
      <c r="G36" s="1291"/>
      <c r="H36" s="2473"/>
      <c r="I36" s="1304"/>
      <c r="J36" s="1305"/>
      <c r="K36" s="2330"/>
      <c r="L36" s="2473"/>
      <c r="M36" s="2473"/>
    </row>
    <row r="37" spans="1:18" ht="18" customHeight="1">
      <c r="A37" s="928" t="s">
        <v>437</v>
      </c>
      <c r="B37" s="294" t="s">
        <v>742</v>
      </c>
      <c r="C37" s="21">
        <f ca="1">ROUND(C13*F37,2)</f>
        <v>0.68</v>
      </c>
      <c r="D37" s="1255" t="s">
        <v>743</v>
      </c>
      <c r="E37" s="294" t="s">
        <v>744</v>
      </c>
      <c r="F37" s="321">
        <f ca="1">INDIRECT("'数据-取费表'!Al"&amp;$G$1)</f>
        <v>1E-3</v>
      </c>
      <c r="G37" s="1291"/>
      <c r="H37" s="2473"/>
      <c r="I37" s="1304"/>
      <c r="J37" s="1305"/>
      <c r="K37" s="2330"/>
      <c r="L37" s="2473"/>
      <c r="M37" s="2473"/>
    </row>
    <row r="38" spans="1:18" ht="18" customHeight="1" thickBot="1">
      <c r="A38" s="1026" t="s">
        <v>684</v>
      </c>
      <c r="B38" s="1027" t="s">
        <v>728</v>
      </c>
      <c r="C38" s="1028">
        <f ca="1">ROUND(C5*F38,2)</f>
        <v>0.63</v>
      </c>
      <c r="D38" s="1029" t="s">
        <v>748</v>
      </c>
      <c r="E38" s="1027" t="s">
        <v>744</v>
      </c>
      <c r="F38" s="1023">
        <f ca="1">INDIRECT("'数据-取费表'!Am"&amp;$G$1)</f>
        <v>0.01</v>
      </c>
      <c r="G38" s="1291"/>
      <c r="H38" s="2473">
        <f ca="1">C39/C5</f>
        <v>0.73015873015873012</v>
      </c>
      <c r="I38" s="1304"/>
      <c r="J38" s="1305"/>
      <c r="K38" s="2471"/>
      <c r="L38" s="2473"/>
      <c r="M38" s="2473"/>
    </row>
    <row r="39" spans="1:18" ht="24.65" customHeight="1" thickTop="1">
      <c r="A39" s="1016" t="s">
        <v>394</v>
      </c>
      <c r="B39" s="1031" t="s">
        <v>772</v>
      </c>
      <c r="C39" s="302">
        <f ca="1">C5-C30</f>
        <v>46</v>
      </c>
      <c r="D39" s="1032" t="s">
        <v>773</v>
      </c>
      <c r="E39" s="1033"/>
      <c r="F39" s="1034"/>
      <c r="G39" s="1291"/>
      <c r="H39" s="2473"/>
      <c r="I39" s="1304"/>
      <c r="J39" s="1305"/>
      <c r="K39" s="2471"/>
      <c r="L39" s="2473"/>
      <c r="M39" s="2473"/>
    </row>
    <row r="40" spans="1:18" ht="18" customHeight="1">
      <c r="A40" s="291" t="s">
        <v>395</v>
      </c>
      <c r="B40" s="292" t="s">
        <v>774</v>
      </c>
      <c r="C40" s="293">
        <f ca="1">ROUND(C39*(1-((1+F42)/(1+F40))^F41)/(F40-F42),0)</f>
        <v>735</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26.37</v>
      </c>
      <c r="G41" s="1291"/>
      <c r="H41" s="121"/>
      <c r="I41" s="1304"/>
      <c r="J41" s="1305"/>
      <c r="K41" s="2330"/>
      <c r="L41" s="121"/>
      <c r="M41" s="121"/>
    </row>
    <row r="42" spans="1:18" ht="18" customHeight="1">
      <c r="A42" s="300"/>
      <c r="B42" s="301"/>
      <c r="C42" s="302"/>
      <c r="D42" s="319"/>
      <c r="E42" s="294" t="s">
        <v>766</v>
      </c>
      <c r="F42" s="304">
        <f ca="1">INDIRECT("'数据-取费表'!v"&amp;$G$1)</f>
        <v>1.4999999999999999E-2</v>
      </c>
      <c r="G42" s="1291"/>
      <c r="H42" s="121"/>
      <c r="I42" s="1304"/>
      <c r="J42" s="1305"/>
      <c r="K42" s="2330"/>
      <c r="L42" s="121"/>
      <c r="M42" s="121"/>
    </row>
    <row r="43" spans="1:18" ht="18" customHeight="1" thickBot="1">
      <c r="A43" s="325" t="s">
        <v>396</v>
      </c>
      <c r="B43" s="326" t="s">
        <v>776</v>
      </c>
      <c r="C43" s="327">
        <f ca="1">ROUND(C40*10000/F43,0)</f>
        <v>2684</v>
      </c>
      <c r="D43" s="328" t="s">
        <v>777</v>
      </c>
      <c r="E43" s="329" t="s">
        <v>778</v>
      </c>
      <c r="F43" s="330">
        <f ca="1">INDIRECT("'数据-取费表'!k"&amp;$G$1)</f>
        <v>2738.73</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4" thickBot="1">
      <c r="A46" s="1310" t="s">
        <v>809</v>
      </c>
      <c r="C46" s="1311">
        <f ca="1">C68-C40</f>
        <v>-818</v>
      </c>
      <c r="D46" s="1312" t="str">
        <f>C2</f>
        <v>万元</v>
      </c>
      <c r="E46" s="1306"/>
      <c r="F46" s="1306"/>
      <c r="I46" s="1313" t="s">
        <v>810</v>
      </c>
      <c r="J46" s="1314"/>
      <c r="K46" s="1315"/>
      <c r="L46" s="1316">
        <f ca="1">IF(M47="住宅",0,IF(L48&gt;J51,L60,J60))</f>
        <v>55</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t="s">
        <v>3433</v>
      </c>
      <c r="K47" s="1322" t="s">
        <v>816</v>
      </c>
      <c r="L47" s="1323">
        <f ca="1">INDIRECT("'数据-取费表'!d"&amp;$G$1)</f>
        <v>50</v>
      </c>
      <c r="M47" s="1287" t="str">
        <f>IF(ISNUMBER(FIND("住宅",C1)),"住宅","非住宅")</f>
        <v>非住宅</v>
      </c>
      <c r="O47" s="1324" t="s">
        <v>403</v>
      </c>
      <c r="P47" s="1325" t="s">
        <v>817</v>
      </c>
      <c r="Q47" s="1326">
        <f ca="1">C40+J29</f>
        <v>735</v>
      </c>
      <c r="R47" s="1326" t="s">
        <v>818</v>
      </c>
    </row>
    <row r="48" spans="1:18" s="1291" customFormat="1" ht="43.5" thickBot="1">
      <c r="A48" s="1047" t="s">
        <v>438</v>
      </c>
      <c r="B48" s="292" t="s">
        <v>692</v>
      </c>
      <c r="C48" s="1267">
        <f ca="1">C49+C53+C55</f>
        <v>0</v>
      </c>
      <c r="D48" s="1049"/>
      <c r="E48" s="1050"/>
      <c r="F48" s="908"/>
      <c r="G48" s="681"/>
      <c r="H48" s="682"/>
      <c r="I48" s="1327" t="s">
        <v>819</v>
      </c>
      <c r="J48" s="1328" t="s">
        <v>3434</v>
      </c>
      <c r="K48" s="1329" t="s">
        <v>820</v>
      </c>
      <c r="L48" s="1330">
        <f ca="1">INDIRECT("'数据-取费表'!f"&amp;$G$1)</f>
        <v>26.37</v>
      </c>
      <c r="O48" s="1324" t="s">
        <v>404</v>
      </c>
      <c r="P48" s="1325" t="s">
        <v>821</v>
      </c>
      <c r="Q48" s="1326">
        <f ca="1">J60</f>
        <v>55</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f>'数据-取费表'!N19</f>
        <v>2004</v>
      </c>
      <c r="K49" s="1329" t="s">
        <v>824</v>
      </c>
      <c r="L49" s="1332"/>
      <c r="O49" s="1333" t="s">
        <v>405</v>
      </c>
      <c r="P49" s="1325" t="s">
        <v>825</v>
      </c>
      <c r="Q49" s="1326">
        <f ca="1">C29</f>
        <v>924</v>
      </c>
      <c r="R49" s="1326" t="s">
        <v>818</v>
      </c>
    </row>
    <row r="50" spans="1:18" s="1291" customFormat="1" ht="13.5" thickBot="1">
      <c r="A50" s="922"/>
      <c r="B50" s="925"/>
      <c r="C50" s="1055"/>
      <c r="D50" s="899"/>
      <c r="E50" s="993" t="s">
        <v>697</v>
      </c>
      <c r="F50" s="994">
        <f ca="1">F7</f>
        <v>2738.73</v>
      </c>
      <c r="H50" s="682"/>
      <c r="I50" s="1327" t="s">
        <v>826</v>
      </c>
      <c r="J50" s="1334">
        <f>SUMPRODUCT((I63:I65=J47)*(J62:L62=J48)*(J63:L65))</f>
        <v>70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49</v>
      </c>
      <c r="K51" s="1338" t="s">
        <v>830</v>
      </c>
      <c r="L51" s="1339">
        <f ca="1">ROUND(-PV(INDIRECT("'数据-取费表'!h"&amp;$G$1),J51,(C39-C13*C76),0),0)</f>
        <v>-23</v>
      </c>
      <c r="M51" s="1340"/>
      <c r="O51" s="1333" t="s">
        <v>407</v>
      </c>
      <c r="P51" s="1325" t="s">
        <v>831</v>
      </c>
      <c r="Q51" s="1336">
        <f>J52</f>
        <v>7.4999999999999997E-2</v>
      </c>
      <c r="R51" s="1326"/>
    </row>
    <row r="52" spans="1:18" s="1291" customFormat="1" ht="13.5" thickBot="1">
      <c r="A52" s="923"/>
      <c r="B52" s="925"/>
      <c r="C52" s="926"/>
      <c r="D52" s="899"/>
      <c r="E52" s="927" t="s">
        <v>699</v>
      </c>
      <c r="F52" s="991"/>
      <c r="I52" s="1341" t="s">
        <v>832</v>
      </c>
      <c r="J52" s="1342">
        <v>7.4999999999999997E-2</v>
      </c>
      <c r="K52" s="1341" t="s">
        <v>833</v>
      </c>
      <c r="L52" s="1342"/>
      <c r="O52" s="1333" t="s">
        <v>408</v>
      </c>
      <c r="P52" s="1325" t="s">
        <v>834</v>
      </c>
      <c r="Q52" s="1326">
        <f ca="1">J53</f>
        <v>26.37</v>
      </c>
      <c r="R52" s="1326" t="s">
        <v>835</v>
      </c>
    </row>
    <row r="53" spans="1:18" s="1291" customFormat="1" ht="26.5" thickBot="1">
      <c r="A53" s="1078"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26.37</v>
      </c>
      <c r="K53" s="3354" t="s">
        <v>837</v>
      </c>
      <c r="L53" s="3355"/>
      <c r="O53" s="1324" t="s">
        <v>409</v>
      </c>
      <c r="P53" s="1325" t="s">
        <v>838</v>
      </c>
      <c r="Q53" s="1326">
        <f ca="1">Q47+Q48</f>
        <v>790</v>
      </c>
      <c r="R53" s="1326" t="s">
        <v>410</v>
      </c>
    </row>
    <row r="54" spans="1:18" s="1291" customFormat="1" ht="26.5"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f ca="1">ROUND(IF(J47="钢混",J57/J50,1-(1-2%)*(J50-J57)/J50),3)</f>
        <v>0.33700000000000002</v>
      </c>
      <c r="K55" s="1349" t="s">
        <v>841</v>
      </c>
      <c r="L55" s="1350"/>
      <c r="O55" s="1317" t="s">
        <v>811</v>
      </c>
      <c r="P55" s="1318" t="s">
        <v>812</v>
      </c>
      <c r="Q55" s="1319" t="s">
        <v>813</v>
      </c>
      <c r="R55" s="1319" t="s">
        <v>814</v>
      </c>
    </row>
    <row r="56" spans="1:18" s="1291" customFormat="1" ht="40" thickTop="1" thickBot="1">
      <c r="A56" s="903">
        <v>2</v>
      </c>
      <c r="B56" s="904" t="s">
        <v>704</v>
      </c>
      <c r="C56" s="224">
        <f ca="1">C13</f>
        <v>675</v>
      </c>
      <c r="D56" s="1351"/>
      <c r="E56" s="1352"/>
      <c r="F56" s="1344"/>
      <c r="I56" s="1353" t="s">
        <v>842</v>
      </c>
      <c r="J56" s="1354" t="s">
        <v>3435</v>
      </c>
      <c r="K56" s="1327" t="s">
        <v>843</v>
      </c>
      <c r="L56" s="1330" t="str">
        <f ca="1">IF(L48&lt;J51,"——",L48-J53)</f>
        <v>——</v>
      </c>
      <c r="O56" s="1324" t="s">
        <v>403</v>
      </c>
      <c r="P56" s="1325" t="s">
        <v>817</v>
      </c>
      <c r="Q56" s="1326">
        <f ca="1">C40+J29</f>
        <v>735</v>
      </c>
      <c r="R56" s="1326" t="s">
        <v>818</v>
      </c>
    </row>
    <row r="57" spans="1:18" s="1291" customFormat="1" ht="26.5" thickBot="1">
      <c r="A57" s="1355"/>
      <c r="B57" s="896" t="s">
        <v>767</v>
      </c>
      <c r="C57" s="230">
        <f ca="1">C29</f>
        <v>924</v>
      </c>
      <c r="D57" s="1356"/>
      <c r="E57" s="1357"/>
      <c r="F57" s="1358"/>
      <c r="I57" s="1359" t="s">
        <v>844</v>
      </c>
      <c r="J57" s="1360">
        <f ca="1">IF(OR(M47="住宅",J51&lt;L48,J56="是"),"——",J51-L48)</f>
        <v>22.63</v>
      </c>
      <c r="K57" s="1327" t="s">
        <v>845</v>
      </c>
      <c r="L57" s="1330" t="str">
        <f ca="1">IF(L48&lt;J51,"——",IF(L55="比较法",L49,IF(L55="基准地价",L50,L51)))</f>
        <v>——</v>
      </c>
      <c r="O57" s="1324" t="s">
        <v>404</v>
      </c>
      <c r="P57" s="1325" t="s">
        <v>846</v>
      </c>
      <c r="Q57" s="1326">
        <f ca="1">L60</f>
        <v>0</v>
      </c>
      <c r="R57" s="1326" t="s">
        <v>847</v>
      </c>
    </row>
    <row r="58" spans="1:18" s="1291" customFormat="1" ht="26.5" thickBot="1">
      <c r="A58" s="307" t="s">
        <v>393</v>
      </c>
      <c r="B58" s="904" t="s">
        <v>714</v>
      </c>
      <c r="C58" s="308">
        <f ca="1">ROUND(C59+C64+C65+C66,0)</f>
        <v>6</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6.5" thickBot="1">
      <c r="A59" s="928" t="s">
        <v>398</v>
      </c>
      <c r="B59" s="896" t="s">
        <v>719</v>
      </c>
      <c r="C59" s="2139">
        <f ca="1">ROUND(IF(AND(项目基本情况!B11="自然人",项目基本情况!B10="北京市"),C49*F59/(1+'数据-取费表'!C42),C60+C61+C62),0)</f>
        <v>1</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370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 thickBot="1">
      <c r="A60" s="928" t="s">
        <v>397</v>
      </c>
      <c r="B60" s="896" t="s">
        <v>723</v>
      </c>
      <c r="C60" s="21">
        <f ca="1">IF(项目基本情况!B11="自然人","——",ROUND(C48*F60/(1+'数据-取费表'!C42),2))</f>
        <v>0</v>
      </c>
      <c r="D60" s="910" t="s">
        <v>724</v>
      </c>
      <c r="E60" s="896" t="s">
        <v>712</v>
      </c>
      <c r="F60" s="322">
        <f t="shared" ref="F60:F66" si="0">F32</f>
        <v>5.5000000000000007E-2</v>
      </c>
      <c r="I60" s="1362" t="s">
        <v>853</v>
      </c>
      <c r="J60" s="1363">
        <f ca="1">IF(OR(M47="住宅",J51&lt;L48,J56="是"),"0",ROUND(J59/(1+J52)^J53,0))</f>
        <v>55</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3334</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0.76</v>
      </c>
      <c r="D62" s="911" t="s">
        <v>786</v>
      </c>
      <c r="E62" s="896" t="s">
        <v>787</v>
      </c>
      <c r="F62" s="317">
        <f t="shared" si="0"/>
        <v>1.5</v>
      </c>
      <c r="I62" s="1366" t="s">
        <v>858</v>
      </c>
      <c r="J62" s="610" t="s">
        <v>859</v>
      </c>
      <c r="K62" s="610" t="s">
        <v>860</v>
      </c>
      <c r="L62" s="610" t="s">
        <v>861</v>
      </c>
      <c r="M62" s="1367" t="s">
        <v>862</v>
      </c>
      <c r="O62" s="1324" t="s">
        <v>409</v>
      </c>
      <c r="P62" s="1325" t="s">
        <v>863</v>
      </c>
      <c r="Q62" s="1326">
        <f ca="1">Q56+Q57</f>
        <v>735</v>
      </c>
      <c r="R62" s="1326" t="s">
        <v>410</v>
      </c>
    </row>
    <row r="63" spans="1:18" s="1291" customFormat="1" ht="13.5" thickBot="1">
      <c r="A63" s="318"/>
      <c r="B63" s="902"/>
      <c r="C63" s="26"/>
      <c r="D63" s="912"/>
      <c r="E63" s="896" t="s">
        <v>788</v>
      </c>
      <c r="F63" s="295">
        <f t="shared" ca="1" si="0"/>
        <v>5038.53</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4.62</v>
      </c>
      <c r="D64" s="910" t="s">
        <v>791</v>
      </c>
      <c r="E64" s="896"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0.68</v>
      </c>
      <c r="D65" s="910" t="s">
        <v>743</v>
      </c>
      <c r="E65" s="896" t="s">
        <v>744</v>
      </c>
      <c r="F65" s="321">
        <f t="shared" ca="1" si="0"/>
        <v>1E-3</v>
      </c>
      <c r="I65" s="1366" t="s">
        <v>867</v>
      </c>
      <c r="J65" s="610">
        <v>40</v>
      </c>
      <c r="K65" s="610">
        <v>30</v>
      </c>
      <c r="L65" s="610">
        <v>50</v>
      </c>
      <c r="M65" s="1368">
        <v>0.02</v>
      </c>
      <c r="O65" s="1324" t="s">
        <v>403</v>
      </c>
      <c r="P65" s="1325" t="s">
        <v>868</v>
      </c>
      <c r="Q65" s="1326">
        <f ca="1">C40+J29</f>
        <v>735</v>
      </c>
      <c r="R65" s="1326" t="s">
        <v>818</v>
      </c>
    </row>
    <row r="66" spans="1:18" s="1291" customFormat="1" ht="16" thickBot="1">
      <c r="A66" s="928" t="s">
        <v>793</v>
      </c>
      <c r="B66" s="896" t="s">
        <v>728</v>
      </c>
      <c r="C66" s="21">
        <f ca="1">ROUND(C48*F66,2)</f>
        <v>0</v>
      </c>
      <c r="D66" s="910" t="s">
        <v>794</v>
      </c>
      <c r="E66" s="896" t="s">
        <v>712</v>
      </c>
      <c r="F66" s="304">
        <f t="shared" ca="1" si="0"/>
        <v>0.01</v>
      </c>
      <c r="O66" s="1324" t="s">
        <v>404</v>
      </c>
      <c r="P66" s="1325" t="s">
        <v>846</v>
      </c>
      <c r="Q66" s="1326">
        <f ca="1">L60</f>
        <v>0</v>
      </c>
      <c r="R66" s="1326" t="s">
        <v>869</v>
      </c>
    </row>
    <row r="67" spans="1:18" s="1291" customFormat="1" ht="26.5" thickBot="1">
      <c r="A67" s="903" t="s">
        <v>394</v>
      </c>
      <c r="B67" s="913" t="s">
        <v>752</v>
      </c>
      <c r="C67" s="308">
        <f ca="1">C48-C58</f>
        <v>-6</v>
      </c>
      <c r="D67" s="909" t="s">
        <v>753</v>
      </c>
      <c r="E67" s="914"/>
      <c r="F67" s="915"/>
      <c r="O67" s="1333" t="s">
        <v>405</v>
      </c>
      <c r="P67" s="1325" t="s">
        <v>850</v>
      </c>
      <c r="Q67" s="1369">
        <f ca="1">L51</f>
        <v>-23</v>
      </c>
      <c r="R67" s="1326" t="s">
        <v>870</v>
      </c>
    </row>
    <row r="68" spans="1:18" s="1291" customFormat="1" ht="16" thickBot="1">
      <c r="A68" s="893" t="s">
        <v>395</v>
      </c>
      <c r="B68" s="894" t="s">
        <v>774</v>
      </c>
      <c r="C68" s="293">
        <f ca="1">ROUND(C67*(1-((1+F70)/(1+F68))^F69)/(F68-F70),0)</f>
        <v>-83</v>
      </c>
      <c r="D68" s="911" t="s">
        <v>758</v>
      </c>
      <c r="E68" s="896" t="s">
        <v>759</v>
      </c>
      <c r="F68" s="304">
        <f ca="1">F40</f>
        <v>5.5E-2</v>
      </c>
      <c r="O68" s="1333" t="s">
        <v>406</v>
      </c>
      <c r="P68" s="1370" t="s">
        <v>871</v>
      </c>
      <c r="Q68" s="1326">
        <f ca="1">ROUND(Q69-Q70*Q71,0)</f>
        <v>-1</v>
      </c>
      <c r="R68" s="1326" t="s">
        <v>414</v>
      </c>
    </row>
    <row r="69" spans="1:18" s="1291" customFormat="1" ht="13.5" thickBot="1">
      <c r="A69" s="897"/>
      <c r="B69" s="898"/>
      <c r="C69" s="298"/>
      <c r="D69" s="916" t="s">
        <v>762</v>
      </c>
      <c r="E69" s="896" t="s">
        <v>763</v>
      </c>
      <c r="F69" s="324">
        <f ca="1">F41</f>
        <v>26.37</v>
      </c>
      <c r="O69" s="1333" t="s">
        <v>411</v>
      </c>
      <c r="P69" s="1370" t="s">
        <v>872</v>
      </c>
      <c r="Q69" s="1326">
        <f ca="1">C39</f>
        <v>46</v>
      </c>
      <c r="R69" s="1326" t="s">
        <v>818</v>
      </c>
    </row>
    <row r="70" spans="1:18" s="1291" customFormat="1" ht="13.5" thickBot="1">
      <c r="A70" s="900"/>
      <c r="B70" s="901"/>
      <c r="C70" s="302"/>
      <c r="D70" s="912"/>
      <c r="E70" s="896" t="s">
        <v>766</v>
      </c>
      <c r="F70" s="991"/>
      <c r="O70" s="1333" t="s">
        <v>412</v>
      </c>
      <c r="P70" s="1370" t="s">
        <v>873</v>
      </c>
      <c r="Q70" s="1326">
        <f ca="1">C13</f>
        <v>675</v>
      </c>
      <c r="R70" s="1326" t="s">
        <v>818</v>
      </c>
    </row>
    <row r="71" spans="1:18" s="1291" customFormat="1" ht="13.5" thickBot="1">
      <c r="A71" s="917" t="s">
        <v>396</v>
      </c>
      <c r="B71" s="918" t="s">
        <v>776</v>
      </c>
      <c r="C71" s="327">
        <f ca="1">ROUND(C68*10000/F71,0)</f>
        <v>-303</v>
      </c>
      <c r="D71" s="919" t="s">
        <v>777</v>
      </c>
      <c r="E71" s="920" t="s">
        <v>778</v>
      </c>
      <c r="F71" s="330">
        <f ca="1">F43</f>
        <v>2738.73</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47</v>
      </c>
      <c r="D75" s="1291"/>
      <c r="E75" s="1291"/>
      <c r="F75" s="1291"/>
      <c r="K75" s="1308"/>
      <c r="L75" s="1291"/>
      <c r="O75" s="1324" t="s">
        <v>409</v>
      </c>
      <c r="P75" s="1325" t="s">
        <v>838</v>
      </c>
      <c r="Q75" s="1326">
        <f ca="1">Q65+Q66</f>
        <v>735</v>
      </c>
      <c r="R75" s="1326" t="s">
        <v>410</v>
      </c>
    </row>
    <row r="76" spans="1:18" ht="13">
      <c r="B76" s="333" t="s">
        <v>796</v>
      </c>
      <c r="C76" s="334">
        <f ca="1">INDIRECT("'数据-取费表'!j"&amp;$G$1)</f>
        <v>7.0000000000000007E-2</v>
      </c>
      <c r="I76" s="1291"/>
      <c r="J76" s="1291"/>
      <c r="K76" s="1308"/>
      <c r="L76" s="1291"/>
    </row>
    <row r="77" spans="1:18" ht="13.5">
      <c r="B77" s="335" t="s">
        <v>797</v>
      </c>
      <c r="C77" s="336"/>
      <c r="I77" s="1291"/>
      <c r="J77" s="1291"/>
      <c r="K77" s="1308"/>
      <c r="L77" s="1291"/>
    </row>
    <row r="78" spans="1:18" ht="13.5">
      <c r="B78" s="262" t="s">
        <v>798</v>
      </c>
      <c r="C78" s="337"/>
    </row>
    <row r="79" spans="1:18" ht="13">
      <c r="B79" s="331" t="s">
        <v>799</v>
      </c>
      <c r="C79" s="266">
        <f ca="1">1-C80</f>
        <v>-2.200000000000002E-2</v>
      </c>
    </row>
    <row r="80" spans="1:18" ht="13">
      <c r="B80" s="331" t="s">
        <v>800</v>
      </c>
      <c r="C80" s="266">
        <f ca="1">ROUND(C75/C39,3)</f>
        <v>1.022</v>
      </c>
    </row>
    <row r="81" spans="2:3" ht="13.5">
      <c r="B81" s="262" t="s">
        <v>801</v>
      </c>
      <c r="C81" s="230"/>
    </row>
    <row r="82" spans="2:3" ht="13">
      <c r="B82" s="265" t="s">
        <v>802</v>
      </c>
      <c r="C82" s="267">
        <f ca="1">1-C83</f>
        <v>8.1999999999999962E-2</v>
      </c>
    </row>
    <row r="83" spans="2:3" ht="13">
      <c r="B83" s="265" t="s">
        <v>803</v>
      </c>
      <c r="C83" s="266">
        <f ca="1">ROUND(C13/C40,3)</f>
        <v>0.91800000000000004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1" customWidth="1"/>
    <col min="12" max="12" width="16.36328125" style="250" customWidth="1"/>
    <col min="13" max="13" width="13" style="250" customWidth="1"/>
    <col min="14" max="14" width="13.7265625" style="1291" customWidth="1"/>
    <col min="15" max="15" width="5.08984375" style="1291" customWidth="1"/>
    <col min="16" max="16" width="25.7265625" style="1291" customWidth="1"/>
    <col min="17" max="17" width="13.7265625" style="1291" customWidth="1"/>
    <col min="18" max="18" width="20.453125" style="1291" customWidth="1"/>
    <col min="19" max="19" width="13.269531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356" t="s">
        <v>694</v>
      </c>
      <c r="C6" s="1011">
        <f ca="1">ROUND(F6*F8*F7*(1-F9),0)</f>
        <v>0</v>
      </c>
      <c r="D6" s="147" t="s">
        <v>2106</v>
      </c>
      <c r="E6" s="294" t="s">
        <v>696</v>
      </c>
      <c r="F6" s="295">
        <f ca="1">INDIRECT("'数据-取费表'!u"&amp;$G$1)</f>
        <v>0</v>
      </c>
      <c r="G6" s="1291"/>
      <c r="H6" s="1006" t="s">
        <v>398</v>
      </c>
      <c r="I6" s="3356" t="s">
        <v>694</v>
      </c>
      <c r="J6" s="293">
        <f ca="1">ROUND(M6*M8*M7*(1-M9),0)</f>
        <v>0</v>
      </c>
      <c r="K6" s="1283" t="s">
        <v>2107</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0</v>
      </c>
      <c r="G7" s="1291"/>
      <c r="H7" s="296"/>
      <c r="I7" s="3357"/>
      <c r="J7" s="298"/>
      <c r="K7" s="299"/>
      <c r="L7" s="294" t="s">
        <v>697</v>
      </c>
      <c r="M7" s="295">
        <f ca="1">F7</f>
        <v>0</v>
      </c>
    </row>
    <row r="8" spans="1:37" ht="18" customHeight="1">
      <c r="A8" s="296"/>
      <c r="B8" s="3357"/>
      <c r="C8" s="298"/>
      <c r="D8" s="299"/>
      <c r="E8" s="294" t="s">
        <v>698</v>
      </c>
      <c r="F8" s="295">
        <f ca="1">INDIRECT("'数据-取费表'!ai"&amp;$G$1)</f>
        <v>0</v>
      </c>
      <c r="G8" s="1291"/>
      <c r="H8" s="296"/>
      <c r="I8" s="3357"/>
      <c r="J8" s="298"/>
      <c r="K8" s="299"/>
      <c r="L8" s="294" t="s">
        <v>698</v>
      </c>
      <c r="M8" s="295">
        <f ca="1">INDIRECT("'数据-取费表'!ai"&amp;$G$1)</f>
        <v>0</v>
      </c>
    </row>
    <row r="9" spans="1:37" ht="18" customHeight="1">
      <c r="A9" s="296"/>
      <c r="B9" s="3358"/>
      <c r="C9" s="298"/>
      <c r="D9" s="299"/>
      <c r="E9" s="294" t="s">
        <v>699</v>
      </c>
      <c r="F9" s="304">
        <f ca="1">INDIRECT("'数据-取费表'!w"&amp;$G$1)</f>
        <v>0</v>
      </c>
      <c r="G9" s="1291"/>
      <c r="H9" s="296"/>
      <c r="I9" s="3358"/>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3334</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2306</v>
      </c>
      <c r="I31" s="1304"/>
      <c r="J31" s="1305"/>
      <c r="K31" s="121"/>
      <c r="L31" s="2471"/>
      <c r="M31" s="2472"/>
    </row>
    <row r="32" spans="1:37" ht="18" customHeight="1">
      <c r="A32" s="928" t="s">
        <v>397</v>
      </c>
      <c r="B32" s="294" t="s">
        <v>723</v>
      </c>
      <c r="C32" s="21">
        <f ca="1">IF(项目基本情况!B11="自然人","——",ROUND(C6*F32/(1+'数据-取费表'!C42),0))</f>
        <v>0</v>
      </c>
      <c r="D32" s="1255" t="s">
        <v>724</v>
      </c>
      <c r="E32" s="294" t="s">
        <v>712</v>
      </c>
      <c r="F32" s="322">
        <f>'数据-取费表'!B41</f>
        <v>5.5000000000000007E-2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7" t="s">
        <v>3334</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1"/>
      <c r="H34" s="2470"/>
      <c r="I34" s="1304"/>
      <c r="J34" s="1305"/>
      <c r="K34" s="2475"/>
      <c r="L34" s="2476"/>
      <c r="M34" s="2476"/>
    </row>
    <row r="35" spans="1:18" ht="18" customHeight="1">
      <c r="A35" s="1040"/>
      <c r="B35" s="1038"/>
      <c r="C35" s="26"/>
      <c r="D35" s="319"/>
      <c r="E35" s="294" t="s">
        <v>736</v>
      </c>
      <c r="F35" s="295">
        <f ca="1">INDIRECT("'数据-取费表'!r"&amp;$G$1)</f>
        <v>0</v>
      </c>
      <c r="G35" s="1291"/>
      <c r="H35" s="2470"/>
      <c r="I35" s="1304"/>
      <c r="J35" s="1305"/>
      <c r="K35" s="2474"/>
      <c r="L35" s="2473"/>
      <c r="M35" s="2473"/>
    </row>
    <row r="36" spans="1:18" ht="18" customHeight="1">
      <c r="A36" s="1039" t="s">
        <v>402</v>
      </c>
      <c r="B36" s="294" t="s">
        <v>738</v>
      </c>
      <c r="C36" s="21">
        <f ca="1">ROUND(C29*F36,0)</f>
        <v>0</v>
      </c>
      <c r="D36" s="1255" t="s">
        <v>771</v>
      </c>
      <c r="E36" s="294" t="s">
        <v>712</v>
      </c>
      <c r="F36" s="320">
        <f ca="1">INDIRECT("'数据-取费表'!Ak"&amp;$G$1)</f>
        <v>0</v>
      </c>
      <c r="G36" s="1291"/>
      <c r="H36" s="2473"/>
      <c r="I36" s="1304"/>
      <c r="J36" s="1305"/>
      <c r="K36" s="2330"/>
      <c r="L36" s="2473"/>
      <c r="M36" s="2473"/>
    </row>
    <row r="37" spans="1:18" ht="18" customHeight="1">
      <c r="A37" s="928" t="s">
        <v>437</v>
      </c>
      <c r="B37" s="294" t="s">
        <v>742</v>
      </c>
      <c r="C37" s="21">
        <f ca="1">ROUND(C13*F37,0)</f>
        <v>0</v>
      </c>
      <c r="D37" s="1255" t="s">
        <v>743</v>
      </c>
      <c r="E37" s="294" t="s">
        <v>744</v>
      </c>
      <c r="F37" s="321">
        <f ca="1">INDIRECT("'数据-取费表'!Al"&amp;$G$1)</f>
        <v>0</v>
      </c>
      <c r="G37" s="1291"/>
      <c r="H37" s="2473"/>
      <c r="I37" s="1304"/>
      <c r="J37" s="1305"/>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1"/>
      <c r="H38" s="2473"/>
      <c r="I38" s="1304"/>
      <c r="J38" s="1305"/>
      <c r="K38" s="2471"/>
      <c r="L38" s="2473"/>
      <c r="M38" s="2473"/>
    </row>
    <row r="39" spans="1:18" ht="24.65" customHeight="1" thickTop="1">
      <c r="A39" s="1016" t="s">
        <v>394</v>
      </c>
      <c r="B39" s="1031" t="s">
        <v>772</v>
      </c>
      <c r="C39" s="302">
        <f ca="1">C5-C30</f>
        <v>0</v>
      </c>
      <c r="D39" s="1032" t="s">
        <v>773</v>
      </c>
      <c r="E39" s="1033"/>
      <c r="F39" s="1034"/>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3350</v>
      </c>
      <c r="B45" s="1306"/>
      <c r="C45" s="1375" t="e">
        <f ca="1">ROUND((C68-C40)/10000,4)</f>
        <v>#DIV/0!</v>
      </c>
      <c r="D45" s="3130" t="s">
        <v>3351</v>
      </c>
      <c r="E45" s="1306"/>
      <c r="F45" s="1306"/>
      <c r="O45" s="1309" t="s">
        <v>808</v>
      </c>
      <c r="P45" s="1365"/>
      <c r="Q45" s="1365"/>
      <c r="R45" s="1365"/>
    </row>
    <row r="46" spans="1:18" s="1291" customFormat="1" ht="14"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3.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0</v>
      </c>
      <c r="K53" s="3354" t="s">
        <v>837</v>
      </c>
      <c r="L53" s="3355"/>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6.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6.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6.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 thickBot="1">
      <c r="A60" s="928" t="s">
        <v>397</v>
      </c>
      <c r="B60" s="896" t="s">
        <v>723</v>
      </c>
      <c r="C60" s="21">
        <f ca="1">IF(项目基本情况!B11="自然人","——",ROUND(C48*F60/(1+'数据-取费表'!C42),0))</f>
        <v>0</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3334</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2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ht="13">
      <c r="B76" s="333" t="s">
        <v>796</v>
      </c>
      <c r="C76" s="334">
        <f ca="1">INDIRECT("'数据-取费表'!j"&amp;$G$1)</f>
        <v>0</v>
      </c>
      <c r="I76" s="1291"/>
      <c r="J76" s="1291"/>
      <c r="K76" s="1308"/>
      <c r="L76" s="1291"/>
    </row>
    <row r="77" spans="1:18" ht="13.5">
      <c r="B77" s="335" t="s">
        <v>797</v>
      </c>
      <c r="C77" s="336"/>
      <c r="I77" s="1291"/>
      <c r="J77" s="1291"/>
      <c r="K77" s="1308"/>
      <c r="L77" s="1291"/>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2" t="s">
        <v>2315</v>
      </c>
      <c r="B2" s="2594" t="e">
        <f>IF(D2="——",C40,C40+E2)</f>
        <v>#DIV/0!</v>
      </c>
      <c r="C2" s="2595" t="s">
        <v>2316</v>
      </c>
      <c r="D2" s="3138" t="s">
        <v>3357</v>
      </c>
      <c r="E2" s="3139"/>
      <c r="F2" s="2597"/>
      <c r="G2" s="2598"/>
      <c r="H2" s="2599"/>
      <c r="I2" s="2600"/>
      <c r="J2" s="3365" t="s">
        <v>2317</v>
      </c>
      <c r="K2" s="3366"/>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67" t="s">
        <v>2327</v>
      </c>
      <c r="K3" s="3368"/>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67" t="s">
        <v>2329</v>
      </c>
      <c r="K4" s="3368"/>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73" t="s">
        <v>2333</v>
      </c>
      <c r="B6" s="3374"/>
      <c r="C6" s="3375"/>
      <c r="D6" s="2621"/>
      <c r="E6" s="2622"/>
      <c r="F6" s="2623"/>
      <c r="G6" s="2624"/>
      <c r="H6" s="2599"/>
      <c r="I6" s="2600"/>
      <c r="J6" s="3359">
        <v>1</v>
      </c>
      <c r="K6" s="3360"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59"/>
      <c r="K7" s="3361"/>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76" t="s">
        <v>2347</v>
      </c>
      <c r="C8" s="3377"/>
      <c r="D8" s="2640" t="s">
        <v>2348</v>
      </c>
      <c r="E8" s="2641" t="s">
        <v>2349</v>
      </c>
      <c r="F8" s="2642" t="s">
        <v>2350</v>
      </c>
      <c r="G8" s="2643"/>
      <c r="H8" s="2599"/>
      <c r="I8" s="2600"/>
      <c r="J8" s="3359"/>
      <c r="K8" s="3361"/>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76" t="s">
        <v>2353</v>
      </c>
      <c r="C9" s="3377"/>
      <c r="D9" s="2640">
        <f>ROUND(D6*E9,0)</f>
        <v>0</v>
      </c>
      <c r="E9" s="2644"/>
      <c r="F9" s="2645" t="s">
        <v>2354</v>
      </c>
      <c r="G9" s="2624"/>
      <c r="H9" s="2599"/>
      <c r="I9" s="2600"/>
      <c r="J9" s="3359"/>
      <c r="K9" s="3361"/>
      <c r="L9" s="2634" t="s">
        <v>2355</v>
      </c>
      <c r="M9" s="2635"/>
      <c r="N9" s="2611"/>
      <c r="O9" s="2636"/>
      <c r="P9" s="2636"/>
      <c r="Q9" s="2637">
        <v>365</v>
      </c>
      <c r="R9" s="2638">
        <f t="shared" si="0"/>
        <v>0</v>
      </c>
      <c r="S9" s="2592"/>
      <c r="T9" s="2592"/>
      <c r="U9" s="2592"/>
      <c r="V9" s="2600"/>
    </row>
    <row r="10" spans="1:22" s="2604" customFormat="1" ht="13.15" customHeight="1">
      <c r="A10" s="2639">
        <v>2</v>
      </c>
      <c r="B10" s="3376" t="s">
        <v>2356</v>
      </c>
      <c r="C10" s="3377"/>
      <c r="D10" s="2640">
        <f>ROUND(D6*E10,0)</f>
        <v>0</v>
      </c>
      <c r="E10" s="2644"/>
      <c r="F10" s="2645" t="s">
        <v>2357</v>
      </c>
      <c r="G10" s="2624"/>
      <c r="H10" s="2599"/>
      <c r="I10" s="2600"/>
      <c r="J10" s="3359"/>
      <c r="K10" s="3361"/>
      <c r="L10" s="2634" t="s">
        <v>2358</v>
      </c>
      <c r="M10" s="2635"/>
      <c r="N10" s="2611"/>
      <c r="O10" s="2636"/>
      <c r="P10" s="2636"/>
      <c r="Q10" s="2637">
        <v>365</v>
      </c>
      <c r="R10" s="2638">
        <f t="shared" si="0"/>
        <v>0</v>
      </c>
      <c r="S10" s="2592"/>
      <c r="T10" s="2592"/>
      <c r="U10" s="2592"/>
      <c r="V10" s="2600"/>
    </row>
    <row r="11" spans="1:22" s="2604" customFormat="1" ht="13.15" customHeight="1">
      <c r="A11" s="2639">
        <v>3</v>
      </c>
      <c r="B11" s="3376" t="s">
        <v>2359</v>
      </c>
      <c r="C11" s="3377"/>
      <c r="D11" s="2640">
        <f>D12+D14+D15+D16</f>
        <v>0</v>
      </c>
      <c r="E11" s="2646" t="e">
        <f>D11/D6</f>
        <v>#DIV/0!</v>
      </c>
      <c r="F11" s="2642"/>
      <c r="G11" s="2643"/>
      <c r="H11" s="2599"/>
      <c r="I11" s="2600"/>
      <c r="J11" s="3359"/>
      <c r="K11" s="3361"/>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69" t="s">
        <v>2362</v>
      </c>
      <c r="C12" s="3370"/>
      <c r="D12" s="2648">
        <f>ROUND(D13*1.2%*(1-30%),0)</f>
        <v>0</v>
      </c>
      <c r="E12" s="2649">
        <v>1.2E-2</v>
      </c>
      <c r="F12" s="2642" t="s">
        <v>2363</v>
      </c>
      <c r="G12" s="2643"/>
      <c r="H12" s="2599"/>
      <c r="I12" s="2600"/>
      <c r="J12" s="3359"/>
      <c r="K12" s="3361"/>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59"/>
      <c r="K13" s="3361"/>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69" t="s">
        <v>2368</v>
      </c>
      <c r="C14" s="3370"/>
      <c r="D14" s="2648">
        <f>ROUND(E14*B5/10000,0)</f>
        <v>0</v>
      </c>
      <c r="E14" s="2637"/>
      <c r="F14" s="2642" t="s">
        <v>2369</v>
      </c>
      <c r="G14" s="2643"/>
      <c r="H14" s="2599"/>
      <c r="I14" s="2600"/>
      <c r="J14" s="3359"/>
      <c r="K14" s="3362"/>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69" t="s">
        <v>2372</v>
      </c>
      <c r="C15" s="3370"/>
      <c r="D15" s="2648">
        <f>ROUND(D6*E15,0)</f>
        <v>0</v>
      </c>
      <c r="E15" s="2649">
        <v>5.5E-2</v>
      </c>
      <c r="F15" s="2642" t="s">
        <v>2373</v>
      </c>
      <c r="G15" s="2624"/>
      <c r="H15" s="2599"/>
      <c r="I15" s="2600"/>
      <c r="J15" s="3359">
        <v>2</v>
      </c>
      <c r="K15" s="3360"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69" t="s">
        <v>2381</v>
      </c>
      <c r="C16" s="3370"/>
      <c r="D16" s="2659">
        <f>D6*E16</f>
        <v>0</v>
      </c>
      <c r="E16" s="2660"/>
      <c r="F16" s="2645" t="s">
        <v>2382</v>
      </c>
      <c r="G16" s="2624"/>
      <c r="H16" s="2599"/>
      <c r="I16" s="2600"/>
      <c r="J16" s="3359"/>
      <c r="K16" s="3361"/>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71" t="s">
        <v>2384</v>
      </c>
      <c r="C17" s="3372"/>
      <c r="D17" s="2662">
        <f>ROUND(D6*E17,0)</f>
        <v>0</v>
      </c>
      <c r="E17" s="2663"/>
      <c r="F17" s="2664" t="s">
        <v>2385</v>
      </c>
      <c r="G17" s="2624"/>
      <c r="H17" s="2599"/>
      <c r="I17" s="2600"/>
      <c r="J17" s="3359"/>
      <c r="K17" s="3361"/>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59"/>
      <c r="K18" s="3361"/>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59"/>
      <c r="K19" s="3362"/>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59">
        <v>3</v>
      </c>
      <c r="K20" s="3360"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59"/>
      <c r="K21" s="3361"/>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59"/>
      <c r="K22" s="3361"/>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59"/>
      <c r="K23" s="3361"/>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59"/>
      <c r="K24" s="3362"/>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63">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64"/>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65" t="s">
        <v>2317</v>
      </c>
      <c r="K32" s="3366"/>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67" t="s">
        <v>2327</v>
      </c>
      <c r="K33" s="3368"/>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67" t="s">
        <v>2329</v>
      </c>
      <c r="K34" s="336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59">
        <v>1</v>
      </c>
      <c r="K36" s="3360"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59"/>
      <c r="K37" s="3361"/>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59"/>
      <c r="K38" s="3361"/>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59"/>
      <c r="K39" s="3361"/>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59"/>
      <c r="K40" s="3362"/>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3">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64"/>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5">
      <c r="A2" s="1727" t="s">
        <v>1462</v>
      </c>
      <c r="B2" s="811">
        <f ca="1">SUMIF(B6:B13,"&lt;&gt;#ref!",B6:B13)</f>
        <v>790</v>
      </c>
      <c r="C2" s="1728" t="s">
        <v>1651</v>
      </c>
      <c r="D2" s="1729" t="s">
        <v>1652</v>
      </c>
      <c r="E2" s="2392">
        <f>SUM(E6:E13)</f>
        <v>2738.73</v>
      </c>
      <c r="F2" s="2479"/>
      <c r="G2" s="459"/>
      <c r="H2" s="459"/>
      <c r="I2" s="459"/>
      <c r="J2" s="459"/>
      <c r="K2" s="459"/>
      <c r="L2" s="459"/>
      <c r="M2" s="459"/>
      <c r="N2" s="459"/>
      <c r="O2" s="459"/>
      <c r="P2" s="459"/>
      <c r="Q2" s="459"/>
      <c r="R2" s="459"/>
      <c r="S2" s="459"/>
    </row>
    <row r="3" spans="1:22" ht="15.5">
      <c r="A3" s="1727" t="s">
        <v>686</v>
      </c>
      <c r="B3" s="2386">
        <f ca="1">ROUND(B2*10000/E2,0)</f>
        <v>2885</v>
      </c>
      <c r="C3" s="1728" t="s">
        <v>1659</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8" t="s">
        <v>1653</v>
      </c>
      <c r="B5" s="3378" t="s">
        <v>1654</v>
      </c>
      <c r="C5" s="3379"/>
      <c r="D5" s="2480"/>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790</v>
      </c>
      <c r="C6" s="1728" t="s">
        <v>1651</v>
      </c>
      <c r="D6" s="2479"/>
      <c r="E6" s="2391">
        <f>IF(OR(A6=0,F6="否"),0,'数据-取费表'!K6+'数据-取费表'!S6)</f>
        <v>2738.73</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8"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2738.73</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c r="A4" s="345" t="s">
        <v>1666</v>
      </c>
      <c r="B4" s="346"/>
      <c r="C4" s="3398" t="s">
        <v>1667</v>
      </c>
      <c r="D4" s="3399"/>
      <c r="E4" s="3400" t="s">
        <v>1668</v>
      </c>
      <c r="F4" s="3401"/>
      <c r="G4" s="3398" t="s">
        <v>1669</v>
      </c>
      <c r="H4" s="3399"/>
      <c r="I4" s="3398" t="s">
        <v>1670</v>
      </c>
      <c r="J4" s="3399"/>
      <c r="K4" s="1743" t="s">
        <v>1671</v>
      </c>
      <c r="L4" s="2486"/>
      <c r="M4" s="2487"/>
      <c r="N4" s="2487"/>
      <c r="O4" s="2487"/>
      <c r="P4" s="3402" t="s">
        <v>1672</v>
      </c>
      <c r="Q4" s="3403"/>
      <c r="R4" s="3408" t="s">
        <v>1668</v>
      </c>
      <c r="S4" s="3409"/>
      <c r="T4" s="3408" t="s">
        <v>1669</v>
      </c>
      <c r="U4" s="3409"/>
      <c r="V4" s="3384" t="s">
        <v>1670</v>
      </c>
      <c r="W4" s="3384"/>
      <c r="X4" s="1264"/>
      <c r="Y4" s="3408" t="s">
        <v>1672</v>
      </c>
      <c r="Z4" s="3409"/>
      <c r="AA4" s="3395" t="s">
        <v>1668</v>
      </c>
      <c r="AB4" s="3395" t="s">
        <v>1669</v>
      </c>
      <c r="AC4" s="3395" t="s">
        <v>1670</v>
      </c>
    </row>
    <row r="5" spans="1:29">
      <c r="A5" s="348"/>
      <c r="B5" s="349"/>
      <c r="C5" s="3416" t="s">
        <v>1673</v>
      </c>
      <c r="D5" s="3417"/>
      <c r="E5" s="3423" t="s">
        <v>1674</v>
      </c>
      <c r="F5" s="3424"/>
      <c r="G5" s="3416" t="s">
        <v>1675</v>
      </c>
      <c r="H5" s="3417"/>
      <c r="I5" s="3416" t="s">
        <v>1676</v>
      </c>
      <c r="J5" s="3417"/>
      <c r="K5" s="1744"/>
      <c r="L5" s="2486"/>
      <c r="M5" s="2487"/>
      <c r="N5" s="2487"/>
      <c r="O5" s="2487"/>
      <c r="P5" s="3404"/>
      <c r="Q5" s="3405"/>
      <c r="R5" s="3410"/>
      <c r="S5" s="3411"/>
      <c r="T5" s="3410"/>
      <c r="U5" s="3411"/>
      <c r="V5" s="3384"/>
      <c r="W5" s="3384"/>
      <c r="X5" s="1264"/>
      <c r="Y5" s="3410"/>
      <c r="Z5" s="3411"/>
      <c r="AA5" s="3396"/>
      <c r="AB5" s="3396"/>
      <c r="AC5" s="3396"/>
    </row>
    <row r="6" spans="1:29" ht="15" thickBot="1">
      <c r="A6" s="350"/>
      <c r="B6" s="351"/>
      <c r="C6" s="3414" t="s">
        <v>1677</v>
      </c>
      <c r="D6" s="3415"/>
      <c r="E6" s="3421" t="s">
        <v>1677</v>
      </c>
      <c r="F6" s="3422"/>
      <c r="G6" s="3414" t="s">
        <v>1677</v>
      </c>
      <c r="H6" s="3415"/>
      <c r="I6" s="3414" t="s">
        <v>1677</v>
      </c>
      <c r="J6" s="3415"/>
      <c r="K6" s="1744" t="s">
        <v>1678</v>
      </c>
      <c r="L6" s="2486"/>
      <c r="M6" s="2487"/>
      <c r="N6" s="2487"/>
      <c r="O6" s="2487"/>
      <c r="P6" s="3406"/>
      <c r="Q6" s="3407"/>
      <c r="R6" s="3410"/>
      <c r="S6" s="3411"/>
      <c r="T6" s="3412"/>
      <c r="U6" s="3413"/>
      <c r="V6" s="3384"/>
      <c r="W6" s="3384"/>
      <c r="X6" s="1264"/>
      <c r="Y6" s="3412"/>
      <c r="Z6" s="3413"/>
      <c r="AA6" s="3397"/>
      <c r="AB6" s="3397"/>
      <c r="AC6" s="3397"/>
    </row>
    <row r="7" spans="1:29" s="102" customFormat="1" ht="14.5" thickBot="1">
      <c r="A7" s="352" t="s">
        <v>1679</v>
      </c>
      <c r="B7" s="353"/>
      <c r="C7" s="354">
        <f>'数据-取费表'!B2</f>
        <v>46022</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18" t="s">
        <v>1680</v>
      </c>
      <c r="Q7" s="3420"/>
      <c r="R7" s="664" t="s">
        <v>20</v>
      </c>
      <c r="S7" s="665">
        <f t="shared" ref="S7:S15" si="0">F7</f>
        <v>0</v>
      </c>
      <c r="T7" s="664" t="s">
        <v>20</v>
      </c>
      <c r="U7" s="665">
        <f t="shared" ref="U7:U15" si="1">H7</f>
        <v>0</v>
      </c>
      <c r="V7" s="664" t="s">
        <v>20</v>
      </c>
      <c r="W7" s="665">
        <f t="shared" ref="W7:W15" si="2">J7</f>
        <v>0</v>
      </c>
      <c r="X7" s="666"/>
      <c r="Y7" s="3418" t="s">
        <v>1680</v>
      </c>
      <c r="Z7" s="3419"/>
      <c r="AA7" s="50" t="e">
        <f>D7/F7</f>
        <v>#DIV/0!</v>
      </c>
      <c r="AB7" s="50" t="e">
        <f>D7/H7</f>
        <v>#DIV/0!</v>
      </c>
      <c r="AC7" s="50" t="e">
        <f>D7/J7</f>
        <v>#DIV/0!</v>
      </c>
    </row>
    <row r="8" spans="1:29" s="102" customFormat="1" ht="14.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18" t="s">
        <v>1683</v>
      </c>
      <c r="Q8" s="3419"/>
      <c r="R8" s="664" t="s">
        <v>20</v>
      </c>
      <c r="S8" s="665">
        <f t="shared" si="0"/>
        <v>100</v>
      </c>
      <c r="T8" s="664" t="s">
        <v>20</v>
      </c>
      <c r="U8" s="665">
        <f t="shared" si="1"/>
        <v>100</v>
      </c>
      <c r="V8" s="664" t="s">
        <v>20</v>
      </c>
      <c r="W8" s="665">
        <f t="shared" si="2"/>
        <v>100</v>
      </c>
      <c r="X8" s="666"/>
      <c r="Y8" s="3418" t="s">
        <v>1683</v>
      </c>
      <c r="Z8" s="341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4"/>
      <c r="Q11" s="530" t="str">
        <f t="shared" si="6"/>
        <v>容积率</v>
      </c>
      <c r="R11" s="664" t="s">
        <v>18</v>
      </c>
      <c r="S11" s="665" t="e">
        <f t="shared" si="0"/>
        <v>#N/A</v>
      </c>
      <c r="T11" s="664" t="s">
        <v>18</v>
      </c>
      <c r="U11" s="665" t="e">
        <f t="shared" si="1"/>
        <v>#N/A</v>
      </c>
      <c r="V11" s="664" t="s">
        <v>18</v>
      </c>
      <c r="W11" s="665" t="e">
        <f t="shared" si="2"/>
        <v>#N/A</v>
      </c>
      <c r="X11" s="666"/>
      <c r="Y11" s="3258"/>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94"/>
      <c r="Q12" s="530">
        <f t="shared" si="6"/>
        <v>111</v>
      </c>
      <c r="R12" s="664" t="s">
        <v>18</v>
      </c>
      <c r="S12" s="665">
        <f t="shared" si="0"/>
        <v>100</v>
      </c>
      <c r="T12" s="664" t="s">
        <v>18</v>
      </c>
      <c r="U12" s="665">
        <f t="shared" si="1"/>
        <v>100</v>
      </c>
      <c r="V12" s="664" t="s">
        <v>18</v>
      </c>
      <c r="W12" s="665">
        <f t="shared" si="2"/>
        <v>100</v>
      </c>
      <c r="X12" s="666"/>
      <c r="Y12" s="3258"/>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94"/>
      <c r="Q13" s="530">
        <f t="shared" si="6"/>
        <v>111</v>
      </c>
      <c r="R13" s="664" t="s">
        <v>18</v>
      </c>
      <c r="S13" s="665">
        <f t="shared" si="0"/>
        <v>100</v>
      </c>
      <c r="T13" s="664" t="s">
        <v>18</v>
      </c>
      <c r="U13" s="665">
        <f t="shared" si="1"/>
        <v>100</v>
      </c>
      <c r="V13" s="664" t="s">
        <v>18</v>
      </c>
      <c r="W13" s="665">
        <f t="shared" si="2"/>
        <v>100</v>
      </c>
      <c r="X13" s="666"/>
      <c r="Y13" s="3258"/>
      <c r="Z13" s="50">
        <f t="shared" si="7"/>
        <v>111</v>
      </c>
      <c r="AA13" s="50">
        <f t="shared" si="3"/>
        <v>1</v>
      </c>
      <c r="AB13" s="50">
        <f t="shared" si="4"/>
        <v>1</v>
      </c>
      <c r="AC13" s="50">
        <f t="shared" si="5"/>
        <v>1</v>
      </c>
    </row>
    <row r="14" spans="1:29" ht="1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94"/>
      <c r="Q14" s="530">
        <f t="shared" si="6"/>
        <v>111</v>
      </c>
      <c r="R14" s="664" t="s">
        <v>18</v>
      </c>
      <c r="S14" s="665">
        <f t="shared" si="0"/>
        <v>100</v>
      </c>
      <c r="T14" s="664" t="s">
        <v>18</v>
      </c>
      <c r="U14" s="665">
        <f t="shared" si="1"/>
        <v>100</v>
      </c>
      <c r="V14" s="664" t="s">
        <v>18</v>
      </c>
      <c r="W14" s="665">
        <f t="shared" si="2"/>
        <v>100</v>
      </c>
      <c r="X14" s="666"/>
      <c r="Y14" s="3258"/>
      <c r="Z14" s="50">
        <f t="shared" si="7"/>
        <v>111</v>
      </c>
      <c r="AA14" s="50">
        <f t="shared" si="3"/>
        <v>1</v>
      </c>
      <c r="AB14" s="50">
        <f t="shared" si="4"/>
        <v>1</v>
      </c>
      <c r="AC14" s="50">
        <f t="shared" si="5"/>
        <v>1</v>
      </c>
    </row>
    <row r="15" spans="1:29" ht="98">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2" t="s">
        <v>1691</v>
      </c>
      <c r="Q15" s="1262" t="str">
        <f t="shared" si="6"/>
        <v>居住社区成熟度</v>
      </c>
      <c r="R15" s="667" t="s">
        <v>18</v>
      </c>
      <c r="S15" s="668">
        <f t="shared" si="0"/>
        <v>100</v>
      </c>
      <c r="T15" s="667" t="s">
        <v>18</v>
      </c>
      <c r="U15" s="668">
        <f t="shared" si="1"/>
        <v>100</v>
      </c>
      <c r="V15" s="667" t="s">
        <v>18</v>
      </c>
      <c r="W15" s="668">
        <f t="shared" si="2"/>
        <v>100</v>
      </c>
      <c r="X15" s="1264"/>
      <c r="Y15" s="3385" t="s">
        <v>1691</v>
      </c>
      <c r="Z15" s="1263" t="str">
        <f t="shared" si="7"/>
        <v>居住社区成熟度</v>
      </c>
      <c r="AA15" s="1263">
        <f t="shared" si="3"/>
        <v>1</v>
      </c>
      <c r="AB15" s="1263">
        <f t="shared" si="4"/>
        <v>1</v>
      </c>
      <c r="AC15" s="1263">
        <f t="shared" si="5"/>
        <v>1</v>
      </c>
    </row>
    <row r="16" spans="1:29" ht="15.5">
      <c r="A16" s="367"/>
      <c r="B16" s="385"/>
      <c r="C16" s="386"/>
      <c r="D16" s="387"/>
      <c r="E16" s="1750"/>
      <c r="F16" s="387"/>
      <c r="G16" s="1751"/>
      <c r="H16" s="389"/>
      <c r="I16" s="1751"/>
      <c r="J16" s="387"/>
      <c r="K16" s="1752"/>
      <c r="L16" s="2492"/>
      <c r="M16" s="2487"/>
      <c r="N16" s="2487"/>
      <c r="O16" s="2487"/>
      <c r="P16" s="3393"/>
      <c r="Q16" s="1262"/>
      <c r="R16" s="667"/>
      <c r="S16" s="668"/>
      <c r="T16" s="667"/>
      <c r="U16" s="668"/>
      <c r="V16" s="667"/>
      <c r="W16" s="668"/>
      <c r="X16" s="1264"/>
      <c r="Y16" s="3386"/>
      <c r="Z16" s="1263"/>
      <c r="AA16" s="1263">
        <v>1</v>
      </c>
      <c r="AB16" s="1263">
        <v>1</v>
      </c>
      <c r="AC16" s="1263">
        <v>1</v>
      </c>
    </row>
    <row r="17" spans="1:29" ht="84">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3"/>
      <c r="Q17" s="1262" t="str">
        <f>B17</f>
        <v>交通便捷度</v>
      </c>
      <c r="R17" s="667" t="s">
        <v>18</v>
      </c>
      <c r="S17" s="668">
        <f>F17</f>
        <v>100</v>
      </c>
      <c r="T17" s="667" t="s">
        <v>18</v>
      </c>
      <c r="U17" s="668">
        <f>H17</f>
        <v>100</v>
      </c>
      <c r="V17" s="667" t="s">
        <v>18</v>
      </c>
      <c r="W17" s="668">
        <f>J17</f>
        <v>100</v>
      </c>
      <c r="X17" s="1264"/>
      <c r="Y17" s="3386"/>
      <c r="Z17" s="1263" t="str">
        <f>Q17</f>
        <v>交通便捷度</v>
      </c>
      <c r="AA17" s="1263">
        <f t="shared" si="3"/>
        <v>1</v>
      </c>
      <c r="AB17" s="1263">
        <f t="shared" si="4"/>
        <v>1</v>
      </c>
      <c r="AC17" s="1263">
        <f t="shared" si="5"/>
        <v>1</v>
      </c>
    </row>
    <row r="18" spans="1:29" ht="15.5">
      <c r="A18" s="367"/>
      <c r="B18" s="395"/>
      <c r="C18" s="1754"/>
      <c r="D18" s="389"/>
      <c r="E18" s="1755"/>
      <c r="F18" s="389"/>
      <c r="G18" s="1756"/>
      <c r="H18" s="387"/>
      <c r="I18" s="1756"/>
      <c r="J18" s="387"/>
      <c r="K18" s="1752"/>
      <c r="L18" s="2492"/>
      <c r="M18" s="2487"/>
      <c r="N18" s="2487"/>
      <c r="O18" s="2487"/>
      <c r="P18" s="3393"/>
      <c r="Q18" s="1262"/>
      <c r="R18" s="667"/>
      <c r="S18" s="668"/>
      <c r="T18" s="667"/>
      <c r="U18" s="668"/>
      <c r="V18" s="667"/>
      <c r="W18" s="668"/>
      <c r="X18" s="1264"/>
      <c r="Y18" s="3386"/>
      <c r="Z18" s="1263"/>
      <c r="AA18" s="1263">
        <v>1</v>
      </c>
      <c r="AB18" s="1263">
        <v>1</v>
      </c>
      <c r="AC18" s="1263">
        <v>1</v>
      </c>
    </row>
    <row r="19" spans="1:29" ht="42">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3"/>
      <c r="Q19" s="1262" t="str">
        <f>B19</f>
        <v>公共配套设施</v>
      </c>
      <c r="R19" s="667" t="s">
        <v>18</v>
      </c>
      <c r="S19" s="668">
        <f>F19</f>
        <v>100</v>
      </c>
      <c r="T19" s="667" t="s">
        <v>18</v>
      </c>
      <c r="U19" s="668">
        <f>H19</f>
        <v>100</v>
      </c>
      <c r="V19" s="667" t="s">
        <v>18</v>
      </c>
      <c r="W19" s="668">
        <f>J19</f>
        <v>100</v>
      </c>
      <c r="X19" s="1264"/>
      <c r="Y19" s="3386"/>
      <c r="Z19" s="1263" t="str">
        <f>Q19</f>
        <v>公共配套设施</v>
      </c>
      <c r="AA19" s="1263">
        <f t="shared" si="3"/>
        <v>1</v>
      </c>
      <c r="AB19" s="1263">
        <f t="shared" si="4"/>
        <v>1</v>
      </c>
      <c r="AC19" s="1263">
        <f t="shared" si="5"/>
        <v>1</v>
      </c>
    </row>
    <row r="20" spans="1:29" ht="15.5">
      <c r="A20" s="367"/>
      <c r="B20" s="395"/>
      <c r="C20" s="386"/>
      <c r="D20" s="387"/>
      <c r="E20" s="1750"/>
      <c r="F20" s="387"/>
      <c r="G20" s="1751"/>
      <c r="H20" s="387"/>
      <c r="I20" s="1751"/>
      <c r="J20" s="387"/>
      <c r="K20" s="1752"/>
      <c r="L20" s="2492"/>
      <c r="M20" s="2487"/>
      <c r="N20" s="2487"/>
      <c r="O20" s="2487"/>
      <c r="P20" s="3393"/>
      <c r="Q20" s="1262"/>
      <c r="R20" s="667"/>
      <c r="S20" s="668"/>
      <c r="T20" s="667"/>
      <c r="U20" s="668"/>
      <c r="V20" s="667"/>
      <c r="W20" s="668"/>
      <c r="X20" s="1264"/>
      <c r="Y20" s="3386"/>
      <c r="Z20" s="1263"/>
      <c r="AA20" s="1263">
        <v>1</v>
      </c>
      <c r="AB20" s="1263">
        <v>1</v>
      </c>
      <c r="AC20" s="1263">
        <v>1</v>
      </c>
    </row>
    <row r="21" spans="1:29" ht="28">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3"/>
      <c r="Q21" s="1262" t="str">
        <f>B21</f>
        <v>基础设施水平</v>
      </c>
      <c r="R21" s="667" t="s">
        <v>14</v>
      </c>
      <c r="S21" s="668">
        <f>F21</f>
        <v>100</v>
      </c>
      <c r="T21" s="667" t="s">
        <v>14</v>
      </c>
      <c r="U21" s="668">
        <f>H21</f>
        <v>100</v>
      </c>
      <c r="V21" s="667" t="s">
        <v>14</v>
      </c>
      <c r="W21" s="668">
        <f>J21</f>
        <v>100</v>
      </c>
      <c r="X21" s="1264"/>
      <c r="Y21" s="3386"/>
      <c r="Z21" s="1263" t="str">
        <f>Q21</f>
        <v>基础设施水平</v>
      </c>
      <c r="AA21" s="1263">
        <f t="shared" ref="AA21" si="8">D21/F21</f>
        <v>1</v>
      </c>
      <c r="AB21" s="1263">
        <f t="shared" ref="AB21" si="9">D21/H21</f>
        <v>1</v>
      </c>
      <c r="AC21" s="1263">
        <f t="shared" ref="AC21" si="10">D21/J21</f>
        <v>1</v>
      </c>
    </row>
    <row r="22" spans="1:29" ht="15.5">
      <c r="A22" s="367"/>
      <c r="B22" s="586"/>
      <c r="C22" s="1754"/>
      <c r="D22" s="387"/>
      <c r="E22" s="386"/>
      <c r="F22" s="387"/>
      <c r="G22" s="1757"/>
      <c r="H22" s="387"/>
      <c r="I22" s="386"/>
      <c r="J22" s="387"/>
      <c r="K22" s="1758"/>
      <c r="L22" s="2492"/>
      <c r="M22" s="2487"/>
      <c r="N22" s="2487"/>
      <c r="O22" s="2487"/>
      <c r="P22" s="3393"/>
      <c r="Q22" s="1262"/>
      <c r="R22" s="667"/>
      <c r="S22" s="668"/>
      <c r="T22" s="667"/>
      <c r="U22" s="668"/>
      <c r="V22" s="667"/>
      <c r="W22" s="668"/>
      <c r="X22" s="1264"/>
      <c r="Y22" s="3386"/>
      <c r="Z22" s="1263"/>
      <c r="AA22" s="1263">
        <v>1</v>
      </c>
      <c r="AB22" s="1263">
        <v>1</v>
      </c>
      <c r="AC22" s="1263">
        <v>1</v>
      </c>
    </row>
    <row r="23" spans="1:29" ht="56">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3"/>
      <c r="Q23" s="1262" t="str">
        <f>B23</f>
        <v>自然及人文环境</v>
      </c>
      <c r="R23" s="667" t="s">
        <v>18</v>
      </c>
      <c r="S23" s="668">
        <f>F23</f>
        <v>100</v>
      </c>
      <c r="T23" s="667" t="s">
        <v>18</v>
      </c>
      <c r="U23" s="668">
        <f>H23</f>
        <v>100</v>
      </c>
      <c r="V23" s="667" t="s">
        <v>18</v>
      </c>
      <c r="W23" s="668">
        <f>J23</f>
        <v>100</v>
      </c>
      <c r="X23" s="1264"/>
      <c r="Y23" s="3386"/>
      <c r="Z23" s="1263" t="str">
        <f>Q23</f>
        <v>自然及人文环境</v>
      </c>
      <c r="AA23" s="1263">
        <f>D23/F23</f>
        <v>1</v>
      </c>
      <c r="AB23" s="1263">
        <f>D23/H23</f>
        <v>1</v>
      </c>
      <c r="AC23" s="1263">
        <f>D23/J23</f>
        <v>1</v>
      </c>
    </row>
    <row r="24" spans="1:29" ht="15.5">
      <c r="A24" s="367"/>
      <c r="B24" s="395"/>
      <c r="C24" s="386"/>
      <c r="D24" s="387"/>
      <c r="E24" s="1750"/>
      <c r="F24" s="387"/>
      <c r="G24" s="1751"/>
      <c r="H24" s="387"/>
      <c r="I24" s="1751"/>
      <c r="J24" s="387"/>
      <c r="K24" s="1752"/>
      <c r="L24" s="2492"/>
      <c r="M24" s="2487"/>
      <c r="N24" s="2487"/>
      <c r="O24" s="2487"/>
      <c r="P24" s="3393"/>
      <c r="Q24" s="1262"/>
      <c r="R24" s="667"/>
      <c r="S24" s="668"/>
      <c r="T24" s="667"/>
      <c r="U24" s="668"/>
      <c r="V24" s="667"/>
      <c r="W24" s="668"/>
      <c r="X24" s="1264"/>
      <c r="Y24" s="3386"/>
      <c r="Z24" s="1263"/>
      <c r="AA24" s="1263">
        <v>1</v>
      </c>
      <c r="AB24" s="1263">
        <v>1</v>
      </c>
      <c r="AC24" s="1263">
        <v>1</v>
      </c>
    </row>
    <row r="25" spans="1:29" ht="15.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93"/>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86"/>
      <c r="Z25" s="1263" t="str">
        <f>Q25</f>
        <v>楼层-1</v>
      </c>
      <c r="AA25" s="1263">
        <f t="shared" ref="AA25:AA46" si="15">D25/F25</f>
        <v>1</v>
      </c>
      <c r="AB25" s="1263">
        <f t="shared" ref="AB25:AB46" si="16">D25/H25</f>
        <v>1</v>
      </c>
      <c r="AC25" s="1263">
        <f t="shared" ref="AC25:AC46" si="17">D25/J25</f>
        <v>1</v>
      </c>
    </row>
    <row r="26" spans="1:29" ht="15.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93"/>
      <c r="Q26" s="1262" t="str">
        <f t="shared" si="11"/>
        <v>朝向</v>
      </c>
      <c r="R26" s="667" t="s">
        <v>18</v>
      </c>
      <c r="S26" s="668">
        <f t="shared" si="12"/>
        <v>100</v>
      </c>
      <c r="T26" s="667" t="s">
        <v>18</v>
      </c>
      <c r="U26" s="668">
        <f t="shared" si="13"/>
        <v>100</v>
      </c>
      <c r="V26" s="667" t="s">
        <v>18</v>
      </c>
      <c r="W26" s="668">
        <f t="shared" si="14"/>
        <v>100</v>
      </c>
      <c r="X26" s="1264"/>
      <c r="Y26" s="3386"/>
      <c r="Z26" s="1263" t="str">
        <f>Q26</f>
        <v>朝向</v>
      </c>
      <c r="AA26" s="1263">
        <f t="shared" si="15"/>
        <v>1</v>
      </c>
      <c r="AB26" s="1263">
        <f t="shared" si="16"/>
        <v>1</v>
      </c>
      <c r="AC26" s="1263">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93"/>
      <c r="Q27" s="530">
        <f t="shared" si="11"/>
        <v>111</v>
      </c>
      <c r="R27" s="664" t="s">
        <v>18</v>
      </c>
      <c r="S27" s="665">
        <f t="shared" si="12"/>
        <v>100</v>
      </c>
      <c r="T27" s="664" t="s">
        <v>18</v>
      </c>
      <c r="U27" s="665">
        <f t="shared" si="13"/>
        <v>100</v>
      </c>
      <c r="V27" s="664" t="s">
        <v>18</v>
      </c>
      <c r="W27" s="665">
        <f t="shared" si="14"/>
        <v>100</v>
      </c>
      <c r="X27" s="666"/>
      <c r="Y27" s="3386"/>
      <c r="Z27" s="50">
        <f>Q27</f>
        <v>111</v>
      </c>
      <c r="AA27" s="1263">
        <f t="shared" si="15"/>
        <v>1</v>
      </c>
      <c r="AB27" s="1263">
        <f t="shared" si="16"/>
        <v>1</v>
      </c>
      <c r="AC27" s="1263">
        <f t="shared" si="17"/>
        <v>1</v>
      </c>
    </row>
    <row r="28" spans="1:29" ht="15.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93"/>
      <c r="Q28" s="1262">
        <f t="shared" si="11"/>
        <v>111</v>
      </c>
      <c r="R28" s="667" t="s">
        <v>18</v>
      </c>
      <c r="S28" s="668">
        <f t="shared" si="12"/>
        <v>100</v>
      </c>
      <c r="T28" s="667" t="s">
        <v>18</v>
      </c>
      <c r="U28" s="668">
        <f t="shared" si="13"/>
        <v>100</v>
      </c>
      <c r="V28" s="667" t="s">
        <v>18</v>
      </c>
      <c r="W28" s="668">
        <f t="shared" si="14"/>
        <v>100</v>
      </c>
      <c r="X28" s="1264"/>
      <c r="Y28" s="3386"/>
      <c r="Z28" s="1263">
        <f t="shared" ref="Z28:Z46" si="18">Q28</f>
        <v>111</v>
      </c>
      <c r="AA28" s="1263">
        <f t="shared" si="15"/>
        <v>1</v>
      </c>
      <c r="AB28" s="1263">
        <f t="shared" si="16"/>
        <v>1</v>
      </c>
      <c r="AC28" s="1263">
        <f t="shared" si="17"/>
        <v>1</v>
      </c>
    </row>
    <row r="29" spans="1:29" ht="15.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93"/>
      <c r="Q29" s="1262">
        <f t="shared" si="11"/>
        <v>111</v>
      </c>
      <c r="R29" s="667" t="s">
        <v>18</v>
      </c>
      <c r="S29" s="668">
        <f t="shared" si="12"/>
        <v>100</v>
      </c>
      <c r="T29" s="667" t="s">
        <v>18</v>
      </c>
      <c r="U29" s="668">
        <f t="shared" si="13"/>
        <v>100</v>
      </c>
      <c r="V29" s="667" t="s">
        <v>18</v>
      </c>
      <c r="W29" s="668">
        <f t="shared" si="14"/>
        <v>100</v>
      </c>
      <c r="X29" s="1264"/>
      <c r="Y29" s="3386"/>
      <c r="Z29" s="1263">
        <f t="shared" si="18"/>
        <v>111</v>
      </c>
      <c r="AA29" s="1263">
        <f t="shared" si="15"/>
        <v>1</v>
      </c>
      <c r="AB29" s="1263">
        <f t="shared" si="16"/>
        <v>1</v>
      </c>
      <c r="AC29" s="1263">
        <f t="shared" si="17"/>
        <v>1</v>
      </c>
    </row>
    <row r="30" spans="1:29" ht="15.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93"/>
      <c r="Q30" s="1262">
        <f t="shared" si="11"/>
        <v>111</v>
      </c>
      <c r="R30" s="667" t="s">
        <v>18</v>
      </c>
      <c r="S30" s="668">
        <f t="shared" si="12"/>
        <v>100</v>
      </c>
      <c r="T30" s="667" t="s">
        <v>18</v>
      </c>
      <c r="U30" s="668">
        <f t="shared" si="13"/>
        <v>100</v>
      </c>
      <c r="V30" s="667" t="s">
        <v>18</v>
      </c>
      <c r="W30" s="668">
        <f t="shared" si="14"/>
        <v>100</v>
      </c>
      <c r="X30" s="1264"/>
      <c r="Y30" s="3386"/>
      <c r="Z30" s="1263">
        <f t="shared" si="18"/>
        <v>111</v>
      </c>
      <c r="AA30" s="1263">
        <f t="shared" si="15"/>
        <v>1</v>
      </c>
      <c r="AB30" s="1263">
        <f t="shared" si="16"/>
        <v>1</v>
      </c>
      <c r="AC30" s="1263">
        <f t="shared" si="17"/>
        <v>1</v>
      </c>
    </row>
    <row r="31" spans="1:29" ht="1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93"/>
      <c r="Q31" s="1262">
        <f t="shared" si="11"/>
        <v>111</v>
      </c>
      <c r="R31" s="667" t="s">
        <v>18</v>
      </c>
      <c r="S31" s="668">
        <f t="shared" si="12"/>
        <v>100</v>
      </c>
      <c r="T31" s="667" t="s">
        <v>18</v>
      </c>
      <c r="U31" s="668">
        <f t="shared" si="13"/>
        <v>100</v>
      </c>
      <c r="V31" s="667" t="s">
        <v>18</v>
      </c>
      <c r="W31" s="668">
        <f t="shared" si="14"/>
        <v>100</v>
      </c>
      <c r="X31" s="1264"/>
      <c r="Y31" s="3386"/>
      <c r="Z31" s="1263">
        <f t="shared" si="18"/>
        <v>111</v>
      </c>
      <c r="AA31" s="1263">
        <f t="shared" si="15"/>
        <v>1</v>
      </c>
      <c r="AB31" s="1263">
        <f t="shared" si="16"/>
        <v>1</v>
      </c>
      <c r="AC31" s="1263">
        <f t="shared" si="17"/>
        <v>1</v>
      </c>
    </row>
    <row r="32" spans="1:29" ht="15.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87" t="s">
        <v>1696</v>
      </c>
      <c r="Q32" s="1262" t="str">
        <f t="shared" si="11"/>
        <v>建筑类型</v>
      </c>
      <c r="R32" s="667" t="s">
        <v>18</v>
      </c>
      <c r="S32" s="668">
        <f t="shared" si="12"/>
        <v>100</v>
      </c>
      <c r="T32" s="667" t="s">
        <v>18</v>
      </c>
      <c r="U32" s="668">
        <f t="shared" si="13"/>
        <v>100</v>
      </c>
      <c r="V32" s="667" t="s">
        <v>18</v>
      </c>
      <c r="W32" s="668">
        <f t="shared" si="14"/>
        <v>100</v>
      </c>
      <c r="X32" s="1264"/>
      <c r="Y32" s="3390" t="s">
        <v>1696</v>
      </c>
      <c r="Z32" s="1263" t="str">
        <f t="shared" si="18"/>
        <v>建筑类型</v>
      </c>
      <c r="AA32" s="1263">
        <f t="shared" si="15"/>
        <v>1</v>
      </c>
      <c r="AB32" s="1263">
        <f t="shared" si="16"/>
        <v>1</v>
      </c>
      <c r="AC32" s="1263">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88"/>
      <c r="Q33" s="531" t="str">
        <f t="shared" si="11"/>
        <v>项目建筑规模</v>
      </c>
      <c r="R33" s="669" t="s">
        <v>18</v>
      </c>
      <c r="S33" s="670" t="e">
        <f t="shared" si="12"/>
        <v>#N/A</v>
      </c>
      <c r="T33" s="669" t="s">
        <v>18</v>
      </c>
      <c r="U33" s="670" t="e">
        <f t="shared" si="13"/>
        <v>#N/A</v>
      </c>
      <c r="V33" s="669" t="s">
        <v>18</v>
      </c>
      <c r="W33" s="670" t="e">
        <f t="shared" si="14"/>
        <v>#N/A</v>
      </c>
      <c r="X33" s="671"/>
      <c r="Y33" s="3390"/>
      <c r="Z33" s="672" t="str">
        <f t="shared" si="18"/>
        <v>项目建筑规模</v>
      </c>
      <c r="AA33" s="1263" t="e">
        <f t="shared" si="15"/>
        <v>#N/A</v>
      </c>
      <c r="AB33" s="1263" t="e">
        <f t="shared" si="16"/>
        <v>#N/A</v>
      </c>
      <c r="AC33" s="1263" t="e">
        <f t="shared" si="17"/>
        <v>#N/A</v>
      </c>
    </row>
    <row r="34" spans="1:29" ht="15.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88"/>
      <c r="Q34" s="1262" t="str">
        <f t="shared" si="11"/>
        <v>建筑结构</v>
      </c>
      <c r="R34" s="667" t="s">
        <v>18</v>
      </c>
      <c r="S34" s="668">
        <f t="shared" si="12"/>
        <v>100</v>
      </c>
      <c r="T34" s="667" t="s">
        <v>18</v>
      </c>
      <c r="U34" s="668">
        <f t="shared" si="13"/>
        <v>100</v>
      </c>
      <c r="V34" s="667" t="s">
        <v>18</v>
      </c>
      <c r="W34" s="668">
        <f t="shared" si="14"/>
        <v>100</v>
      </c>
      <c r="X34" s="1264"/>
      <c r="Y34" s="3390"/>
      <c r="Z34" s="1263" t="str">
        <f t="shared" si="18"/>
        <v>建筑结构</v>
      </c>
      <c r="AA34" s="1263">
        <f t="shared" si="15"/>
        <v>1</v>
      </c>
      <c r="AB34" s="1263">
        <f t="shared" si="16"/>
        <v>1</v>
      </c>
      <c r="AC34" s="1263">
        <f t="shared" si="17"/>
        <v>1</v>
      </c>
    </row>
    <row r="35" spans="1:29" ht="15.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88"/>
      <c r="Q35" s="1262" t="str">
        <f t="shared" si="11"/>
        <v>建筑品质</v>
      </c>
      <c r="R35" s="667" t="s">
        <v>18</v>
      </c>
      <c r="S35" s="668">
        <f t="shared" si="12"/>
        <v>100</v>
      </c>
      <c r="T35" s="667" t="s">
        <v>18</v>
      </c>
      <c r="U35" s="668">
        <f t="shared" si="13"/>
        <v>100</v>
      </c>
      <c r="V35" s="667" t="s">
        <v>18</v>
      </c>
      <c r="W35" s="668">
        <f t="shared" si="14"/>
        <v>100</v>
      </c>
      <c r="X35" s="1264"/>
      <c r="Y35" s="3390"/>
      <c r="Z35" s="1263" t="str">
        <f t="shared" si="18"/>
        <v>建筑品质</v>
      </c>
      <c r="AA35" s="1263">
        <f t="shared" si="15"/>
        <v>1</v>
      </c>
      <c r="AB35" s="1263">
        <f t="shared" si="16"/>
        <v>1</v>
      </c>
      <c r="AC35" s="1263">
        <f t="shared" si="17"/>
        <v>1</v>
      </c>
    </row>
    <row r="36" spans="1:29" ht="15.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88"/>
      <c r="Q36" s="1262" t="str">
        <f t="shared" si="11"/>
        <v>公共部分装修</v>
      </c>
      <c r="R36" s="667" t="s">
        <v>18</v>
      </c>
      <c r="S36" s="668">
        <f t="shared" si="12"/>
        <v>100</v>
      </c>
      <c r="T36" s="667" t="s">
        <v>18</v>
      </c>
      <c r="U36" s="668">
        <f t="shared" si="13"/>
        <v>100</v>
      </c>
      <c r="V36" s="667" t="s">
        <v>18</v>
      </c>
      <c r="W36" s="668">
        <f t="shared" si="14"/>
        <v>100</v>
      </c>
      <c r="X36" s="1264"/>
      <c r="Y36" s="3390"/>
      <c r="Z36" s="1263" t="str">
        <f t="shared" si="18"/>
        <v>公共部分装修</v>
      </c>
      <c r="AA36" s="1263">
        <f t="shared" si="15"/>
        <v>1</v>
      </c>
      <c r="AB36" s="1263">
        <f t="shared" si="16"/>
        <v>1</v>
      </c>
      <c r="AC36" s="1263">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88"/>
      <c r="Q37" s="530" t="str">
        <f t="shared" si="11"/>
        <v>成新度</v>
      </c>
      <c r="R37" s="664" t="s">
        <v>18</v>
      </c>
      <c r="S37" s="665" t="e">
        <f t="shared" si="12"/>
        <v>#N/A</v>
      </c>
      <c r="T37" s="664" t="s">
        <v>18</v>
      </c>
      <c r="U37" s="665" t="e">
        <f t="shared" si="13"/>
        <v>#N/A</v>
      </c>
      <c r="V37" s="664" t="s">
        <v>18</v>
      </c>
      <c r="W37" s="665" t="e">
        <f t="shared" si="14"/>
        <v>#N/A</v>
      </c>
      <c r="X37" s="666"/>
      <c r="Y37" s="3390"/>
      <c r="Z37" s="50" t="str">
        <f t="shared" si="18"/>
        <v>成新度</v>
      </c>
      <c r="AA37" s="50" t="e">
        <f t="shared" si="15"/>
        <v>#N/A</v>
      </c>
      <c r="AB37" s="50" t="e">
        <f t="shared" si="16"/>
        <v>#N/A</v>
      </c>
      <c r="AC37" s="50" t="e">
        <f t="shared" si="17"/>
        <v>#N/A</v>
      </c>
    </row>
    <row r="38" spans="1:29" ht="15.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88" t="s">
        <v>1696</v>
      </c>
      <c r="Q38" s="1262" t="str">
        <f t="shared" si="11"/>
        <v>物业管理</v>
      </c>
      <c r="R38" s="667" t="s">
        <v>18</v>
      </c>
      <c r="S38" s="668">
        <f t="shared" si="12"/>
        <v>100</v>
      </c>
      <c r="T38" s="667" t="s">
        <v>18</v>
      </c>
      <c r="U38" s="668">
        <f t="shared" si="13"/>
        <v>100</v>
      </c>
      <c r="V38" s="667" t="s">
        <v>18</v>
      </c>
      <c r="W38" s="668">
        <f t="shared" si="14"/>
        <v>100</v>
      </c>
      <c r="X38" s="1264"/>
      <c r="Y38" s="3390" t="s">
        <v>1696</v>
      </c>
      <c r="Z38" s="1263" t="str">
        <f t="shared" si="18"/>
        <v>物业管理</v>
      </c>
      <c r="AA38" s="1263">
        <f t="shared" si="15"/>
        <v>1</v>
      </c>
      <c r="AB38" s="1263">
        <f t="shared" si="16"/>
        <v>1</v>
      </c>
      <c r="AC38" s="1263">
        <f t="shared" si="17"/>
        <v>1</v>
      </c>
    </row>
    <row r="39" spans="1:29" ht="15.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88"/>
      <c r="Q39" s="1262" t="str">
        <f t="shared" si="11"/>
        <v>市政基础设施</v>
      </c>
      <c r="R39" s="667" t="s">
        <v>18</v>
      </c>
      <c r="S39" s="668">
        <f t="shared" si="12"/>
        <v>100</v>
      </c>
      <c r="T39" s="667" t="s">
        <v>18</v>
      </c>
      <c r="U39" s="668">
        <f t="shared" si="13"/>
        <v>100</v>
      </c>
      <c r="V39" s="667" t="s">
        <v>18</v>
      </c>
      <c r="W39" s="668">
        <f t="shared" si="14"/>
        <v>100</v>
      </c>
      <c r="X39" s="1264"/>
      <c r="Y39" s="3390"/>
      <c r="Z39" s="1263" t="str">
        <f t="shared" si="18"/>
        <v>市政基础设施</v>
      </c>
      <c r="AA39" s="1263">
        <f t="shared" si="15"/>
        <v>1</v>
      </c>
      <c r="AB39" s="1263">
        <f t="shared" si="16"/>
        <v>1</v>
      </c>
      <c r="AC39" s="1263">
        <f t="shared" si="17"/>
        <v>1</v>
      </c>
    </row>
    <row r="40" spans="1:29" ht="15.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88"/>
      <c r="Q40" s="1262" t="str">
        <f t="shared" si="11"/>
        <v>房型</v>
      </c>
      <c r="R40" s="667" t="s">
        <v>18</v>
      </c>
      <c r="S40" s="668">
        <f t="shared" si="12"/>
        <v>100</v>
      </c>
      <c r="T40" s="667" t="s">
        <v>18</v>
      </c>
      <c r="U40" s="668">
        <f t="shared" si="13"/>
        <v>100</v>
      </c>
      <c r="V40" s="667" t="s">
        <v>18</v>
      </c>
      <c r="W40" s="668">
        <f t="shared" si="14"/>
        <v>100</v>
      </c>
      <c r="X40" s="1264"/>
      <c r="Y40" s="3390"/>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88"/>
      <c r="Q41" s="531" t="str">
        <f t="shared" si="11"/>
        <v>单套/主力户型建筑面积</v>
      </c>
      <c r="R41" s="669" t="s">
        <v>18</v>
      </c>
      <c r="S41" s="670">
        <f t="shared" si="12"/>
        <v>100</v>
      </c>
      <c r="T41" s="669" t="s">
        <v>18</v>
      </c>
      <c r="U41" s="670">
        <f t="shared" si="13"/>
        <v>100</v>
      </c>
      <c r="V41" s="669" t="s">
        <v>18</v>
      </c>
      <c r="W41" s="670">
        <f t="shared" si="14"/>
        <v>100</v>
      </c>
      <c r="X41" s="671"/>
      <c r="Y41" s="3390"/>
      <c r="Z41" s="672" t="str">
        <f t="shared" si="18"/>
        <v>单套/主力户型建筑面积</v>
      </c>
      <c r="AA41" s="1263">
        <f t="shared" si="15"/>
        <v>1</v>
      </c>
      <c r="AB41" s="1263">
        <f t="shared" si="16"/>
        <v>1</v>
      </c>
      <c r="AC41" s="1263">
        <f t="shared" si="17"/>
        <v>1</v>
      </c>
    </row>
    <row r="42" spans="1:29" ht="15.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88"/>
      <c r="Q42" s="1262" t="str">
        <f t="shared" si="11"/>
        <v>内部装修</v>
      </c>
      <c r="R42" s="667" t="s">
        <v>18</v>
      </c>
      <c r="S42" s="668">
        <f t="shared" si="12"/>
        <v>100</v>
      </c>
      <c r="T42" s="667" t="s">
        <v>18</v>
      </c>
      <c r="U42" s="668">
        <f t="shared" si="13"/>
        <v>100</v>
      </c>
      <c r="V42" s="667" t="s">
        <v>18</v>
      </c>
      <c r="W42" s="668">
        <f t="shared" si="14"/>
        <v>100</v>
      </c>
      <c r="X42" s="1264"/>
      <c r="Y42" s="3390"/>
      <c r="Z42" s="1263" t="str">
        <f t="shared" si="18"/>
        <v>内部装修</v>
      </c>
      <c r="AA42" s="1263">
        <f t="shared" si="15"/>
        <v>1</v>
      </c>
      <c r="AB42" s="1263">
        <f t="shared" si="16"/>
        <v>1</v>
      </c>
      <c r="AC42" s="1263">
        <f t="shared" si="17"/>
        <v>1</v>
      </c>
    </row>
    <row r="43" spans="1:29" ht="2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88"/>
      <c r="Q43" s="1262" t="str">
        <f t="shared" si="11"/>
        <v>内部装修维护情况</v>
      </c>
      <c r="R43" s="667" t="s">
        <v>18</v>
      </c>
      <c r="S43" s="668">
        <f t="shared" si="12"/>
        <v>100</v>
      </c>
      <c r="T43" s="667" t="s">
        <v>18</v>
      </c>
      <c r="U43" s="668">
        <f t="shared" si="13"/>
        <v>100</v>
      </c>
      <c r="V43" s="667" t="s">
        <v>18</v>
      </c>
      <c r="W43" s="668">
        <f t="shared" si="14"/>
        <v>100</v>
      </c>
      <c r="X43" s="1264"/>
      <c r="Y43" s="3390"/>
      <c r="Z43" s="1263" t="str">
        <f t="shared" si="18"/>
        <v>内部装修维护情况</v>
      </c>
      <c r="AA43" s="1263">
        <f t="shared" si="15"/>
        <v>1</v>
      </c>
      <c r="AB43" s="1263">
        <f t="shared" si="16"/>
        <v>1</v>
      </c>
      <c r="AC43" s="1263">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88"/>
      <c r="Q44" s="530">
        <f t="shared" si="11"/>
        <v>111</v>
      </c>
      <c r="R44" s="664" t="s">
        <v>18</v>
      </c>
      <c r="S44" s="665">
        <f t="shared" si="12"/>
        <v>100</v>
      </c>
      <c r="T44" s="664" t="s">
        <v>18</v>
      </c>
      <c r="U44" s="665">
        <f t="shared" si="13"/>
        <v>100</v>
      </c>
      <c r="V44" s="664" t="s">
        <v>18</v>
      </c>
      <c r="W44" s="665">
        <f t="shared" si="14"/>
        <v>100</v>
      </c>
      <c r="X44" s="666"/>
      <c r="Y44" s="3390"/>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88"/>
      <c r="Q45" s="1262">
        <f t="shared" si="11"/>
        <v>111</v>
      </c>
      <c r="R45" s="667" t="s">
        <v>18</v>
      </c>
      <c r="S45" s="668">
        <f t="shared" si="12"/>
        <v>100</v>
      </c>
      <c r="T45" s="667" t="s">
        <v>18</v>
      </c>
      <c r="U45" s="668">
        <f t="shared" si="13"/>
        <v>100</v>
      </c>
      <c r="V45" s="667" t="s">
        <v>18</v>
      </c>
      <c r="W45" s="668">
        <f t="shared" si="14"/>
        <v>100</v>
      </c>
      <c r="X45" s="1264"/>
      <c r="Y45" s="3390"/>
      <c r="Z45" s="1263">
        <f t="shared" si="18"/>
        <v>111</v>
      </c>
      <c r="AA45" s="1263">
        <f t="shared" si="15"/>
        <v>1</v>
      </c>
      <c r="AB45" s="1263">
        <f t="shared" si="16"/>
        <v>1</v>
      </c>
      <c r="AC45" s="1263">
        <f t="shared" si="17"/>
        <v>1</v>
      </c>
    </row>
    <row r="46" spans="1:29" ht="1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89"/>
      <c r="Q46" s="1262">
        <f t="shared" si="11"/>
        <v>111</v>
      </c>
      <c r="R46" s="667" t="s">
        <v>17</v>
      </c>
      <c r="S46" s="668">
        <f t="shared" si="12"/>
        <v>100</v>
      </c>
      <c r="T46" s="667" t="s">
        <v>17</v>
      </c>
      <c r="U46" s="668">
        <f t="shared" si="13"/>
        <v>100</v>
      </c>
      <c r="V46" s="667" t="s">
        <v>17</v>
      </c>
      <c r="W46" s="668">
        <f t="shared" si="14"/>
        <v>100</v>
      </c>
      <c r="X46" s="1264"/>
      <c r="Y46" s="3391"/>
      <c r="Z46" s="1263">
        <f t="shared" si="18"/>
        <v>111</v>
      </c>
      <c r="AA46" s="1263">
        <f t="shared" si="15"/>
        <v>1</v>
      </c>
      <c r="AB46" s="1263">
        <f t="shared" si="16"/>
        <v>1</v>
      </c>
      <c r="AC46" s="1263">
        <f t="shared" si="17"/>
        <v>1</v>
      </c>
    </row>
    <row r="47" spans="1:29">
      <c r="A47" s="416" t="s">
        <v>1708</v>
      </c>
      <c r="B47" s="417"/>
      <c r="C47" s="1080" t="s">
        <v>16</v>
      </c>
      <c r="D47" s="418"/>
      <c r="E47" s="419"/>
      <c r="F47" s="420"/>
      <c r="G47" s="421"/>
      <c r="H47" s="422"/>
      <c r="I47" s="419"/>
      <c r="J47" s="422"/>
      <c r="K47" s="1766"/>
      <c r="L47" s="2494"/>
      <c r="M47" s="2487"/>
      <c r="N47" s="2487"/>
      <c r="O47" s="2487"/>
      <c r="P47" s="3383" t="str">
        <f>A47</f>
        <v>成交单价（元/平方米）</v>
      </c>
      <c r="Q47" s="3383"/>
      <c r="R47" s="3384">
        <f>E47</f>
        <v>0</v>
      </c>
      <c r="S47" s="3384"/>
      <c r="T47" s="3384">
        <f>G47</f>
        <v>0</v>
      </c>
      <c r="U47" s="3384"/>
      <c r="V47" s="3384">
        <f>I47</f>
        <v>0</v>
      </c>
      <c r="W47" s="3384"/>
      <c r="X47" s="385"/>
      <c r="Y47" s="673"/>
      <c r="Z47" s="385"/>
      <c r="AA47" s="385"/>
      <c r="AB47" s="385"/>
      <c r="AC47" s="385"/>
    </row>
    <row r="48" spans="1:29" ht="14.5" thickBot="1">
      <c r="A48" s="423" t="s">
        <v>1709</v>
      </c>
      <c r="B48" s="424"/>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383" t="str">
        <f>A48</f>
        <v>比较价值（元/平方米）</v>
      </c>
      <c r="Q48" s="3383"/>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385"/>
      <c r="Y48" s="385"/>
      <c r="Z48" s="385"/>
      <c r="AA48" s="385"/>
      <c r="AB48" s="385"/>
      <c r="AC48" s="385"/>
    </row>
    <row r="49" spans="1:29" ht="14.5" thickBot="1">
      <c r="A49" s="427" t="s">
        <v>1710</v>
      </c>
      <c r="B49" s="428"/>
      <c r="C49" s="1083" t="e">
        <f>R49</f>
        <v>#DIV/0!</v>
      </c>
      <c r="D49" s="351"/>
      <c r="E49" s="351"/>
      <c r="F49" s="351"/>
      <c r="G49" s="351"/>
      <c r="H49" s="351"/>
      <c r="I49" s="351"/>
      <c r="J49" s="351"/>
      <c r="K49" s="1767"/>
      <c r="L49" s="2494"/>
      <c r="M49" s="2487"/>
      <c r="N49" s="2487"/>
      <c r="O49" s="2487"/>
      <c r="P49" s="3380" t="str">
        <f>A49</f>
        <v>估价对象XX用房的比较价值（楼面单价，元/平方米）</v>
      </c>
      <c r="Q49" s="3381"/>
      <c r="R49" s="3382" t="e">
        <f>IF(F1="售价",ROUND(IF(D48="简单平均",AVERAGE(R48:V48),R48*F48+T48*H48+V48*J48),0),ROUND(IF(D48="简单平均",AVERAGE(R48:V48),R48*F48+T48*H48+V48*J48),1))</f>
        <v>#DIV/0!</v>
      </c>
      <c r="S49" s="3382"/>
      <c r="T49" s="3382"/>
      <c r="U49" s="3382"/>
      <c r="V49" s="3382"/>
      <c r="W49" s="338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5" thickBot="1">
      <c r="A57" s="658" t="s">
        <v>1714</v>
      </c>
      <c r="B57" s="385"/>
      <c r="C57" s="659"/>
      <c r="D57" s="659"/>
      <c r="E57" s="659"/>
      <c r="F57" s="660"/>
      <c r="G57" s="660"/>
      <c r="H57" s="659"/>
      <c r="I57" s="659"/>
      <c r="J57" s="659"/>
      <c r="K57" s="887"/>
      <c r="L57" s="888"/>
      <c r="M57" s="886"/>
      <c r="N57" s="886"/>
      <c r="O57" s="886"/>
      <c r="P57" s="1770"/>
      <c r="Q57" s="439"/>
    </row>
    <row r="58" spans="1:29" s="442" customFormat="1">
      <c r="A58" s="440" t="s">
        <v>1715</v>
      </c>
      <c r="B58" s="441"/>
      <c r="C58" s="1104" t="str">
        <f>YEAR(C7)&amp;"-"&amp;MONTH(C7)</f>
        <v>2025-12</v>
      </c>
      <c r="D58" s="1103">
        <f>EDATE(C58,-1)</f>
        <v>45962</v>
      </c>
      <c r="E58" s="1103">
        <f>EDATE(D58,-1)</f>
        <v>45931</v>
      </c>
      <c r="F58" s="1103">
        <f t="shared" ref="F58:O58" si="19">EDATE(E58,-1)</f>
        <v>45901</v>
      </c>
      <c r="G58" s="1103">
        <f t="shared" si="19"/>
        <v>45870</v>
      </c>
      <c r="H58" s="1103">
        <f t="shared" si="19"/>
        <v>45839</v>
      </c>
      <c r="I58" s="1103">
        <f t="shared" si="19"/>
        <v>45809</v>
      </c>
      <c r="J58" s="1103">
        <f t="shared" si="19"/>
        <v>45778</v>
      </c>
      <c r="K58" s="1103">
        <f t="shared" si="19"/>
        <v>45748</v>
      </c>
      <c r="L58" s="1103">
        <f t="shared" si="19"/>
        <v>45717</v>
      </c>
      <c r="M58" s="1103">
        <f t="shared" si="19"/>
        <v>45689</v>
      </c>
      <c r="N58" s="1103">
        <f t="shared" si="19"/>
        <v>45658</v>
      </c>
      <c r="O58" s="1103">
        <f t="shared" si="19"/>
        <v>45627</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4.5" thickBot="1">
      <c r="A60" s="449" t="s">
        <v>1716</v>
      </c>
      <c r="B60" s="450"/>
      <c r="C60" s="451"/>
      <c r="D60" s="452"/>
      <c r="E60" s="452"/>
      <c r="F60" s="452"/>
      <c r="G60" s="452"/>
      <c r="H60" s="452"/>
      <c r="I60" s="452"/>
      <c r="J60" s="452"/>
      <c r="K60" s="452"/>
      <c r="L60" s="452"/>
      <c r="M60" s="453"/>
      <c r="N60" s="452"/>
      <c r="O60" s="453"/>
      <c r="P60" s="1772"/>
      <c r="Q60" s="439"/>
    </row>
    <row r="61" spans="1:29" s="102" customFormat="1">
      <c r="A61" s="455" t="s">
        <v>1717</v>
      </c>
      <c r="B61" s="444"/>
      <c r="C61" s="456" t="s">
        <v>1718</v>
      </c>
      <c r="D61" s="31"/>
      <c r="E61" s="31"/>
      <c r="F61" s="31"/>
      <c r="G61" s="31"/>
      <c r="H61" s="31"/>
      <c r="I61" s="31"/>
      <c r="J61" s="31"/>
      <c r="K61" s="31"/>
      <c r="L61" s="457"/>
      <c r="M61" s="458"/>
      <c r="N61" s="878"/>
      <c r="O61" s="878"/>
      <c r="P61" s="1773"/>
      <c r="Q61" s="439"/>
    </row>
    <row r="62" spans="1:29" s="102" customFormat="1" ht="14.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4.5" thickBot="1">
      <c r="A64" s="367"/>
      <c r="B64" s="466"/>
      <c r="C64" s="467">
        <v>100</v>
      </c>
      <c r="D64" s="467"/>
      <c r="E64" s="467"/>
      <c r="F64" s="467"/>
      <c r="G64" s="467"/>
      <c r="H64" s="467"/>
      <c r="I64" s="467"/>
      <c r="J64" s="467"/>
      <c r="K64" s="467"/>
      <c r="L64" s="467"/>
      <c r="M64" s="468"/>
      <c r="N64" s="880"/>
      <c r="O64" s="880"/>
      <c r="P64" s="1774"/>
      <c r="Q64" s="439"/>
    </row>
    <row r="65" spans="1:17" ht="28.5" thickTop="1">
      <c r="A65" s="367"/>
      <c r="B65" s="469" t="s">
        <v>1688</v>
      </c>
      <c r="C65" s="513"/>
      <c r="D65" s="513"/>
      <c r="E65" s="513"/>
      <c r="F65" s="513"/>
      <c r="G65" s="513"/>
      <c r="H65" s="513"/>
      <c r="I65" s="513"/>
      <c r="J65" s="513"/>
      <c r="K65" s="513"/>
      <c r="L65" s="513"/>
      <c r="M65" s="513"/>
      <c r="N65" s="880"/>
      <c r="O65" s="880"/>
      <c r="P65" s="1774"/>
      <c r="Q65" s="439"/>
    </row>
    <row r="66" spans="1:17" ht="14.5" thickBot="1">
      <c r="A66" s="367"/>
      <c r="B66" s="474"/>
      <c r="C66" s="467"/>
      <c r="D66" s="467"/>
      <c r="E66" s="467"/>
      <c r="F66" s="467"/>
      <c r="G66" s="467"/>
      <c r="H66" s="467"/>
      <c r="I66" s="467"/>
      <c r="J66" s="467"/>
      <c r="K66" s="467"/>
      <c r="L66" s="467"/>
      <c r="M66" s="468"/>
      <c r="N66" s="880"/>
      <c r="O66" s="880"/>
      <c r="P66" s="1774"/>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c r="D68" s="480"/>
      <c r="E68" s="480"/>
      <c r="F68" s="480"/>
      <c r="G68" s="480"/>
      <c r="H68" s="480"/>
      <c r="I68" s="480"/>
      <c r="J68" s="480"/>
      <c r="K68" s="481"/>
      <c r="L68" s="482"/>
      <c r="M68" s="483"/>
      <c r="N68" s="879"/>
      <c r="O68" s="879"/>
      <c r="P68" s="1774"/>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5" thickTop="1">
      <c r="A70" s="484"/>
      <c r="B70" s="469">
        <f>B12</f>
        <v>111</v>
      </c>
      <c r="C70" s="485"/>
      <c r="D70" s="485"/>
      <c r="E70" s="485"/>
      <c r="F70" s="485"/>
      <c r="G70" s="485"/>
      <c r="H70" s="486"/>
      <c r="I70" s="486"/>
      <c r="J70" s="486"/>
      <c r="K70" s="486"/>
      <c r="L70" s="487"/>
      <c r="M70" s="488"/>
      <c r="N70" s="881"/>
      <c r="O70" s="881"/>
      <c r="P70" s="1775"/>
      <c r="Q70" s="490"/>
    </row>
    <row r="71" spans="1:17" s="408" customFormat="1" ht="14.5" thickBot="1">
      <c r="A71" s="484"/>
      <c r="B71" s="474"/>
      <c r="C71" s="491"/>
      <c r="D71" s="467"/>
      <c r="E71" s="467"/>
      <c r="F71" s="467"/>
      <c r="G71" s="467"/>
      <c r="H71" s="467"/>
      <c r="I71" s="467"/>
      <c r="J71" s="467"/>
      <c r="K71" s="467"/>
      <c r="L71" s="467"/>
      <c r="M71" s="468"/>
      <c r="N71" s="880"/>
      <c r="O71" s="880"/>
      <c r="P71" s="1775"/>
      <c r="Q71" s="490"/>
    </row>
    <row r="72" spans="1:17" s="408" customFormat="1" ht="14.5" thickTop="1">
      <c r="A72" s="484"/>
      <c r="B72" s="469">
        <f>B13</f>
        <v>111</v>
      </c>
      <c r="C72" s="485"/>
      <c r="D72" s="485"/>
      <c r="E72" s="485"/>
      <c r="F72" s="485"/>
      <c r="G72" s="485"/>
      <c r="H72" s="486"/>
      <c r="I72" s="486"/>
      <c r="J72" s="486"/>
      <c r="K72" s="486"/>
      <c r="L72" s="487"/>
      <c r="M72" s="488"/>
      <c r="N72" s="881"/>
      <c r="O72" s="881"/>
      <c r="P72" s="1776"/>
      <c r="Q72" s="492"/>
    </row>
    <row r="73" spans="1:17" s="408" customFormat="1" ht="14.5" thickBot="1">
      <c r="A73" s="484"/>
      <c r="B73" s="474"/>
      <c r="C73" s="491"/>
      <c r="D73" s="491"/>
      <c r="E73" s="491"/>
      <c r="F73" s="491"/>
      <c r="G73" s="491"/>
      <c r="H73" s="493"/>
      <c r="I73" s="493"/>
      <c r="J73" s="493"/>
      <c r="K73" s="493"/>
      <c r="L73" s="493"/>
      <c r="M73" s="494"/>
      <c r="N73" s="881"/>
      <c r="O73" s="881"/>
      <c r="P73" s="1775"/>
      <c r="Q73" s="490"/>
    </row>
    <row r="74" spans="1:17" s="408" customFormat="1" ht="14.5" thickTop="1">
      <c r="A74" s="484"/>
      <c r="B74" s="477">
        <f>B14</f>
        <v>111</v>
      </c>
      <c r="C74" s="485"/>
      <c r="D74" s="485"/>
      <c r="E74" s="485"/>
      <c r="F74" s="485"/>
      <c r="G74" s="31"/>
      <c r="H74" s="495"/>
      <c r="I74" s="495"/>
      <c r="J74" s="495"/>
      <c r="K74" s="495"/>
      <c r="L74" s="496"/>
      <c r="M74" s="497"/>
      <c r="N74" s="881"/>
      <c r="O74" s="881"/>
      <c r="P74" s="1777"/>
      <c r="Q74" s="490"/>
    </row>
    <row r="75" spans="1:17" s="408" customFormat="1" ht="14.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4.5" thickTop="1">
      <c r="A88" s="370"/>
      <c r="B88" s="469" t="s">
        <v>1735</v>
      </c>
      <c r="C88" s="485"/>
      <c r="D88" s="485"/>
      <c r="E88" s="485"/>
      <c r="F88" s="1779"/>
      <c r="G88" s="485"/>
      <c r="H88" s="485"/>
      <c r="I88" s="485"/>
      <c r="J88" s="485"/>
      <c r="K88" s="485"/>
      <c r="L88" s="485"/>
      <c r="M88" s="511"/>
      <c r="N88" s="878"/>
      <c r="O88" s="878"/>
      <c r="P88" s="1774"/>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5" thickTop="1">
      <c r="A90" s="484"/>
      <c r="B90" s="469">
        <f>B27</f>
        <v>111</v>
      </c>
      <c r="C90" s="485"/>
      <c r="D90" s="485"/>
      <c r="E90" s="485"/>
      <c r="F90" s="485"/>
      <c r="G90" s="485"/>
      <c r="H90" s="486"/>
      <c r="I90" s="486"/>
      <c r="J90" s="486"/>
      <c r="K90" s="486"/>
      <c r="L90" s="487"/>
      <c r="M90" s="488"/>
      <c r="N90" s="881"/>
      <c r="O90" s="881"/>
      <c r="P90" s="1775"/>
      <c r="Q90" s="490"/>
    </row>
    <row r="91" spans="1:17" s="408" customFormat="1" ht="14.5" thickBot="1">
      <c r="A91" s="484"/>
      <c r="B91" s="474"/>
      <c r="C91" s="491"/>
      <c r="D91" s="491"/>
      <c r="E91" s="491"/>
      <c r="F91" s="491"/>
      <c r="G91" s="491"/>
      <c r="H91" s="493"/>
      <c r="I91" s="493"/>
      <c r="J91" s="493"/>
      <c r="K91" s="493"/>
      <c r="L91" s="493"/>
      <c r="M91" s="494"/>
      <c r="N91" s="881"/>
      <c r="O91" s="881"/>
      <c r="P91" s="1775"/>
      <c r="Q91" s="490"/>
    </row>
    <row r="92" spans="1:17" ht="14.5" thickTop="1">
      <c r="A92" s="367"/>
      <c r="B92" s="469">
        <f>B28</f>
        <v>111</v>
      </c>
      <c r="C92" s="485"/>
      <c r="D92" s="485"/>
      <c r="E92" s="485"/>
      <c r="F92" s="485"/>
      <c r="G92" s="513"/>
      <c r="H92" s="513"/>
      <c r="I92" s="513"/>
      <c r="J92" s="513"/>
      <c r="K92" s="514"/>
      <c r="L92" s="515"/>
      <c r="M92" s="516"/>
      <c r="N92" s="879"/>
      <c r="O92" s="879"/>
      <c r="P92" s="1774"/>
      <c r="Q92" s="439"/>
    </row>
    <row r="93" spans="1:17" ht="14.5" thickBot="1">
      <c r="A93" s="367"/>
      <c r="B93" s="474"/>
      <c r="C93" s="491"/>
      <c r="D93" s="467"/>
      <c r="E93" s="467"/>
      <c r="F93" s="467"/>
      <c r="G93" s="467"/>
      <c r="H93" s="467"/>
      <c r="I93" s="467"/>
      <c r="J93" s="467"/>
      <c r="K93" s="467"/>
      <c r="L93" s="467"/>
      <c r="M93" s="468"/>
      <c r="N93" s="880"/>
      <c r="O93" s="880"/>
      <c r="P93" s="1774"/>
      <c r="Q93" s="439"/>
    </row>
    <row r="94" spans="1:17" ht="14.5" thickTop="1">
      <c r="A94" s="367"/>
      <c r="B94" s="469">
        <f>B29</f>
        <v>111</v>
      </c>
      <c r="C94" s="485"/>
      <c r="D94" s="485"/>
      <c r="E94" s="485"/>
      <c r="F94" s="485"/>
      <c r="G94" s="513"/>
      <c r="H94" s="513"/>
      <c r="I94" s="513"/>
      <c r="J94" s="513"/>
      <c r="K94" s="514"/>
      <c r="L94" s="515"/>
      <c r="M94" s="516"/>
      <c r="N94" s="879"/>
      <c r="O94" s="879"/>
      <c r="P94" s="1774"/>
      <c r="Q94" s="439"/>
    </row>
    <row r="95" spans="1:17" ht="14.5" thickBot="1">
      <c r="A95" s="367"/>
      <c r="B95" s="474"/>
      <c r="C95" s="491"/>
      <c r="D95" s="491"/>
      <c r="E95" s="491"/>
      <c r="F95" s="491"/>
      <c r="G95" s="467"/>
      <c r="H95" s="467"/>
      <c r="I95" s="467"/>
      <c r="J95" s="467"/>
      <c r="K95" s="467"/>
      <c r="L95" s="467"/>
      <c r="M95" s="468"/>
      <c r="N95" s="880"/>
      <c r="O95" s="880"/>
      <c r="P95" s="1774"/>
      <c r="Q95" s="439"/>
    </row>
    <row r="96" spans="1:17" ht="14.5" thickTop="1">
      <c r="A96" s="367"/>
      <c r="B96" s="469">
        <f>B30</f>
        <v>111</v>
      </c>
      <c r="C96" s="485"/>
      <c r="D96" s="485"/>
      <c r="E96" s="485"/>
      <c r="F96" s="485"/>
      <c r="G96" s="513"/>
      <c r="H96" s="513"/>
      <c r="I96" s="513"/>
      <c r="J96" s="513"/>
      <c r="K96" s="514"/>
      <c r="L96" s="515"/>
      <c r="M96" s="516"/>
      <c r="N96" s="879"/>
      <c r="O96" s="879"/>
      <c r="P96" s="1774"/>
      <c r="Q96" s="439"/>
    </row>
    <row r="97" spans="1:17" ht="14.5" thickBot="1">
      <c r="A97" s="367"/>
      <c r="B97" s="474"/>
      <c r="C97" s="501"/>
      <c r="D97" s="501"/>
      <c r="E97" s="501"/>
      <c r="F97" s="501"/>
      <c r="G97" s="467"/>
      <c r="H97" s="467"/>
      <c r="I97" s="467"/>
      <c r="J97" s="467"/>
      <c r="K97" s="467"/>
      <c r="L97" s="467"/>
      <c r="M97" s="468"/>
      <c r="N97" s="880"/>
      <c r="O97" s="880"/>
      <c r="P97" s="1774"/>
      <c r="Q97" s="439"/>
    </row>
    <row r="98" spans="1:17" ht="14.5" thickTop="1">
      <c r="A98" s="367"/>
      <c r="B98" s="477">
        <f>B31</f>
        <v>111</v>
      </c>
      <c r="C98" s="517"/>
      <c r="D98" s="517"/>
      <c r="E98" s="517"/>
      <c r="F98" s="517"/>
      <c r="G98" s="517"/>
      <c r="H98" s="517"/>
      <c r="I98" s="517"/>
      <c r="J98" s="517"/>
      <c r="K98" s="518"/>
      <c r="L98" s="519"/>
      <c r="M98" s="520"/>
      <c r="N98" s="879"/>
      <c r="O98" s="879"/>
      <c r="P98" s="1774"/>
      <c r="Q98" s="439"/>
    </row>
    <row r="99" spans="1:17" ht="14.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4.5" thickBot="1">
      <c r="A104" s="484"/>
      <c r="B104" s="474"/>
      <c r="C104" s="491"/>
      <c r="D104" s="467"/>
      <c r="E104" s="467"/>
      <c r="F104" s="467"/>
      <c r="G104" s="467"/>
      <c r="H104" s="467"/>
      <c r="I104" s="467"/>
      <c r="J104" s="467"/>
      <c r="K104" s="467"/>
      <c r="L104" s="467"/>
      <c r="M104" s="467"/>
      <c r="N104" s="880"/>
      <c r="O104" s="880"/>
      <c r="P104" s="1775"/>
      <c r="Q104" s="490"/>
    </row>
    <row r="105" spans="1:17" ht="14.5" thickTop="1">
      <c r="A105" s="409"/>
      <c r="B105" s="469" t="s">
        <v>1738</v>
      </c>
      <c r="C105" s="485"/>
      <c r="D105" s="485"/>
      <c r="E105" s="513"/>
      <c r="F105" s="513"/>
      <c r="G105" s="513"/>
      <c r="H105" s="513"/>
      <c r="I105" s="513"/>
      <c r="J105" s="513"/>
      <c r="K105" s="514"/>
      <c r="L105" s="515"/>
      <c r="M105" s="516"/>
      <c r="N105" s="879"/>
      <c r="O105" s="879"/>
      <c r="P105" s="1774"/>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4.5" thickTop="1">
      <c r="A107" s="409"/>
      <c r="B107" s="469" t="s">
        <v>1739</v>
      </c>
      <c r="C107" s="513"/>
      <c r="D107" s="513"/>
      <c r="E107" s="513"/>
      <c r="F107" s="513"/>
      <c r="G107" s="513"/>
      <c r="H107" s="513"/>
      <c r="I107" s="513"/>
      <c r="J107" s="513"/>
      <c r="K107" s="514"/>
      <c r="L107" s="515"/>
      <c r="M107" s="516"/>
      <c r="N107" s="879"/>
      <c r="O107" s="879"/>
      <c r="P107" s="1774"/>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4.5" thickTop="1">
      <c r="A109" s="409"/>
      <c r="B109" s="469" t="s">
        <v>1740</v>
      </c>
      <c r="C109" s="485"/>
      <c r="D109" s="485"/>
      <c r="E109" s="485"/>
      <c r="F109" s="513"/>
      <c r="G109" s="513"/>
      <c r="H109" s="513"/>
      <c r="I109" s="513"/>
      <c r="J109" s="513"/>
      <c r="K109" s="514"/>
      <c r="L109" s="515"/>
      <c r="M109" s="516"/>
      <c r="N109" s="879"/>
      <c r="O109" s="879"/>
      <c r="P109" s="1774"/>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4.5" thickTop="1">
      <c r="A114" s="409"/>
      <c r="B114" s="469" t="s">
        <v>1741</v>
      </c>
      <c r="C114" s="485"/>
      <c r="D114" s="485"/>
      <c r="E114" s="513"/>
      <c r="F114" s="513"/>
      <c r="G114" s="513"/>
      <c r="H114" s="513"/>
      <c r="I114" s="513"/>
      <c r="J114" s="513"/>
      <c r="K114" s="514"/>
      <c r="L114" s="515"/>
      <c r="M114" s="516"/>
      <c r="N114" s="879"/>
      <c r="O114" s="879"/>
      <c r="P114" s="1774"/>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4.5" thickTop="1">
      <c r="A116" s="409"/>
      <c r="B116" s="469" t="s">
        <v>1742</v>
      </c>
      <c r="C116" s="485"/>
      <c r="D116" s="485"/>
      <c r="E116" s="485"/>
      <c r="F116" s="485"/>
      <c r="G116" s="485"/>
      <c r="H116" s="513"/>
      <c r="I116" s="513"/>
      <c r="J116" s="513"/>
      <c r="K116" s="514"/>
      <c r="L116" s="515"/>
      <c r="M116" s="516"/>
      <c r="N116" s="879"/>
      <c r="O116" s="879"/>
      <c r="P116" s="1774"/>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4.5" thickTop="1">
      <c r="A118" s="409"/>
      <c r="B118" s="469" t="s">
        <v>1743</v>
      </c>
      <c r="C118" s="513"/>
      <c r="D118" s="513"/>
      <c r="E118" s="513"/>
      <c r="F118" s="513"/>
      <c r="G118" s="513"/>
      <c r="H118" s="513"/>
      <c r="I118" s="513"/>
      <c r="J118" s="513"/>
      <c r="K118" s="514"/>
      <c r="L118" s="515"/>
      <c r="M118" s="516"/>
      <c r="N118" s="879"/>
      <c r="O118" s="879"/>
      <c r="P118" s="1774"/>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5" thickBot="1">
      <c r="A121" s="484"/>
      <c r="B121" s="466"/>
      <c r="C121" s="491"/>
      <c r="D121" s="467"/>
      <c r="E121" s="467"/>
      <c r="F121" s="467"/>
      <c r="G121" s="467"/>
      <c r="H121" s="467"/>
      <c r="I121" s="467"/>
      <c r="J121" s="467"/>
      <c r="K121" s="467"/>
      <c r="L121" s="467"/>
      <c r="M121" s="467"/>
      <c r="N121" s="881"/>
      <c r="O121" s="881"/>
      <c r="P121" s="1775"/>
      <c r="Q121" s="490"/>
    </row>
    <row r="122" spans="1:17" ht="14.5" thickTop="1">
      <c r="A122" s="409"/>
      <c r="B122" s="469" t="s">
        <v>1744</v>
      </c>
      <c r="C122" s="485"/>
      <c r="D122" s="485"/>
      <c r="E122" s="485"/>
      <c r="F122" s="513"/>
      <c r="G122" s="513"/>
      <c r="H122" s="513"/>
      <c r="I122" s="513"/>
      <c r="J122" s="513"/>
      <c r="K122" s="514"/>
      <c r="L122" s="515"/>
      <c r="M122" s="516"/>
      <c r="N122" s="879"/>
      <c r="O122" s="879"/>
      <c r="P122" s="1774"/>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5" thickBot="1">
      <c r="A127" s="484"/>
      <c r="B127" s="474"/>
      <c r="C127" s="491"/>
      <c r="D127" s="467"/>
      <c r="E127" s="467"/>
      <c r="F127" s="467"/>
      <c r="G127" s="491"/>
      <c r="H127" s="493"/>
      <c r="I127" s="493"/>
      <c r="J127" s="493"/>
      <c r="K127" s="493"/>
      <c r="L127" s="493"/>
      <c r="M127" s="494"/>
      <c r="N127" s="881"/>
      <c r="O127" s="881"/>
      <c r="P127" s="1775"/>
      <c r="Q127" s="490"/>
    </row>
    <row r="128" spans="1:17" ht="14.5" thickTop="1">
      <c r="A128" s="409"/>
      <c r="B128" s="469">
        <f>B45</f>
        <v>111</v>
      </c>
      <c r="C128" s="485"/>
      <c r="D128" s="485"/>
      <c r="E128" s="485"/>
      <c r="F128" s="485"/>
      <c r="G128" s="513"/>
      <c r="H128" s="513"/>
      <c r="I128" s="513"/>
      <c r="J128" s="513"/>
      <c r="K128" s="514"/>
      <c r="L128" s="515"/>
      <c r="M128" s="516"/>
      <c r="N128" s="879"/>
      <c r="O128" s="879"/>
      <c r="P128" s="1774"/>
      <c r="Q128" s="439"/>
    </row>
    <row r="129" spans="1:17" ht="14.5" thickBot="1">
      <c r="A129" s="367"/>
      <c r="B129" s="474"/>
      <c r="C129" s="491"/>
      <c r="D129" s="491"/>
      <c r="E129" s="491"/>
      <c r="F129" s="491"/>
      <c r="G129" s="467"/>
      <c r="H129" s="467"/>
      <c r="I129" s="467"/>
      <c r="J129" s="467"/>
      <c r="K129" s="467"/>
      <c r="L129" s="467"/>
      <c r="M129" s="468"/>
      <c r="N129" s="880"/>
      <c r="O129" s="880"/>
      <c r="P129" s="1774"/>
      <c r="Q129" s="439"/>
    </row>
    <row r="130" spans="1:17" ht="14.5" thickTop="1">
      <c r="A130" s="409"/>
      <c r="B130" s="477">
        <f>B46</f>
        <v>111</v>
      </c>
      <c r="C130" s="485"/>
      <c r="D130" s="485"/>
      <c r="E130" s="485"/>
      <c r="F130" s="485"/>
      <c r="G130" s="517"/>
      <c r="H130" s="517"/>
      <c r="I130" s="517"/>
      <c r="J130" s="517"/>
      <c r="K130" s="31"/>
      <c r="L130" s="457"/>
      <c r="M130" s="520"/>
      <c r="N130" s="879"/>
      <c r="O130" s="879"/>
      <c r="P130" s="1774"/>
      <c r="Q130" s="439"/>
    </row>
    <row r="131" spans="1:17" ht="14.5" thickBot="1">
      <c r="A131" s="375"/>
      <c r="B131" s="500"/>
      <c r="C131" s="501"/>
      <c r="D131" s="501"/>
      <c r="E131" s="501"/>
      <c r="F131" s="501"/>
      <c r="G131" s="521"/>
      <c r="H131" s="521"/>
      <c r="I131" s="521"/>
      <c r="J131" s="521"/>
      <c r="K131" s="521"/>
      <c r="L131" s="521"/>
      <c r="M131" s="522"/>
      <c r="N131" s="880"/>
      <c r="O131" s="880"/>
      <c r="P131" s="1774"/>
      <c r="Q131" s="439"/>
    </row>
    <row r="136" spans="1:17" ht="14.5" thickBot="1">
      <c r="B136" s="1780" t="s">
        <v>1746</v>
      </c>
    </row>
    <row r="137" spans="1:17" ht="15.5">
      <c r="B137" s="1781" t="s">
        <v>1747</v>
      </c>
      <c r="C137" s="1782"/>
      <c r="D137" s="1782"/>
      <c r="E137" s="1782"/>
      <c r="F137" s="1782"/>
      <c r="G137" s="1783"/>
      <c r="H137" s="1784"/>
      <c r="I137" s="1785" t="s">
        <v>1748</v>
      </c>
      <c r="J137" s="1782"/>
      <c r="K137" s="1786"/>
    </row>
    <row r="138" spans="1:17" ht="15.5">
      <c r="B138" s="1787"/>
      <c r="C138" s="129" t="s">
        <v>1749</v>
      </c>
      <c r="D138" s="129" t="s">
        <v>1750</v>
      </c>
      <c r="E138" s="1788" t="s">
        <v>1751</v>
      </c>
      <c r="F138" s="1789" t="s">
        <v>1752</v>
      </c>
      <c r="G138" s="129" t="s">
        <v>1750</v>
      </c>
      <c r="H138" s="130" t="s">
        <v>1751</v>
      </c>
      <c r="I138" s="1790"/>
      <c r="J138" s="129" t="s">
        <v>1753</v>
      </c>
      <c r="K138" s="130" t="s">
        <v>1754</v>
      </c>
    </row>
    <row r="139" spans="1:17" ht="15.5">
      <c r="B139" s="814">
        <v>6</v>
      </c>
      <c r="C139" s="815">
        <v>96</v>
      </c>
      <c r="D139" s="1791" t="s">
        <v>1755</v>
      </c>
      <c r="E139" s="816">
        <v>100</v>
      </c>
      <c r="F139" s="817">
        <v>102.5</v>
      </c>
      <c r="G139" s="1791" t="s">
        <v>1755</v>
      </c>
      <c r="H139" s="818">
        <v>105</v>
      </c>
      <c r="I139" s="1792" t="s">
        <v>1756</v>
      </c>
      <c r="J139" s="815">
        <v>20</v>
      </c>
      <c r="K139" s="819">
        <f>C145/(J139-2)</f>
        <v>4.0555555555555553E-3</v>
      </c>
    </row>
    <row r="140" spans="1:17" ht="15.5">
      <c r="B140" s="820">
        <v>5</v>
      </c>
      <c r="C140" s="821">
        <v>100</v>
      </c>
      <c r="D140" s="821"/>
      <c r="E140" s="822"/>
      <c r="F140" s="823">
        <v>102</v>
      </c>
      <c r="G140" s="821"/>
      <c r="H140" s="824"/>
      <c r="I140" s="1793" t="s">
        <v>1757</v>
      </c>
      <c r="J140" s="263">
        <f>ROUNDUP((J139-1)/2,0)</f>
        <v>10</v>
      </c>
      <c r="K140" s="825">
        <v>100</v>
      </c>
    </row>
    <row r="141" spans="1:17" ht="15.5">
      <c r="B141" s="820">
        <v>4</v>
      </c>
      <c r="C141" s="821">
        <v>102</v>
      </c>
      <c r="D141" s="821"/>
      <c r="E141" s="822"/>
      <c r="F141" s="823">
        <v>101.5</v>
      </c>
      <c r="G141" s="821"/>
      <c r="H141" s="824"/>
      <c r="I141" s="1793" t="s">
        <v>1758</v>
      </c>
      <c r="J141" s="263">
        <v>1</v>
      </c>
      <c r="K141" s="826">
        <f>ROUND(100+(J141-J140)*K139*100,1)</f>
        <v>96.4</v>
      </c>
    </row>
    <row r="142" spans="1:17" ht="15.5">
      <c r="B142" s="820">
        <v>3</v>
      </c>
      <c r="C142" s="821">
        <v>103</v>
      </c>
      <c r="D142" s="821"/>
      <c r="E142" s="822"/>
      <c r="F142" s="823">
        <v>101</v>
      </c>
      <c r="G142" s="821"/>
      <c r="H142" s="824"/>
      <c r="I142" s="1793" t="s">
        <v>1759</v>
      </c>
      <c r="J142" s="263">
        <f>J139</f>
        <v>20</v>
      </c>
      <c r="K142" s="827">
        <v>95</v>
      </c>
    </row>
    <row r="143" spans="1:17" ht="15.5">
      <c r="B143" s="820">
        <v>2</v>
      </c>
      <c r="C143" s="821">
        <v>100</v>
      </c>
      <c r="D143" s="821"/>
      <c r="E143" s="822"/>
      <c r="F143" s="823">
        <v>100.5</v>
      </c>
      <c r="G143" s="821"/>
      <c r="H143" s="824"/>
      <c r="I143" s="1793" t="s">
        <v>1760</v>
      </c>
      <c r="J143" s="821">
        <v>15</v>
      </c>
      <c r="K143" s="826">
        <f>ROUND(100+(J143-J140)*K139*100,1)</f>
        <v>102</v>
      </c>
    </row>
    <row r="144" spans="1:17" ht="15.5">
      <c r="B144" s="820">
        <v>1</v>
      </c>
      <c r="C144" s="821">
        <v>98</v>
      </c>
      <c r="D144" s="1794" t="s">
        <v>1761</v>
      </c>
      <c r="E144" s="822">
        <v>102</v>
      </c>
      <c r="F144" s="828">
        <v>100</v>
      </c>
      <c r="G144" s="1794" t="s">
        <v>1761</v>
      </c>
      <c r="H144" s="824">
        <v>105</v>
      </c>
      <c r="I144" s="1793" t="s">
        <v>1760</v>
      </c>
      <c r="J144" s="821">
        <v>18</v>
      </c>
      <c r="K144" s="826">
        <f>ROUND(100+(J144-J140)*K139*100,1)</f>
        <v>103.2</v>
      </c>
    </row>
    <row r="145" spans="2:11" ht="16"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8"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2738.73</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408" t="s">
        <v>1771</v>
      </c>
      <c r="S4" s="3409"/>
      <c r="T4" s="3408" t="s">
        <v>1772</v>
      </c>
      <c r="U4" s="3409"/>
      <c r="V4" s="3384" t="s">
        <v>1773</v>
      </c>
      <c r="W4" s="3384"/>
      <c r="X4" s="1264"/>
      <c r="Y4" s="3408" t="s">
        <v>1775</v>
      </c>
      <c r="Z4" s="3409"/>
      <c r="AA4" s="3395" t="s">
        <v>1771</v>
      </c>
      <c r="AB4" s="3384" t="s">
        <v>1772</v>
      </c>
      <c r="AC4" s="3395" t="s">
        <v>1773</v>
      </c>
    </row>
    <row r="5" spans="1:29">
      <c r="A5" s="348"/>
      <c r="B5" s="349"/>
      <c r="C5" s="3416" t="s">
        <v>1673</v>
      </c>
      <c r="D5" s="3417"/>
      <c r="E5" s="3423" t="s">
        <v>1674</v>
      </c>
      <c r="F5" s="3424"/>
      <c r="G5" s="3416" t="s">
        <v>1675</v>
      </c>
      <c r="H5" s="3417"/>
      <c r="I5" s="3416" t="s">
        <v>1676</v>
      </c>
      <c r="J5" s="3417"/>
      <c r="K5" s="537"/>
      <c r="L5" s="2486"/>
      <c r="M5" s="2487"/>
      <c r="N5" s="2487"/>
      <c r="O5" s="2487"/>
      <c r="P5" s="3404"/>
      <c r="Q5" s="3405"/>
      <c r="R5" s="3410"/>
      <c r="S5" s="3411"/>
      <c r="T5" s="3410"/>
      <c r="U5" s="3411"/>
      <c r="V5" s="3384"/>
      <c r="W5" s="3384"/>
      <c r="X5" s="1264"/>
      <c r="Y5" s="3410"/>
      <c r="Z5" s="3411"/>
      <c r="AA5" s="3396"/>
      <c r="AB5" s="3384"/>
      <c r="AC5" s="3396"/>
    </row>
    <row r="6" spans="1:29" ht="15" thickBot="1">
      <c r="A6" s="350"/>
      <c r="B6" s="351"/>
      <c r="C6" s="3414" t="s">
        <v>1677</v>
      </c>
      <c r="D6" s="3415"/>
      <c r="E6" s="3421" t="s">
        <v>1677</v>
      </c>
      <c r="F6" s="3422"/>
      <c r="G6" s="3414" t="s">
        <v>1677</v>
      </c>
      <c r="H6" s="3415"/>
      <c r="I6" s="3414" t="s">
        <v>1677</v>
      </c>
      <c r="J6" s="3415"/>
      <c r="K6" s="537" t="s">
        <v>1678</v>
      </c>
      <c r="L6" s="2486"/>
      <c r="M6" s="2487"/>
      <c r="N6" s="2487"/>
      <c r="O6" s="2487"/>
      <c r="P6" s="3406"/>
      <c r="Q6" s="3407"/>
      <c r="R6" s="3410"/>
      <c r="S6" s="3411"/>
      <c r="T6" s="3412"/>
      <c r="U6" s="3413"/>
      <c r="V6" s="3384"/>
      <c r="W6" s="3384"/>
      <c r="X6" s="1264"/>
      <c r="Y6" s="3412"/>
      <c r="Z6" s="3413"/>
      <c r="AA6" s="3397"/>
      <c r="AB6" s="3384"/>
      <c r="AC6" s="3397"/>
    </row>
    <row r="7" spans="1:29" s="102" customFormat="1" ht="14.5" thickBot="1">
      <c r="A7" s="352" t="s">
        <v>1679</v>
      </c>
      <c r="B7" s="353"/>
      <c r="C7" s="354">
        <f>'数据-取费表'!B2</f>
        <v>46022</v>
      </c>
      <c r="D7" s="355">
        <v>100</v>
      </c>
      <c r="E7" s="356"/>
      <c r="F7" s="357">
        <f>SUMIF(58:58,YEAR(E7)&amp;"-"&amp;MONTH(E7),59:59)</f>
        <v>0</v>
      </c>
      <c r="G7" s="356"/>
      <c r="H7" s="355">
        <f>SUMIF(58:58,YEAR(G7)&amp;"-"&amp;MONTH(G7),59:59)</f>
        <v>0</v>
      </c>
      <c r="I7" s="356"/>
      <c r="J7" s="355">
        <f>SUMIF(58:58,YEAR(I7)&amp;"-"&amp;MONTH(I7),59:59)</f>
        <v>0</v>
      </c>
      <c r="K7" s="38"/>
      <c r="L7" s="2488"/>
      <c r="M7" s="2439"/>
      <c r="N7" s="2439"/>
      <c r="O7" s="2439"/>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18" t="s">
        <v>1683</v>
      </c>
      <c r="Q8" s="3419"/>
      <c r="R8" s="664" t="s">
        <v>14</v>
      </c>
      <c r="S8" s="665">
        <f t="shared" si="0"/>
        <v>100</v>
      </c>
      <c r="T8" s="664" t="s">
        <v>14</v>
      </c>
      <c r="U8" s="665">
        <f t="shared" si="1"/>
        <v>100</v>
      </c>
      <c r="V8" s="664" t="s">
        <v>14</v>
      </c>
      <c r="W8" s="665">
        <f t="shared" si="2"/>
        <v>100</v>
      </c>
      <c r="X8" s="666"/>
      <c r="Y8" s="3418" t="s">
        <v>1683</v>
      </c>
      <c r="Z8" s="341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4"/>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4"/>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4"/>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4"/>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70">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2" t="s">
        <v>1691</v>
      </c>
      <c r="Q15" s="1262" t="str">
        <f t="shared" si="6"/>
        <v>商业繁华度</v>
      </c>
      <c r="R15" s="667" t="s">
        <v>14</v>
      </c>
      <c r="S15" s="668">
        <f t="shared" si="0"/>
        <v>100</v>
      </c>
      <c r="T15" s="667" t="s">
        <v>14</v>
      </c>
      <c r="U15" s="668">
        <f t="shared" si="1"/>
        <v>100</v>
      </c>
      <c r="V15" s="667" t="s">
        <v>14</v>
      </c>
      <c r="W15" s="668">
        <f t="shared" si="2"/>
        <v>100</v>
      </c>
      <c r="X15" s="1264"/>
      <c r="Y15" s="3385" t="s">
        <v>1691</v>
      </c>
      <c r="Z15" s="1263" t="str">
        <f t="shared" si="7"/>
        <v>商业繁华度</v>
      </c>
      <c r="AA15" s="1263">
        <f t="shared" si="3"/>
        <v>1</v>
      </c>
      <c r="AB15" s="1263">
        <f t="shared" si="4"/>
        <v>1</v>
      </c>
      <c r="AC15" s="1263">
        <f t="shared" si="5"/>
        <v>1</v>
      </c>
    </row>
    <row r="16" spans="1:29" ht="15.5">
      <c r="A16" s="367"/>
      <c r="B16" s="385"/>
      <c r="C16" s="386"/>
      <c r="D16" s="387"/>
      <c r="E16" s="386"/>
      <c r="F16" s="388"/>
      <c r="G16" s="386"/>
      <c r="H16" s="389"/>
      <c r="I16" s="386"/>
      <c r="J16" s="387"/>
      <c r="K16" s="541"/>
      <c r="L16" s="2492"/>
      <c r="M16" s="2487"/>
      <c r="N16" s="2487"/>
      <c r="O16" s="2487"/>
      <c r="P16" s="3393"/>
      <c r="Q16" s="1262"/>
      <c r="R16" s="667"/>
      <c r="S16" s="668"/>
      <c r="T16" s="667"/>
      <c r="U16" s="668"/>
      <c r="V16" s="667"/>
      <c r="W16" s="668"/>
      <c r="X16" s="1264"/>
      <c r="Y16" s="3386"/>
      <c r="Z16" s="1263"/>
      <c r="AA16" s="1263">
        <v>1</v>
      </c>
      <c r="AB16" s="1263">
        <v>1</v>
      </c>
      <c r="AC16" s="1263">
        <v>1</v>
      </c>
    </row>
    <row r="17" spans="1:29" ht="84">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3"/>
      <c r="Q17" s="1262" t="str">
        <f>B17</f>
        <v>交通便捷度</v>
      </c>
      <c r="R17" s="667" t="s">
        <v>14</v>
      </c>
      <c r="S17" s="668">
        <f>F17</f>
        <v>100</v>
      </c>
      <c r="T17" s="667" t="s">
        <v>14</v>
      </c>
      <c r="U17" s="668">
        <f>H17</f>
        <v>100</v>
      </c>
      <c r="V17" s="667" t="s">
        <v>14</v>
      </c>
      <c r="W17" s="668">
        <f>J17</f>
        <v>100</v>
      </c>
      <c r="X17" s="1264"/>
      <c r="Y17" s="3386"/>
      <c r="Z17" s="1263" t="str">
        <f>Q17</f>
        <v>交通便捷度</v>
      </c>
      <c r="AA17" s="1263">
        <f t="shared" si="3"/>
        <v>1</v>
      </c>
      <c r="AB17" s="1263">
        <f t="shared" si="4"/>
        <v>1</v>
      </c>
      <c r="AC17" s="1263">
        <f t="shared" si="5"/>
        <v>1</v>
      </c>
    </row>
    <row r="18" spans="1:29" ht="15.5">
      <c r="A18" s="367"/>
      <c r="B18" s="395"/>
      <c r="C18" s="1754"/>
      <c r="D18" s="389"/>
      <c r="E18" s="1756"/>
      <c r="F18" s="392"/>
      <c r="G18" s="1755"/>
      <c r="H18" s="387"/>
      <c r="I18" s="1756"/>
      <c r="J18" s="387"/>
      <c r="K18" s="541"/>
      <c r="L18" s="2492"/>
      <c r="M18" s="2487"/>
      <c r="N18" s="2487"/>
      <c r="O18" s="2487"/>
      <c r="P18" s="3393"/>
      <c r="Q18" s="1262"/>
      <c r="R18" s="667"/>
      <c r="S18" s="668"/>
      <c r="T18" s="667"/>
      <c r="U18" s="668"/>
      <c r="V18" s="667"/>
      <c r="W18" s="668"/>
      <c r="X18" s="1264"/>
      <c r="Y18" s="3386"/>
      <c r="Z18" s="1263"/>
      <c r="AA18" s="1263">
        <v>1</v>
      </c>
      <c r="AB18" s="1263">
        <v>1</v>
      </c>
      <c r="AC18" s="1263">
        <v>1</v>
      </c>
    </row>
    <row r="19" spans="1:29" ht="42">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3"/>
      <c r="Q19" s="1262" t="str">
        <f>B19</f>
        <v>公共配套设施</v>
      </c>
      <c r="R19" s="667" t="s">
        <v>14</v>
      </c>
      <c r="S19" s="668">
        <f>F19</f>
        <v>100</v>
      </c>
      <c r="T19" s="667" t="s">
        <v>14</v>
      </c>
      <c r="U19" s="668">
        <f>H19</f>
        <v>100</v>
      </c>
      <c r="V19" s="667" t="s">
        <v>14</v>
      </c>
      <c r="W19" s="668">
        <f>J19</f>
        <v>100</v>
      </c>
      <c r="X19" s="1264"/>
      <c r="Y19" s="3386"/>
      <c r="Z19" s="1263" t="str">
        <f>Q19</f>
        <v>公共配套设施</v>
      </c>
      <c r="AA19" s="1263">
        <f t="shared" si="3"/>
        <v>1</v>
      </c>
      <c r="AB19" s="1263">
        <f t="shared" si="4"/>
        <v>1</v>
      </c>
      <c r="AC19" s="1263">
        <f t="shared" si="5"/>
        <v>1</v>
      </c>
    </row>
    <row r="20" spans="1:29" ht="15.5">
      <c r="A20" s="367"/>
      <c r="B20" s="395"/>
      <c r="C20" s="386"/>
      <c r="D20" s="387"/>
      <c r="E20" s="1751"/>
      <c r="F20" s="388"/>
      <c r="G20" s="1750"/>
      <c r="H20" s="387"/>
      <c r="I20" s="1751"/>
      <c r="J20" s="387"/>
      <c r="K20" s="541"/>
      <c r="L20" s="2492"/>
      <c r="M20" s="2487"/>
      <c r="N20" s="2487"/>
      <c r="O20" s="2487"/>
      <c r="P20" s="3393"/>
      <c r="Q20" s="1262"/>
      <c r="R20" s="667"/>
      <c r="S20" s="668"/>
      <c r="T20" s="667"/>
      <c r="U20" s="668"/>
      <c r="V20" s="667"/>
      <c r="W20" s="668"/>
      <c r="X20" s="1264"/>
      <c r="Y20" s="3386"/>
      <c r="Z20" s="1263"/>
      <c r="AA20" s="1263">
        <v>1</v>
      </c>
      <c r="AB20" s="1263">
        <v>1</v>
      </c>
      <c r="AC20" s="1263">
        <v>1</v>
      </c>
    </row>
    <row r="21" spans="1:29" ht="28">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3"/>
      <c r="Q21" s="1262" t="str">
        <f>B21</f>
        <v>基础设施水平</v>
      </c>
      <c r="R21" s="667" t="s">
        <v>14</v>
      </c>
      <c r="S21" s="668">
        <f>F21</f>
        <v>100</v>
      </c>
      <c r="T21" s="667" t="s">
        <v>14</v>
      </c>
      <c r="U21" s="668">
        <f>H21</f>
        <v>100</v>
      </c>
      <c r="V21" s="667" t="s">
        <v>14</v>
      </c>
      <c r="W21" s="668">
        <f>J21</f>
        <v>100</v>
      </c>
      <c r="X21" s="1264"/>
      <c r="Y21" s="3386"/>
      <c r="Z21" s="1263" t="str">
        <f>Q21</f>
        <v>基础设施水平</v>
      </c>
      <c r="AA21" s="1263">
        <f t="shared" ref="AA21" si="8">D21/F21</f>
        <v>1</v>
      </c>
      <c r="AB21" s="1263">
        <f t="shared" ref="AB21" si="9">D21/H21</f>
        <v>1</v>
      </c>
      <c r="AC21" s="1263">
        <f t="shared" ref="AC21" si="10">D21/J21</f>
        <v>1</v>
      </c>
    </row>
    <row r="22" spans="1:29" ht="15.5">
      <c r="A22" s="367"/>
      <c r="B22" s="586"/>
      <c r="C22" s="1754"/>
      <c r="D22" s="387"/>
      <c r="E22" s="386"/>
      <c r="F22" s="388"/>
      <c r="G22" s="386"/>
      <c r="H22" s="387"/>
      <c r="I22" s="386"/>
      <c r="J22" s="387"/>
      <c r="K22" s="1064"/>
      <c r="L22" s="2492"/>
      <c r="M22" s="2487"/>
      <c r="N22" s="2487"/>
      <c r="O22" s="2487"/>
      <c r="P22" s="3393"/>
      <c r="Q22" s="1262"/>
      <c r="R22" s="667"/>
      <c r="S22" s="668"/>
      <c r="T22" s="667"/>
      <c r="U22" s="668"/>
      <c r="V22" s="667"/>
      <c r="W22" s="668"/>
      <c r="X22" s="1264"/>
      <c r="Y22" s="3386"/>
      <c r="Z22" s="1263"/>
      <c r="AA22" s="1263">
        <v>1</v>
      </c>
      <c r="AB22" s="1263">
        <v>1</v>
      </c>
      <c r="AC22" s="1263">
        <v>1</v>
      </c>
    </row>
    <row r="23" spans="1:29" ht="56">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3"/>
      <c r="Q23" s="1262" t="str">
        <f>B23</f>
        <v>自然及人文环境</v>
      </c>
      <c r="R23" s="667" t="s">
        <v>14</v>
      </c>
      <c r="S23" s="668">
        <f>F23</f>
        <v>100</v>
      </c>
      <c r="T23" s="667" t="s">
        <v>14</v>
      </c>
      <c r="U23" s="668">
        <f>H23</f>
        <v>100</v>
      </c>
      <c r="V23" s="667" t="s">
        <v>14</v>
      </c>
      <c r="W23" s="668">
        <f>J23</f>
        <v>100</v>
      </c>
      <c r="X23" s="1264"/>
      <c r="Y23" s="3386"/>
      <c r="Z23" s="1263" t="str">
        <f>Q23</f>
        <v>自然及人文环境</v>
      </c>
      <c r="AA23" s="1263">
        <f t="shared" si="3"/>
        <v>1</v>
      </c>
      <c r="AB23" s="1263">
        <f t="shared" si="4"/>
        <v>1</v>
      </c>
      <c r="AC23" s="1263">
        <f t="shared" si="5"/>
        <v>1</v>
      </c>
    </row>
    <row r="24" spans="1:29" ht="15.5">
      <c r="A24" s="367"/>
      <c r="B24" s="395"/>
      <c r="C24" s="386"/>
      <c r="D24" s="387"/>
      <c r="E24" s="1751"/>
      <c r="F24" s="388"/>
      <c r="G24" s="1750"/>
      <c r="H24" s="387"/>
      <c r="I24" s="1751"/>
      <c r="J24" s="387"/>
      <c r="K24" s="541"/>
      <c r="L24" s="2492"/>
      <c r="M24" s="2487"/>
      <c r="N24" s="2487"/>
      <c r="O24" s="2487"/>
      <c r="P24" s="3393"/>
      <c r="Q24" s="1262"/>
      <c r="R24" s="667"/>
      <c r="S24" s="668"/>
      <c r="T24" s="667"/>
      <c r="U24" s="668"/>
      <c r="V24" s="667"/>
      <c r="W24" s="668"/>
      <c r="X24" s="1264"/>
      <c r="Y24" s="3386"/>
      <c r="Z24" s="1263"/>
      <c r="AA24" s="1263">
        <v>1</v>
      </c>
      <c r="AB24" s="1263">
        <v>1</v>
      </c>
      <c r="AC24" s="1263">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3"/>
      <c r="Q25" s="1262" t="str">
        <f t="shared" ref="Q25:Q46" si="11">B25</f>
        <v>临街状况</v>
      </c>
      <c r="R25" s="667" t="s">
        <v>14</v>
      </c>
      <c r="S25" s="668">
        <f>F25</f>
        <v>100</v>
      </c>
      <c r="T25" s="667" t="s">
        <v>14</v>
      </c>
      <c r="U25" s="668">
        <f>H25</f>
        <v>100</v>
      </c>
      <c r="V25" s="667" t="s">
        <v>14</v>
      </c>
      <c r="W25" s="668">
        <f>J25</f>
        <v>100</v>
      </c>
      <c r="X25" s="1264"/>
      <c r="Y25" s="3386"/>
      <c r="Z25" s="1263" t="str">
        <f>Q25</f>
        <v>临街状况</v>
      </c>
      <c r="AA25" s="1263">
        <f t="shared" si="3"/>
        <v>1</v>
      </c>
      <c r="AB25" s="1263">
        <f t="shared" si="4"/>
        <v>1</v>
      </c>
      <c r="AC25" s="1263">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3"/>
      <c r="Q26" s="1262" t="str">
        <f t="shared" si="11"/>
        <v>平面位置/可视性</v>
      </c>
      <c r="R26" s="667" t="s">
        <v>14</v>
      </c>
      <c r="S26" s="668">
        <f>F26</f>
        <v>100</v>
      </c>
      <c r="T26" s="667" t="s">
        <v>14</v>
      </c>
      <c r="U26" s="668">
        <f>H26</f>
        <v>100</v>
      </c>
      <c r="V26" s="667" t="s">
        <v>14</v>
      </c>
      <c r="W26" s="668">
        <f>J26</f>
        <v>100</v>
      </c>
      <c r="X26" s="1264"/>
      <c r="Y26" s="3386"/>
      <c r="Z26" s="1263" t="str">
        <f>Q26</f>
        <v>平面位置/可视性</v>
      </c>
      <c r="AA26" s="1263">
        <f t="shared" si="3"/>
        <v>1</v>
      </c>
      <c r="AB26" s="1263">
        <f t="shared" si="4"/>
        <v>1</v>
      </c>
      <c r="AC26" s="1263">
        <f t="shared" si="5"/>
        <v>1</v>
      </c>
    </row>
    <row r="27" spans="1:29" s="102" customFormat="1" ht="15.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93"/>
      <c r="Q27" s="530" t="str">
        <f t="shared" si="11"/>
        <v>人流量</v>
      </c>
      <c r="R27" s="664" t="s">
        <v>14</v>
      </c>
      <c r="S27" s="665">
        <f>F27</f>
        <v>100</v>
      </c>
      <c r="T27" s="664" t="s">
        <v>14</v>
      </c>
      <c r="U27" s="665">
        <f>H27</f>
        <v>100</v>
      </c>
      <c r="V27" s="664" t="s">
        <v>14</v>
      </c>
      <c r="W27" s="665">
        <f>J27</f>
        <v>100</v>
      </c>
      <c r="X27" s="666"/>
      <c r="Y27" s="3386"/>
      <c r="Z27" s="50" t="str">
        <f>Q27</f>
        <v>人流量</v>
      </c>
      <c r="AA27" s="1263">
        <f>D27/F27</f>
        <v>1</v>
      </c>
      <c r="AB27" s="1263">
        <f>D27/H27</f>
        <v>1</v>
      </c>
      <c r="AC27" s="1263">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3"/>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86"/>
      <c r="Z28" s="1263" t="str">
        <f t="shared" ref="Z28:Z46" si="15">Q28</f>
        <v>楼层</v>
      </c>
      <c r="AA28" s="1263">
        <f t="shared" si="3"/>
        <v>1</v>
      </c>
      <c r="AB28" s="1263">
        <f t="shared" si="4"/>
        <v>1</v>
      </c>
      <c r="AC28" s="1263">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3"/>
      <c r="Q29" s="1262">
        <f t="shared" si="11"/>
        <v>111</v>
      </c>
      <c r="R29" s="667" t="s">
        <v>14</v>
      </c>
      <c r="S29" s="668">
        <f t="shared" si="12"/>
        <v>100</v>
      </c>
      <c r="T29" s="667" t="s">
        <v>14</v>
      </c>
      <c r="U29" s="668">
        <f t="shared" si="13"/>
        <v>100</v>
      </c>
      <c r="V29" s="667" t="s">
        <v>14</v>
      </c>
      <c r="W29" s="668">
        <f t="shared" si="14"/>
        <v>100</v>
      </c>
      <c r="X29" s="1264"/>
      <c r="Y29" s="3386"/>
      <c r="Z29" s="1263">
        <f t="shared" si="15"/>
        <v>111</v>
      </c>
      <c r="AA29" s="1263">
        <f t="shared" si="3"/>
        <v>1</v>
      </c>
      <c r="AB29" s="1263">
        <f t="shared" si="4"/>
        <v>1</v>
      </c>
      <c r="AC29" s="1263">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3"/>
      <c r="Q30" s="1262">
        <f t="shared" si="11"/>
        <v>111</v>
      </c>
      <c r="R30" s="667" t="s">
        <v>14</v>
      </c>
      <c r="S30" s="668">
        <f t="shared" si="12"/>
        <v>100</v>
      </c>
      <c r="T30" s="667" t="s">
        <v>14</v>
      </c>
      <c r="U30" s="668">
        <f t="shared" si="13"/>
        <v>100</v>
      </c>
      <c r="V30" s="667" t="s">
        <v>14</v>
      </c>
      <c r="W30" s="668">
        <f t="shared" si="14"/>
        <v>100</v>
      </c>
      <c r="X30" s="1264"/>
      <c r="Y30" s="3386"/>
      <c r="Z30" s="1263">
        <f t="shared" si="15"/>
        <v>111</v>
      </c>
      <c r="AA30" s="1263">
        <f t="shared" si="3"/>
        <v>1</v>
      </c>
      <c r="AB30" s="1263">
        <f t="shared" si="4"/>
        <v>1</v>
      </c>
      <c r="AC30" s="1263">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3"/>
      <c r="Q31" s="1262">
        <f t="shared" si="11"/>
        <v>111</v>
      </c>
      <c r="R31" s="667" t="s">
        <v>14</v>
      </c>
      <c r="S31" s="668">
        <f t="shared" si="12"/>
        <v>100</v>
      </c>
      <c r="T31" s="667" t="s">
        <v>14</v>
      </c>
      <c r="U31" s="668">
        <f t="shared" si="13"/>
        <v>100</v>
      </c>
      <c r="V31" s="667" t="s">
        <v>14</v>
      </c>
      <c r="W31" s="668">
        <f t="shared" si="14"/>
        <v>100</v>
      </c>
      <c r="X31" s="1264"/>
      <c r="Y31" s="3386"/>
      <c r="Z31" s="1263">
        <f t="shared" si="15"/>
        <v>111</v>
      </c>
      <c r="AA31" s="1263">
        <f t="shared" si="3"/>
        <v>1</v>
      </c>
      <c r="AB31" s="1263">
        <f t="shared" si="4"/>
        <v>1</v>
      </c>
      <c r="AC31" s="1263">
        <f t="shared" si="5"/>
        <v>1</v>
      </c>
    </row>
    <row r="32" spans="1:29" ht="15.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87" t="s">
        <v>1696</v>
      </c>
      <c r="Q32" s="1262" t="str">
        <f t="shared" si="11"/>
        <v>商业类型</v>
      </c>
      <c r="R32" s="667" t="s">
        <v>14</v>
      </c>
      <c r="S32" s="668">
        <f t="shared" si="12"/>
        <v>100</v>
      </c>
      <c r="T32" s="667" t="s">
        <v>14</v>
      </c>
      <c r="U32" s="668">
        <f t="shared" si="13"/>
        <v>100</v>
      </c>
      <c r="V32" s="667" t="s">
        <v>14</v>
      </c>
      <c r="W32" s="668">
        <f t="shared" si="14"/>
        <v>100</v>
      </c>
      <c r="X32" s="1264"/>
      <c r="Y32" s="3390" t="s">
        <v>1696</v>
      </c>
      <c r="Z32" s="1263" t="str">
        <f t="shared" si="15"/>
        <v>商业类型</v>
      </c>
      <c r="AA32" s="1263">
        <f t="shared" si="3"/>
        <v>1</v>
      </c>
      <c r="AB32" s="1263">
        <f t="shared" si="4"/>
        <v>1</v>
      </c>
      <c r="AC32" s="1263">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88"/>
      <c r="Q33" s="531" t="str">
        <f t="shared" si="11"/>
        <v>项目建筑规模</v>
      </c>
      <c r="R33" s="669" t="s">
        <v>14</v>
      </c>
      <c r="S33" s="670" t="e">
        <f t="shared" si="12"/>
        <v>#N/A</v>
      </c>
      <c r="T33" s="669" t="s">
        <v>14</v>
      </c>
      <c r="U33" s="670" t="e">
        <f t="shared" si="13"/>
        <v>#N/A</v>
      </c>
      <c r="V33" s="669" t="s">
        <v>14</v>
      </c>
      <c r="W33" s="670" t="e">
        <f t="shared" si="14"/>
        <v>#N/A</v>
      </c>
      <c r="X33" s="671"/>
      <c r="Y33" s="3390"/>
      <c r="Z33" s="672" t="str">
        <f t="shared" si="15"/>
        <v>项目建筑规模</v>
      </c>
      <c r="AA33" s="1263" t="e">
        <f t="shared" si="3"/>
        <v>#N/A</v>
      </c>
      <c r="AB33" s="1263" t="e">
        <f t="shared" si="4"/>
        <v>#N/A</v>
      </c>
      <c r="AC33" s="1263"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8"/>
      <c r="Q34" s="1262" t="str">
        <f t="shared" si="11"/>
        <v>建筑结构</v>
      </c>
      <c r="R34" s="667" t="s">
        <v>14</v>
      </c>
      <c r="S34" s="668">
        <f t="shared" si="12"/>
        <v>100</v>
      </c>
      <c r="T34" s="667" t="s">
        <v>14</v>
      </c>
      <c r="U34" s="668">
        <f t="shared" si="13"/>
        <v>100</v>
      </c>
      <c r="V34" s="667" t="s">
        <v>14</v>
      </c>
      <c r="W34" s="668">
        <f t="shared" si="14"/>
        <v>100</v>
      </c>
      <c r="X34" s="1264"/>
      <c r="Y34" s="3390"/>
      <c r="Z34" s="1263" t="str">
        <f t="shared" si="15"/>
        <v>建筑结构</v>
      </c>
      <c r="AA34" s="1263">
        <f t="shared" si="3"/>
        <v>1</v>
      </c>
      <c r="AB34" s="1263">
        <f t="shared" si="4"/>
        <v>1</v>
      </c>
      <c r="AC34" s="1263">
        <f t="shared" si="5"/>
        <v>1</v>
      </c>
    </row>
    <row r="35" spans="1:29" ht="15.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88"/>
      <c r="Q35" s="1262" t="str">
        <f t="shared" si="11"/>
        <v>公共部分装修</v>
      </c>
      <c r="R35" s="667" t="s">
        <v>14</v>
      </c>
      <c r="S35" s="668">
        <f t="shared" si="12"/>
        <v>100</v>
      </c>
      <c r="T35" s="667" t="s">
        <v>14</v>
      </c>
      <c r="U35" s="668">
        <f t="shared" si="13"/>
        <v>100</v>
      </c>
      <c r="V35" s="667" t="s">
        <v>14</v>
      </c>
      <c r="W35" s="668">
        <f t="shared" si="14"/>
        <v>100</v>
      </c>
      <c r="X35" s="1264"/>
      <c r="Y35" s="3390"/>
      <c r="Z35" s="1263" t="str">
        <f t="shared" si="15"/>
        <v>公共部分装修</v>
      </c>
      <c r="AA35" s="1263">
        <f t="shared" si="3"/>
        <v>1</v>
      </c>
      <c r="AB35" s="1263">
        <f t="shared" si="4"/>
        <v>1</v>
      </c>
      <c r="AC35" s="1263">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88"/>
      <c r="Q36" s="1262" t="str">
        <f t="shared" si="11"/>
        <v>成新度</v>
      </c>
      <c r="R36" s="667" t="s">
        <v>14</v>
      </c>
      <c r="S36" s="668" t="e">
        <f t="shared" si="12"/>
        <v>#N/A</v>
      </c>
      <c r="T36" s="667" t="s">
        <v>14</v>
      </c>
      <c r="U36" s="668" t="e">
        <f t="shared" si="13"/>
        <v>#N/A</v>
      </c>
      <c r="V36" s="667" t="s">
        <v>14</v>
      </c>
      <c r="W36" s="668" t="e">
        <f t="shared" si="14"/>
        <v>#N/A</v>
      </c>
      <c r="X36" s="1264"/>
      <c r="Y36" s="3390"/>
      <c r="Z36" s="1263" t="str">
        <f t="shared" si="15"/>
        <v>成新度</v>
      </c>
      <c r="AA36" s="1263" t="e">
        <f t="shared" si="3"/>
        <v>#N/A</v>
      </c>
      <c r="AB36" s="1263" t="e">
        <f t="shared" si="4"/>
        <v>#N/A</v>
      </c>
      <c r="AC36" s="1263" t="e">
        <f t="shared" si="5"/>
        <v>#N/A</v>
      </c>
    </row>
    <row r="37" spans="1:29" s="102" customFormat="1" ht="15.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88"/>
      <c r="Q37" s="530" t="str">
        <f t="shared" si="11"/>
        <v>市政基础设施</v>
      </c>
      <c r="R37" s="664" t="s">
        <v>14</v>
      </c>
      <c r="S37" s="665">
        <f t="shared" si="12"/>
        <v>100</v>
      </c>
      <c r="T37" s="664" t="s">
        <v>14</v>
      </c>
      <c r="U37" s="665">
        <f t="shared" si="13"/>
        <v>100</v>
      </c>
      <c r="V37" s="664" t="s">
        <v>14</v>
      </c>
      <c r="W37" s="665">
        <f t="shared" si="14"/>
        <v>100</v>
      </c>
      <c r="X37" s="666"/>
      <c r="Y37" s="3390"/>
      <c r="Z37" s="50" t="str">
        <f t="shared" si="15"/>
        <v>市政基础设施</v>
      </c>
      <c r="AA37" s="50">
        <f t="shared" si="3"/>
        <v>1</v>
      </c>
      <c r="AB37" s="50">
        <f t="shared" si="4"/>
        <v>1</v>
      </c>
      <c r="AC37" s="50">
        <f t="shared" si="5"/>
        <v>1</v>
      </c>
    </row>
    <row r="38" spans="1:29" ht="15.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88" t="s">
        <v>1696</v>
      </c>
      <c r="Q38" s="1262" t="str">
        <f t="shared" si="11"/>
        <v>业态</v>
      </c>
      <c r="R38" s="667" t="s">
        <v>14</v>
      </c>
      <c r="S38" s="668">
        <f t="shared" si="12"/>
        <v>100</v>
      </c>
      <c r="T38" s="667" t="s">
        <v>14</v>
      </c>
      <c r="U38" s="668">
        <f t="shared" si="13"/>
        <v>100</v>
      </c>
      <c r="V38" s="667" t="s">
        <v>14</v>
      </c>
      <c r="W38" s="668">
        <f t="shared" si="14"/>
        <v>100</v>
      </c>
      <c r="X38" s="1264"/>
      <c r="Y38" s="3390" t="s">
        <v>1696</v>
      </c>
      <c r="Z38" s="1263" t="str">
        <f t="shared" si="15"/>
        <v>业态</v>
      </c>
      <c r="AA38" s="1263">
        <f t="shared" si="3"/>
        <v>1</v>
      </c>
      <c r="AB38" s="1263">
        <f t="shared" si="4"/>
        <v>1</v>
      </c>
      <c r="AC38" s="1263">
        <f t="shared" si="5"/>
        <v>1</v>
      </c>
    </row>
    <row r="39" spans="1:29" ht="15.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88"/>
      <c r="Q39" s="1262" t="str">
        <f t="shared" si="11"/>
        <v>层高</v>
      </c>
      <c r="R39" s="667" t="s">
        <v>14</v>
      </c>
      <c r="S39" s="668">
        <f t="shared" si="12"/>
        <v>100</v>
      </c>
      <c r="T39" s="667" t="s">
        <v>14</v>
      </c>
      <c r="U39" s="668">
        <f t="shared" si="13"/>
        <v>100</v>
      </c>
      <c r="V39" s="667" t="s">
        <v>14</v>
      </c>
      <c r="W39" s="668">
        <f t="shared" si="14"/>
        <v>100</v>
      </c>
      <c r="X39" s="1264"/>
      <c r="Y39" s="3390"/>
      <c r="Z39" s="1263" t="str">
        <f t="shared" si="15"/>
        <v>层高</v>
      </c>
      <c r="AA39" s="1263">
        <f t="shared" si="3"/>
        <v>1</v>
      </c>
      <c r="AB39" s="1263">
        <f t="shared" si="4"/>
        <v>1</v>
      </c>
      <c r="AC39" s="1263">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8"/>
      <c r="Q40" s="1262" t="str">
        <f t="shared" si="11"/>
        <v>单套建筑面积</v>
      </c>
      <c r="R40" s="667" t="s">
        <v>14</v>
      </c>
      <c r="S40" s="668">
        <f t="shared" si="12"/>
        <v>100</v>
      </c>
      <c r="T40" s="667" t="s">
        <v>14</v>
      </c>
      <c r="U40" s="668">
        <f t="shared" si="13"/>
        <v>100</v>
      </c>
      <c r="V40" s="667" t="s">
        <v>14</v>
      </c>
      <c r="W40" s="668">
        <f t="shared" si="14"/>
        <v>100</v>
      </c>
      <c r="X40" s="1264"/>
      <c r="Y40" s="3390"/>
      <c r="Z40" s="1263" t="str">
        <f t="shared" si="15"/>
        <v>单套建筑面积</v>
      </c>
      <c r="AA40" s="1263">
        <f t="shared" si="3"/>
        <v>1</v>
      </c>
      <c r="AB40" s="1263">
        <f t="shared" si="4"/>
        <v>1</v>
      </c>
      <c r="AC40" s="1263">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8"/>
      <c r="Q41" s="531" t="str">
        <f t="shared" si="11"/>
        <v>进深比</v>
      </c>
      <c r="R41" s="669" t="s">
        <v>14</v>
      </c>
      <c r="S41" s="670">
        <f t="shared" si="12"/>
        <v>100</v>
      </c>
      <c r="T41" s="669" t="s">
        <v>14</v>
      </c>
      <c r="U41" s="670">
        <f t="shared" si="13"/>
        <v>100</v>
      </c>
      <c r="V41" s="669" t="s">
        <v>14</v>
      </c>
      <c r="W41" s="670">
        <f t="shared" si="14"/>
        <v>100</v>
      </c>
      <c r="X41" s="671"/>
      <c r="Y41" s="3390"/>
      <c r="Z41" s="672" t="str">
        <f t="shared" si="15"/>
        <v>进深比</v>
      </c>
      <c r="AA41" s="1263">
        <f t="shared" si="3"/>
        <v>1</v>
      </c>
      <c r="AB41" s="1263">
        <f t="shared" si="4"/>
        <v>1</v>
      </c>
      <c r="AC41" s="1263">
        <f t="shared" si="5"/>
        <v>1</v>
      </c>
    </row>
    <row r="42" spans="1:29" ht="15.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88"/>
      <c r="Q42" s="1262" t="str">
        <f t="shared" si="11"/>
        <v>内部装修</v>
      </c>
      <c r="R42" s="667" t="s">
        <v>14</v>
      </c>
      <c r="S42" s="668">
        <f t="shared" si="12"/>
        <v>100</v>
      </c>
      <c r="T42" s="667" t="s">
        <v>14</v>
      </c>
      <c r="U42" s="668">
        <f t="shared" si="13"/>
        <v>100</v>
      </c>
      <c r="V42" s="667" t="s">
        <v>14</v>
      </c>
      <c r="W42" s="668">
        <f t="shared" si="14"/>
        <v>100</v>
      </c>
      <c r="X42" s="1264"/>
      <c r="Y42" s="3390"/>
      <c r="Z42" s="1263" t="str">
        <f t="shared" si="15"/>
        <v>内部装修</v>
      </c>
      <c r="AA42" s="1263">
        <f t="shared" si="3"/>
        <v>1</v>
      </c>
      <c r="AB42" s="1263">
        <f t="shared" si="4"/>
        <v>1</v>
      </c>
      <c r="AC42" s="1263">
        <f t="shared" si="5"/>
        <v>1</v>
      </c>
    </row>
    <row r="43" spans="1:29" ht="2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88"/>
      <c r="Q43" s="1262" t="str">
        <f t="shared" si="11"/>
        <v>内部装修维护情况</v>
      </c>
      <c r="R43" s="667" t="s">
        <v>14</v>
      </c>
      <c r="S43" s="668">
        <f t="shared" si="12"/>
        <v>100</v>
      </c>
      <c r="T43" s="667" t="s">
        <v>14</v>
      </c>
      <c r="U43" s="668">
        <f t="shared" si="13"/>
        <v>100</v>
      </c>
      <c r="V43" s="667" t="s">
        <v>14</v>
      </c>
      <c r="W43" s="668">
        <f t="shared" si="14"/>
        <v>100</v>
      </c>
      <c r="X43" s="1264"/>
      <c r="Y43" s="3390"/>
      <c r="Z43" s="1263" t="str">
        <f t="shared" si="15"/>
        <v>内部装修维护情况</v>
      </c>
      <c r="AA43" s="1263">
        <f t="shared" si="3"/>
        <v>1</v>
      </c>
      <c r="AB43" s="1263">
        <f t="shared" si="4"/>
        <v>1</v>
      </c>
      <c r="AC43" s="1263">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88"/>
      <c r="Q44" s="530">
        <f t="shared" si="11"/>
        <v>111</v>
      </c>
      <c r="R44" s="664" t="s">
        <v>14</v>
      </c>
      <c r="S44" s="665">
        <f t="shared" si="12"/>
        <v>100</v>
      </c>
      <c r="T44" s="664" t="s">
        <v>14</v>
      </c>
      <c r="U44" s="665">
        <f t="shared" si="13"/>
        <v>100</v>
      </c>
      <c r="V44" s="664" t="s">
        <v>14</v>
      </c>
      <c r="W44" s="665">
        <f t="shared" si="14"/>
        <v>100</v>
      </c>
      <c r="X44" s="666"/>
      <c r="Y44" s="3390"/>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8"/>
      <c r="Q45" s="1262">
        <f t="shared" si="11"/>
        <v>111</v>
      </c>
      <c r="R45" s="667" t="s">
        <v>14</v>
      </c>
      <c r="S45" s="668">
        <f t="shared" si="12"/>
        <v>100</v>
      </c>
      <c r="T45" s="667" t="s">
        <v>14</v>
      </c>
      <c r="U45" s="668">
        <f t="shared" si="13"/>
        <v>100</v>
      </c>
      <c r="V45" s="667" t="s">
        <v>14</v>
      </c>
      <c r="W45" s="668">
        <f t="shared" si="14"/>
        <v>100</v>
      </c>
      <c r="X45" s="1264"/>
      <c r="Y45" s="3390"/>
      <c r="Z45" s="1263">
        <f t="shared" si="15"/>
        <v>111</v>
      </c>
      <c r="AA45" s="1263">
        <f t="shared" si="3"/>
        <v>1</v>
      </c>
      <c r="AB45" s="1263">
        <f t="shared" si="4"/>
        <v>1</v>
      </c>
      <c r="AC45" s="1263">
        <f t="shared" si="5"/>
        <v>1</v>
      </c>
    </row>
    <row r="46" spans="1:29" ht="1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9"/>
      <c r="Q46" s="1262">
        <f t="shared" si="11"/>
        <v>111</v>
      </c>
      <c r="R46" s="667" t="s">
        <v>14</v>
      </c>
      <c r="S46" s="668">
        <f t="shared" si="12"/>
        <v>100</v>
      </c>
      <c r="T46" s="667" t="s">
        <v>14</v>
      </c>
      <c r="U46" s="668">
        <f t="shared" si="13"/>
        <v>100</v>
      </c>
      <c r="V46" s="667" t="s">
        <v>14</v>
      </c>
      <c r="W46" s="668">
        <f t="shared" si="14"/>
        <v>100</v>
      </c>
      <c r="X46" s="1264"/>
      <c r="Y46" s="3391"/>
      <c r="Z46" s="1263">
        <f t="shared" si="15"/>
        <v>111</v>
      </c>
      <c r="AA46" s="1263">
        <f t="shared" si="3"/>
        <v>1</v>
      </c>
      <c r="AB46" s="1263">
        <f t="shared" si="4"/>
        <v>1</v>
      </c>
      <c r="AC46" s="1263">
        <f t="shared" si="5"/>
        <v>1</v>
      </c>
    </row>
    <row r="47" spans="1:29">
      <c r="A47" s="416" t="s">
        <v>1708</v>
      </c>
      <c r="B47" s="417"/>
      <c r="C47" s="1080" t="s">
        <v>0</v>
      </c>
      <c r="D47" s="418"/>
      <c r="E47" s="419"/>
      <c r="F47" s="420"/>
      <c r="G47" s="421"/>
      <c r="H47" s="422"/>
      <c r="I47" s="419"/>
      <c r="J47" s="422"/>
      <c r="K47" s="674"/>
      <c r="L47" s="2494"/>
      <c r="M47" s="2487"/>
      <c r="N47" s="2487"/>
      <c r="O47" s="2487"/>
      <c r="P47" s="3383" t="str">
        <f>A47</f>
        <v>成交单价（元/平方米）</v>
      </c>
      <c r="Q47" s="3383"/>
      <c r="R47" s="3384">
        <f>E47</f>
        <v>0</v>
      </c>
      <c r="S47" s="3384"/>
      <c r="T47" s="3384">
        <f>G47</f>
        <v>0</v>
      </c>
      <c r="U47" s="3384"/>
      <c r="V47" s="3384">
        <f>I47</f>
        <v>0</v>
      </c>
      <c r="W47" s="3384"/>
      <c r="X47" s="385"/>
      <c r="Y47" s="673"/>
      <c r="Z47" s="385"/>
      <c r="AA47" s="385"/>
      <c r="AB47" s="385"/>
      <c r="AC47" s="385"/>
    </row>
    <row r="48" spans="1:29" ht="14.5" thickBot="1">
      <c r="A48" s="423" t="s">
        <v>1793</v>
      </c>
      <c r="B48" s="424"/>
      <c r="C48" s="1081" t="e">
        <f>R49</f>
        <v>#DIV/0!</v>
      </c>
      <c r="D48" s="2140" t="s">
        <v>2138</v>
      </c>
      <c r="E48" s="1082" t="e">
        <f>R48</f>
        <v>#DIV/0!</v>
      </c>
      <c r="F48" s="2141"/>
      <c r="G48" s="1081" t="e">
        <f>T48</f>
        <v>#DIV/0!</v>
      </c>
      <c r="H48" s="2141"/>
      <c r="I48" s="1082" t="e">
        <f>V48</f>
        <v>#DIV/0!</v>
      </c>
      <c r="J48" s="2141"/>
      <c r="K48" s="2143">
        <f>F48+H48+J48</f>
        <v>0</v>
      </c>
      <c r="L48" s="2494"/>
      <c r="M48" s="2487"/>
      <c r="N48" s="2487"/>
      <c r="O48" s="2487"/>
      <c r="P48" s="3383" t="str">
        <f>A48</f>
        <v>比较价值（元/平方米）</v>
      </c>
      <c r="Q48" s="3383"/>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4"/>
      <c r="M49" s="2487"/>
      <c r="N49" s="2487"/>
      <c r="O49" s="2487"/>
      <c r="P49" s="3380" t="str">
        <f>A49</f>
        <v>估价对象XX用房的比较价值（楼面单价，元/平方米）</v>
      </c>
      <c r="Q49" s="3381"/>
      <c r="R49" s="3382" t="e">
        <f>IF(F1="售价",ROUND(IF(D48="简单平均",AVERAGE(R48:V48),R48*F48+T48*H48+V48*J48),0),ROUND(IF(D48="简单平均",AVERAGE(R48:V48),R48*F48+T48*H48+V48*J48),1))</f>
        <v>#DIV/0!</v>
      </c>
      <c r="S49" s="3382"/>
      <c r="T49" s="3382"/>
      <c r="U49" s="3382"/>
      <c r="V49" s="3382"/>
      <c r="W49" s="338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1679</v>
      </c>
      <c r="B58" s="441"/>
      <c r="C58" s="1102" t="str">
        <f>YEAR(C7)&amp;"-"&amp;MONTH(C7)</f>
        <v>2025-12</v>
      </c>
      <c r="D58" s="1103">
        <f>EDATE(C58,-1)</f>
        <v>45962</v>
      </c>
      <c r="E58" s="1103">
        <f t="shared" ref="E58:N58" si="16">EDATE(D58,-1)</f>
        <v>45931</v>
      </c>
      <c r="F58" s="1103">
        <f t="shared" si="16"/>
        <v>45901</v>
      </c>
      <c r="G58" s="1103">
        <f t="shared" si="16"/>
        <v>45870</v>
      </c>
      <c r="H58" s="1103">
        <f t="shared" si="16"/>
        <v>45839</v>
      </c>
      <c r="I58" s="1103">
        <f t="shared" si="16"/>
        <v>45809</v>
      </c>
      <c r="J58" s="1103">
        <f t="shared" si="16"/>
        <v>45778</v>
      </c>
      <c r="K58" s="1103">
        <f t="shared" si="16"/>
        <v>45748</v>
      </c>
      <c r="L58" s="1103">
        <f t="shared" si="16"/>
        <v>45717</v>
      </c>
      <c r="M58" s="1103">
        <f t="shared" si="16"/>
        <v>45689</v>
      </c>
      <c r="N58" s="1103">
        <f t="shared" si="16"/>
        <v>45658</v>
      </c>
      <c r="O58" s="1103">
        <f>EDATE(N58,-1)</f>
        <v>45627</v>
      </c>
      <c r="P58" s="2509"/>
      <c r="Q58" s="2510"/>
      <c r="R58" s="2510"/>
      <c r="S58" s="2510"/>
      <c r="T58" s="2510"/>
      <c r="U58" s="2510"/>
      <c r="V58" s="2510"/>
      <c r="W58" s="2510"/>
      <c r="X58" s="2510"/>
      <c r="Y58" s="2510"/>
      <c r="Z58" s="2510"/>
      <c r="AA58" s="2510"/>
      <c r="AB58" s="2510"/>
      <c r="AC58" s="2510"/>
    </row>
    <row r="59" spans="1:29" s="102" customFormat="1">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2738.73</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1769</v>
      </c>
      <c r="B4" s="346"/>
      <c r="C4" s="3398" t="s">
        <v>1770</v>
      </c>
      <c r="D4" s="3399"/>
      <c r="E4" s="3400" t="s">
        <v>1771</v>
      </c>
      <c r="F4" s="3401"/>
      <c r="G4" s="3398" t="s">
        <v>1772</v>
      </c>
      <c r="H4" s="3399"/>
      <c r="I4" s="3398" t="s">
        <v>1773</v>
      </c>
      <c r="J4" s="3399"/>
      <c r="K4" s="537" t="s">
        <v>1774</v>
      </c>
      <c r="L4" s="2486"/>
      <c r="M4" s="2487"/>
      <c r="N4" s="2487"/>
      <c r="O4" s="2487"/>
      <c r="P4" s="3431" t="s">
        <v>1775</v>
      </c>
      <c r="Q4" s="3432"/>
      <c r="R4" s="3435" t="s">
        <v>1771</v>
      </c>
      <c r="S4" s="3436"/>
      <c r="T4" s="3435" t="s">
        <v>1772</v>
      </c>
      <c r="U4" s="3436"/>
      <c r="V4" s="3437" t="s">
        <v>1773</v>
      </c>
      <c r="W4" s="3437"/>
      <c r="X4" s="1808"/>
      <c r="Y4" s="3435" t="s">
        <v>1775</v>
      </c>
      <c r="Z4" s="3436"/>
      <c r="AA4" s="3439" t="s">
        <v>1771</v>
      </c>
      <c r="AB4" s="3439" t="s">
        <v>1772</v>
      </c>
      <c r="AC4" s="3428" t="s">
        <v>1773</v>
      </c>
    </row>
    <row r="5" spans="1:29">
      <c r="A5" s="348"/>
      <c r="B5" s="349"/>
      <c r="C5" s="3416" t="s">
        <v>1673</v>
      </c>
      <c r="D5" s="3417"/>
      <c r="E5" s="3423" t="s">
        <v>1674</v>
      </c>
      <c r="F5" s="3424"/>
      <c r="G5" s="3416" t="s">
        <v>1675</v>
      </c>
      <c r="H5" s="3417"/>
      <c r="I5" s="3416" t="s">
        <v>1676</v>
      </c>
      <c r="J5" s="3417"/>
      <c r="K5" s="537"/>
      <c r="L5" s="2486"/>
      <c r="M5" s="2487"/>
      <c r="N5" s="2487"/>
      <c r="O5" s="2487"/>
      <c r="P5" s="3433"/>
      <c r="Q5" s="3405"/>
      <c r="R5" s="3410"/>
      <c r="S5" s="3411"/>
      <c r="T5" s="3410"/>
      <c r="U5" s="3411"/>
      <c r="V5" s="3384"/>
      <c r="W5" s="3384"/>
      <c r="X5" s="1264"/>
      <c r="Y5" s="3410"/>
      <c r="Z5" s="3411"/>
      <c r="AA5" s="3396"/>
      <c r="AB5" s="3396"/>
      <c r="AC5" s="3429"/>
    </row>
    <row r="6" spans="1:29" ht="15" thickBot="1">
      <c r="A6" s="350"/>
      <c r="B6" s="351"/>
      <c r="C6" s="3414" t="s">
        <v>1677</v>
      </c>
      <c r="D6" s="3415"/>
      <c r="E6" s="3421" t="s">
        <v>1677</v>
      </c>
      <c r="F6" s="3422"/>
      <c r="G6" s="3414" t="s">
        <v>1677</v>
      </c>
      <c r="H6" s="3415"/>
      <c r="I6" s="3414" t="s">
        <v>1677</v>
      </c>
      <c r="J6" s="3415"/>
      <c r="K6" s="537" t="s">
        <v>1678</v>
      </c>
      <c r="L6" s="2486"/>
      <c r="M6" s="2487"/>
      <c r="N6" s="2487"/>
      <c r="O6" s="2487"/>
      <c r="P6" s="3434"/>
      <c r="Q6" s="3407"/>
      <c r="R6" s="3410"/>
      <c r="S6" s="3411"/>
      <c r="T6" s="3412"/>
      <c r="U6" s="3413"/>
      <c r="V6" s="3384"/>
      <c r="W6" s="3384"/>
      <c r="X6" s="1264"/>
      <c r="Y6" s="3412"/>
      <c r="Z6" s="3413"/>
      <c r="AA6" s="3397"/>
      <c r="AB6" s="3397"/>
      <c r="AC6" s="3430"/>
    </row>
    <row r="7" spans="1:29" s="102" customFormat="1" ht="14.5" thickBot="1">
      <c r="A7" s="352" t="s">
        <v>1679</v>
      </c>
      <c r="B7" s="353"/>
      <c r="C7" s="354">
        <f>'数据-取费表'!B2</f>
        <v>46022</v>
      </c>
      <c r="D7" s="355">
        <v>100</v>
      </c>
      <c r="E7" s="356"/>
      <c r="F7" s="357">
        <f>SUMIF(59:59,YEAR(E7)&amp;"-"&amp;MONTH(E7),60:60)</f>
        <v>0</v>
      </c>
      <c r="G7" s="356"/>
      <c r="H7" s="355">
        <f>SUMIF(59:59,YEAR(G7)&amp;"-"&amp;MONTH(G7),60:60)</f>
        <v>0</v>
      </c>
      <c r="I7" s="356"/>
      <c r="J7" s="355">
        <f>SUMIF(59:59,YEAR(I7)&amp;"-"&amp;MONTH(I7),60:60)</f>
        <v>0</v>
      </c>
      <c r="K7" s="38"/>
      <c r="L7" s="2488"/>
      <c r="M7" s="2439"/>
      <c r="N7" s="2439"/>
      <c r="O7" s="2439"/>
      <c r="P7" s="343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38" t="s">
        <v>1683</v>
      </c>
      <c r="Q8" s="3419"/>
      <c r="R8" s="664" t="s">
        <v>14</v>
      </c>
      <c r="S8" s="665">
        <f t="shared" si="0"/>
        <v>100</v>
      </c>
      <c r="T8" s="664" t="s">
        <v>14</v>
      </c>
      <c r="U8" s="665">
        <f t="shared" si="1"/>
        <v>100</v>
      </c>
      <c r="V8" s="664" t="s">
        <v>14</v>
      </c>
      <c r="W8" s="665">
        <f t="shared" si="2"/>
        <v>100</v>
      </c>
      <c r="X8" s="666"/>
      <c r="Y8" s="3418" t="s">
        <v>1683</v>
      </c>
      <c r="Z8" s="341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802">
        <f t="shared" si="5"/>
        <v>1</v>
      </c>
    </row>
    <row r="10" spans="1:29" s="366" customFormat="1" ht="2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4"/>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94"/>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94"/>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802">
        <f t="shared" si="5"/>
        <v>1</v>
      </c>
    </row>
    <row r="14" spans="1:29" ht="1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94"/>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802">
        <f t="shared" si="5"/>
        <v>1</v>
      </c>
    </row>
    <row r="15" spans="1:29" ht="70">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2" t="s">
        <v>1691</v>
      </c>
      <c r="Q15" s="1262" t="str">
        <f t="shared" si="6"/>
        <v>办公集聚程度</v>
      </c>
      <c r="R15" s="667" t="s">
        <v>14</v>
      </c>
      <c r="S15" s="668">
        <f t="shared" si="0"/>
        <v>100</v>
      </c>
      <c r="T15" s="667" t="s">
        <v>14</v>
      </c>
      <c r="U15" s="668">
        <f t="shared" si="1"/>
        <v>100</v>
      </c>
      <c r="V15" s="667" t="s">
        <v>14</v>
      </c>
      <c r="W15" s="668">
        <f t="shared" si="2"/>
        <v>100</v>
      </c>
      <c r="X15" s="1264"/>
      <c r="Y15" s="3385" t="s">
        <v>1691</v>
      </c>
      <c r="Z15" s="1263" t="str">
        <f t="shared" si="7"/>
        <v>办公集聚程度</v>
      </c>
      <c r="AA15" s="1263">
        <f t="shared" si="3"/>
        <v>1</v>
      </c>
      <c r="AB15" s="1263">
        <f t="shared" si="4"/>
        <v>1</v>
      </c>
      <c r="AC15" s="1811">
        <f t="shared" si="5"/>
        <v>1</v>
      </c>
    </row>
    <row r="16" spans="1:29" ht="15.5">
      <c r="A16" s="367"/>
      <c r="B16" s="555"/>
      <c r="C16" s="1757"/>
      <c r="D16" s="387"/>
      <c r="E16" s="386"/>
      <c r="F16" s="387"/>
      <c r="G16" s="1757"/>
      <c r="H16" s="389"/>
      <c r="I16" s="386"/>
      <c r="J16" s="387"/>
      <c r="K16" s="541"/>
      <c r="L16" s="2492"/>
      <c r="M16" s="2487"/>
      <c r="N16" s="2487"/>
      <c r="O16" s="2487"/>
      <c r="P16" s="3393"/>
      <c r="Q16" s="1262"/>
      <c r="R16" s="667"/>
      <c r="S16" s="668"/>
      <c r="T16" s="667"/>
      <c r="U16" s="668"/>
      <c r="V16" s="667"/>
      <c r="W16" s="668"/>
      <c r="X16" s="1264"/>
      <c r="Y16" s="3386"/>
      <c r="Z16" s="1263"/>
      <c r="AA16" s="1263">
        <v>1</v>
      </c>
      <c r="AB16" s="1263">
        <v>1</v>
      </c>
      <c r="AC16" s="1811">
        <v>1</v>
      </c>
    </row>
    <row r="17" spans="1:29" ht="84">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3"/>
      <c r="Q17" s="1262" t="str">
        <f>B17</f>
        <v>交通便捷度</v>
      </c>
      <c r="R17" s="667" t="s">
        <v>14</v>
      </c>
      <c r="S17" s="668">
        <f>F17</f>
        <v>100</v>
      </c>
      <c r="T17" s="667" t="s">
        <v>14</v>
      </c>
      <c r="U17" s="668">
        <f>H17</f>
        <v>100</v>
      </c>
      <c r="V17" s="667" t="s">
        <v>14</v>
      </c>
      <c r="W17" s="668">
        <f>J17</f>
        <v>100</v>
      </c>
      <c r="X17" s="1264"/>
      <c r="Y17" s="3386"/>
      <c r="Z17" s="1263" t="str">
        <f>Q17</f>
        <v>交通便捷度</v>
      </c>
      <c r="AA17" s="1263">
        <f t="shared" si="3"/>
        <v>1</v>
      </c>
      <c r="AB17" s="1263">
        <f t="shared" si="4"/>
        <v>1</v>
      </c>
      <c r="AC17" s="1811">
        <f t="shared" si="5"/>
        <v>1</v>
      </c>
    </row>
    <row r="18" spans="1:29" ht="15.5">
      <c r="A18" s="367"/>
      <c r="B18" s="401"/>
      <c r="C18" s="1813"/>
      <c r="D18" s="389"/>
      <c r="E18" s="1755"/>
      <c r="F18" s="389"/>
      <c r="G18" s="1756"/>
      <c r="H18" s="387"/>
      <c r="I18" s="1756"/>
      <c r="J18" s="387"/>
      <c r="K18" s="541"/>
      <c r="L18" s="2492"/>
      <c r="M18" s="2487"/>
      <c r="N18" s="2487"/>
      <c r="O18" s="2487"/>
      <c r="P18" s="3393"/>
      <c r="Q18" s="1262"/>
      <c r="R18" s="667"/>
      <c r="S18" s="668"/>
      <c r="T18" s="667"/>
      <c r="U18" s="668"/>
      <c r="V18" s="667"/>
      <c r="W18" s="668"/>
      <c r="X18" s="1264"/>
      <c r="Y18" s="3386"/>
      <c r="Z18" s="1263"/>
      <c r="AA18" s="1263">
        <v>1</v>
      </c>
      <c r="AB18" s="1263">
        <v>1</v>
      </c>
      <c r="AC18" s="1811">
        <v>1</v>
      </c>
    </row>
    <row r="19" spans="1:29" ht="42">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3"/>
      <c r="Q19" s="1262" t="str">
        <f>B19</f>
        <v>公共配套设施</v>
      </c>
      <c r="R19" s="667" t="s">
        <v>14</v>
      </c>
      <c r="S19" s="668">
        <f>F19</f>
        <v>100</v>
      </c>
      <c r="T19" s="667" t="s">
        <v>14</v>
      </c>
      <c r="U19" s="668">
        <f>H19</f>
        <v>100</v>
      </c>
      <c r="V19" s="667" t="s">
        <v>14</v>
      </c>
      <c r="W19" s="668">
        <f>J19</f>
        <v>100</v>
      </c>
      <c r="X19" s="1264"/>
      <c r="Y19" s="3386"/>
      <c r="Z19" s="1263" t="str">
        <f>Q19</f>
        <v>公共配套设施</v>
      </c>
      <c r="AA19" s="1263">
        <f t="shared" si="3"/>
        <v>1</v>
      </c>
      <c r="AB19" s="1263">
        <f t="shared" si="4"/>
        <v>1</v>
      </c>
      <c r="AC19" s="1811">
        <f t="shared" si="5"/>
        <v>1</v>
      </c>
    </row>
    <row r="20" spans="1:29" ht="15.5">
      <c r="A20" s="367"/>
      <c r="B20" s="401"/>
      <c r="C20" s="1757"/>
      <c r="D20" s="387"/>
      <c r="E20" s="1750"/>
      <c r="F20" s="387"/>
      <c r="G20" s="1751"/>
      <c r="H20" s="387"/>
      <c r="I20" s="1751"/>
      <c r="J20" s="387"/>
      <c r="K20" s="541"/>
      <c r="L20" s="2492"/>
      <c r="M20" s="2487"/>
      <c r="N20" s="2487"/>
      <c r="O20" s="2487"/>
      <c r="P20" s="3393"/>
      <c r="Q20" s="1262"/>
      <c r="R20" s="667"/>
      <c r="S20" s="668"/>
      <c r="T20" s="667"/>
      <c r="U20" s="668"/>
      <c r="V20" s="667"/>
      <c r="W20" s="668"/>
      <c r="X20" s="1264"/>
      <c r="Y20" s="3386"/>
      <c r="Z20" s="1263"/>
      <c r="AA20" s="1263">
        <v>1</v>
      </c>
      <c r="AB20" s="1263">
        <v>1</v>
      </c>
      <c r="AC20" s="1811">
        <v>1</v>
      </c>
    </row>
    <row r="21" spans="1:29" ht="28">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3"/>
      <c r="Q21" s="1262" t="str">
        <f>B21</f>
        <v>基础设施水平</v>
      </c>
      <c r="R21" s="667" t="s">
        <v>14</v>
      </c>
      <c r="S21" s="668">
        <f>F21</f>
        <v>100</v>
      </c>
      <c r="T21" s="667" t="s">
        <v>14</v>
      </c>
      <c r="U21" s="668">
        <f>H21</f>
        <v>100</v>
      </c>
      <c r="V21" s="667" t="s">
        <v>14</v>
      </c>
      <c r="W21" s="668">
        <f>J21</f>
        <v>100</v>
      </c>
      <c r="X21" s="1264"/>
      <c r="Y21" s="3386"/>
      <c r="Z21" s="1263" t="str">
        <f>Q21</f>
        <v>基础设施水平</v>
      </c>
      <c r="AA21" s="1263">
        <f t="shared" ref="AA21" si="8">D21/F21</f>
        <v>1</v>
      </c>
      <c r="AB21" s="1263">
        <f t="shared" ref="AB21" si="9">D21/H21</f>
        <v>1</v>
      </c>
      <c r="AC21" s="1811">
        <f t="shared" ref="AC21" si="10">D21/J21</f>
        <v>1</v>
      </c>
    </row>
    <row r="22" spans="1:29" ht="15.5">
      <c r="A22" s="367"/>
      <c r="B22" s="557"/>
      <c r="C22" s="1813"/>
      <c r="D22" s="387"/>
      <c r="E22" s="386"/>
      <c r="F22" s="387"/>
      <c r="G22" s="1757"/>
      <c r="H22" s="387"/>
      <c r="I22" s="1757"/>
      <c r="J22" s="387"/>
      <c r="K22" s="1064"/>
      <c r="L22" s="2492"/>
      <c r="M22" s="2487"/>
      <c r="N22" s="2487"/>
      <c r="O22" s="2487"/>
      <c r="P22" s="3393"/>
      <c r="Q22" s="1262"/>
      <c r="R22" s="667"/>
      <c r="S22" s="668"/>
      <c r="T22" s="667"/>
      <c r="U22" s="668"/>
      <c r="V22" s="667"/>
      <c r="W22" s="668"/>
      <c r="X22" s="1264"/>
      <c r="Y22" s="3386"/>
      <c r="Z22" s="1263"/>
      <c r="AA22" s="1263">
        <v>1</v>
      </c>
      <c r="AB22" s="1263">
        <v>1</v>
      </c>
      <c r="AC22" s="1811">
        <v>1</v>
      </c>
    </row>
    <row r="23" spans="1:29" ht="56">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3"/>
      <c r="Q23" s="1262" t="str">
        <f>B23</f>
        <v>环境质量</v>
      </c>
      <c r="R23" s="667" t="s">
        <v>14</v>
      </c>
      <c r="S23" s="668">
        <f>F23</f>
        <v>100</v>
      </c>
      <c r="T23" s="667" t="s">
        <v>14</v>
      </c>
      <c r="U23" s="668">
        <f>H23</f>
        <v>100</v>
      </c>
      <c r="V23" s="667" t="s">
        <v>14</v>
      </c>
      <c r="W23" s="668">
        <f>J23</f>
        <v>100</v>
      </c>
      <c r="X23" s="1264"/>
      <c r="Y23" s="3386"/>
      <c r="Z23" s="1263" t="str">
        <f>Q23</f>
        <v>环境质量</v>
      </c>
      <c r="AA23" s="1263">
        <f t="shared" si="3"/>
        <v>1</v>
      </c>
      <c r="AB23" s="1263">
        <f t="shared" si="4"/>
        <v>1</v>
      </c>
      <c r="AC23" s="1811">
        <f t="shared" si="5"/>
        <v>1</v>
      </c>
    </row>
    <row r="24" spans="1:29" ht="15.5">
      <c r="A24" s="367"/>
      <c r="B24" s="557"/>
      <c r="C24" s="1757"/>
      <c r="D24" s="387"/>
      <c r="E24" s="1750"/>
      <c r="F24" s="387"/>
      <c r="G24" s="1751"/>
      <c r="H24" s="387"/>
      <c r="I24" s="1751"/>
      <c r="J24" s="387"/>
      <c r="K24" s="541"/>
      <c r="L24" s="2492"/>
      <c r="M24" s="2487"/>
      <c r="N24" s="2487"/>
      <c r="O24" s="2487"/>
      <c r="P24" s="3393"/>
      <c r="Q24" s="1262"/>
      <c r="R24" s="667"/>
      <c r="S24" s="668"/>
      <c r="T24" s="667"/>
      <c r="U24" s="668"/>
      <c r="V24" s="667"/>
      <c r="W24" s="668"/>
      <c r="X24" s="1264"/>
      <c r="Y24" s="3386"/>
      <c r="Z24" s="1263"/>
      <c r="AA24" s="1263">
        <v>1</v>
      </c>
      <c r="AB24" s="1263">
        <v>1</v>
      </c>
      <c r="AC24" s="1811">
        <v>1</v>
      </c>
    </row>
    <row r="25" spans="1:29" ht="2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93"/>
      <c r="Q25" s="1262" t="str">
        <f>B25</f>
        <v>毗邻道路的类型与等级</v>
      </c>
      <c r="R25" s="667" t="s">
        <v>14</v>
      </c>
      <c r="S25" s="668">
        <f>F25</f>
        <v>100</v>
      </c>
      <c r="T25" s="667" t="s">
        <v>14</v>
      </c>
      <c r="U25" s="668">
        <f>H25</f>
        <v>100</v>
      </c>
      <c r="V25" s="667" t="s">
        <v>14</v>
      </c>
      <c r="W25" s="668">
        <f>J25</f>
        <v>100</v>
      </c>
      <c r="X25" s="1264"/>
      <c r="Y25" s="3386"/>
      <c r="Z25" s="1263" t="str">
        <f>Q25</f>
        <v>毗邻道路的类型与等级</v>
      </c>
      <c r="AA25" s="1263">
        <f t="shared" si="3"/>
        <v>1</v>
      </c>
      <c r="AB25" s="1263">
        <f t="shared" si="4"/>
        <v>1</v>
      </c>
      <c r="AC25" s="1811">
        <f t="shared" si="5"/>
        <v>1</v>
      </c>
    </row>
    <row r="26" spans="1:29" ht="15.5">
      <c r="A26" s="348"/>
      <c r="B26" s="401"/>
      <c r="C26" s="558"/>
      <c r="D26" s="374"/>
      <c r="E26" s="542"/>
      <c r="F26" s="374"/>
      <c r="G26" s="558"/>
      <c r="H26" s="374"/>
      <c r="I26" s="542"/>
      <c r="J26" s="374"/>
      <c r="K26" s="541"/>
      <c r="L26" s="2492"/>
      <c r="M26" s="2487"/>
      <c r="N26" s="2487"/>
      <c r="O26" s="2487"/>
      <c r="P26" s="3393"/>
      <c r="Q26" s="1262"/>
      <c r="R26" s="667"/>
      <c r="S26" s="668"/>
      <c r="T26" s="667"/>
      <c r="U26" s="668"/>
      <c r="V26" s="667"/>
      <c r="W26" s="668"/>
      <c r="X26" s="1264"/>
      <c r="Y26" s="3386"/>
      <c r="Z26" s="1263"/>
      <c r="AA26" s="1263">
        <v>1</v>
      </c>
      <c r="AB26" s="1263">
        <v>1</v>
      </c>
      <c r="AC26" s="1811">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93"/>
      <c r="Q27" s="1262" t="str">
        <f t="shared" ref="Q27:Q47" si="11">B27</f>
        <v>楼层</v>
      </c>
      <c r="R27" s="667" t="s">
        <v>14</v>
      </c>
      <c r="S27" s="668">
        <f>F27</f>
        <v>100</v>
      </c>
      <c r="T27" s="667" t="s">
        <v>14</v>
      </c>
      <c r="U27" s="668">
        <f>H27</f>
        <v>100</v>
      </c>
      <c r="V27" s="667" t="s">
        <v>14</v>
      </c>
      <c r="W27" s="668">
        <f>J27</f>
        <v>100</v>
      </c>
      <c r="X27" s="1264"/>
      <c r="Y27" s="3386"/>
      <c r="Z27" s="1263" t="str">
        <f>Q27</f>
        <v>楼层</v>
      </c>
      <c r="AA27" s="1263">
        <f t="shared" si="3"/>
        <v>1</v>
      </c>
      <c r="AB27" s="1263">
        <f t="shared" si="4"/>
        <v>1</v>
      </c>
      <c r="AC27" s="1811">
        <f t="shared" si="5"/>
        <v>1</v>
      </c>
    </row>
    <row r="28" spans="1:29" s="102" customFormat="1" ht="15.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93"/>
      <c r="Q28" s="530" t="str">
        <f t="shared" si="11"/>
        <v>朝向</v>
      </c>
      <c r="R28" s="664" t="s">
        <v>14</v>
      </c>
      <c r="S28" s="665">
        <f>F28</f>
        <v>100</v>
      </c>
      <c r="T28" s="664" t="s">
        <v>14</v>
      </c>
      <c r="U28" s="665">
        <f>H28</f>
        <v>100</v>
      </c>
      <c r="V28" s="664" t="s">
        <v>14</v>
      </c>
      <c r="W28" s="665">
        <f>J28</f>
        <v>100</v>
      </c>
      <c r="X28" s="666"/>
      <c r="Y28" s="3386"/>
      <c r="Z28" s="50" t="str">
        <f>Q28</f>
        <v>朝向</v>
      </c>
      <c r="AA28" s="1263">
        <f>D28/F28</f>
        <v>1</v>
      </c>
      <c r="AB28" s="1263">
        <f>D28/H28</f>
        <v>1</v>
      </c>
      <c r="AC28" s="1811">
        <f>D28/J28</f>
        <v>1</v>
      </c>
    </row>
    <row r="29" spans="1:29" ht="15.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93"/>
      <c r="Q29" s="1262">
        <f t="shared" si="11"/>
        <v>111</v>
      </c>
      <c r="R29" s="667" t="s">
        <v>14</v>
      </c>
      <c r="S29" s="668">
        <f t="shared" ref="S29:S47" si="12">F29</f>
        <v>100</v>
      </c>
      <c r="T29" s="667" t="s">
        <v>14</v>
      </c>
      <c r="U29" s="668">
        <f t="shared" ref="U29:U47" si="13">H29</f>
        <v>100</v>
      </c>
      <c r="V29" s="667" t="s">
        <v>14</v>
      </c>
      <c r="W29" s="668">
        <f t="shared" ref="W29:W47" si="14">J29</f>
        <v>100</v>
      </c>
      <c r="X29" s="1264"/>
      <c r="Y29" s="3386"/>
      <c r="Z29" s="1263">
        <f t="shared" ref="Z29:Z47" si="15">Q29</f>
        <v>111</v>
      </c>
      <c r="AA29" s="1263">
        <f t="shared" si="3"/>
        <v>1</v>
      </c>
      <c r="AB29" s="1263">
        <f t="shared" si="4"/>
        <v>1</v>
      </c>
      <c r="AC29" s="1811">
        <f t="shared" si="5"/>
        <v>1</v>
      </c>
    </row>
    <row r="30" spans="1:29" ht="15.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93"/>
      <c r="Q30" s="1262">
        <f t="shared" si="11"/>
        <v>111</v>
      </c>
      <c r="R30" s="667" t="s">
        <v>14</v>
      </c>
      <c r="S30" s="668">
        <f t="shared" si="12"/>
        <v>100</v>
      </c>
      <c r="T30" s="667" t="s">
        <v>14</v>
      </c>
      <c r="U30" s="668">
        <f t="shared" si="13"/>
        <v>100</v>
      </c>
      <c r="V30" s="667" t="s">
        <v>14</v>
      </c>
      <c r="W30" s="668">
        <f t="shared" si="14"/>
        <v>100</v>
      </c>
      <c r="X30" s="1264"/>
      <c r="Y30" s="3386"/>
      <c r="Z30" s="1263">
        <f t="shared" si="15"/>
        <v>111</v>
      </c>
      <c r="AA30" s="1263">
        <f t="shared" si="3"/>
        <v>1</v>
      </c>
      <c r="AB30" s="1263">
        <f t="shared" si="4"/>
        <v>1</v>
      </c>
      <c r="AC30" s="1811">
        <f t="shared" si="5"/>
        <v>1</v>
      </c>
    </row>
    <row r="31" spans="1:29" ht="15.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93"/>
      <c r="Q31" s="1262">
        <f t="shared" si="11"/>
        <v>111</v>
      </c>
      <c r="R31" s="667" t="s">
        <v>14</v>
      </c>
      <c r="S31" s="668">
        <f t="shared" si="12"/>
        <v>100</v>
      </c>
      <c r="T31" s="667" t="s">
        <v>14</v>
      </c>
      <c r="U31" s="668">
        <f t="shared" si="13"/>
        <v>100</v>
      </c>
      <c r="V31" s="667" t="s">
        <v>14</v>
      </c>
      <c r="W31" s="668">
        <f t="shared" si="14"/>
        <v>100</v>
      </c>
      <c r="X31" s="1264"/>
      <c r="Y31" s="3386"/>
      <c r="Z31" s="1263">
        <f t="shared" si="15"/>
        <v>111</v>
      </c>
      <c r="AA31" s="1263">
        <f t="shared" si="3"/>
        <v>1</v>
      </c>
      <c r="AB31" s="1263">
        <f t="shared" si="4"/>
        <v>1</v>
      </c>
      <c r="AC31" s="1811">
        <f t="shared" si="5"/>
        <v>1</v>
      </c>
    </row>
    <row r="32" spans="1:29" ht="1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93"/>
      <c r="Q32" s="1262">
        <f t="shared" si="11"/>
        <v>111</v>
      </c>
      <c r="R32" s="667" t="s">
        <v>14</v>
      </c>
      <c r="S32" s="668">
        <f t="shared" si="12"/>
        <v>100</v>
      </c>
      <c r="T32" s="667" t="s">
        <v>14</v>
      </c>
      <c r="U32" s="668">
        <f t="shared" si="13"/>
        <v>100</v>
      </c>
      <c r="V32" s="667" t="s">
        <v>14</v>
      </c>
      <c r="W32" s="668">
        <f t="shared" si="14"/>
        <v>100</v>
      </c>
      <c r="X32" s="1264"/>
      <c r="Y32" s="3386"/>
      <c r="Z32" s="1263">
        <f t="shared" si="15"/>
        <v>111</v>
      </c>
      <c r="AA32" s="1263">
        <f t="shared" si="3"/>
        <v>1</v>
      </c>
      <c r="AB32" s="1263">
        <f t="shared" si="4"/>
        <v>1</v>
      </c>
      <c r="AC32" s="1811">
        <f t="shared" si="5"/>
        <v>1</v>
      </c>
    </row>
    <row r="33" spans="1:29" ht="15.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87" t="s">
        <v>1696</v>
      </c>
      <c r="Q33" s="1262" t="str">
        <f t="shared" si="11"/>
        <v>建筑类型</v>
      </c>
      <c r="R33" s="667" t="s">
        <v>14</v>
      </c>
      <c r="S33" s="668">
        <f t="shared" si="12"/>
        <v>100</v>
      </c>
      <c r="T33" s="667" t="s">
        <v>14</v>
      </c>
      <c r="U33" s="668">
        <f t="shared" si="13"/>
        <v>100</v>
      </c>
      <c r="V33" s="667" t="s">
        <v>14</v>
      </c>
      <c r="W33" s="668">
        <f t="shared" si="14"/>
        <v>100</v>
      </c>
      <c r="X33" s="1264"/>
      <c r="Y33" s="3390" t="s">
        <v>1696</v>
      </c>
      <c r="Z33" s="1263" t="str">
        <f t="shared" si="15"/>
        <v>建筑类型</v>
      </c>
      <c r="AA33" s="1263">
        <f t="shared" si="3"/>
        <v>1</v>
      </c>
      <c r="AB33" s="1263">
        <f t="shared" si="4"/>
        <v>1</v>
      </c>
      <c r="AC33" s="1811">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8"/>
      <c r="Q34" s="531" t="str">
        <f t="shared" si="11"/>
        <v>项目建筑规模</v>
      </c>
      <c r="R34" s="669" t="s">
        <v>14</v>
      </c>
      <c r="S34" s="670" t="e">
        <f t="shared" si="12"/>
        <v>#N/A</v>
      </c>
      <c r="T34" s="669" t="s">
        <v>14</v>
      </c>
      <c r="U34" s="670" t="e">
        <f t="shared" si="13"/>
        <v>#N/A</v>
      </c>
      <c r="V34" s="669" t="s">
        <v>14</v>
      </c>
      <c r="W34" s="670" t="e">
        <f t="shared" si="14"/>
        <v>#N/A</v>
      </c>
      <c r="X34" s="671"/>
      <c r="Y34" s="3390"/>
      <c r="Z34" s="672" t="str">
        <f t="shared" si="15"/>
        <v>项目建筑规模</v>
      </c>
      <c r="AA34" s="1263" t="e">
        <f t="shared" si="3"/>
        <v>#N/A</v>
      </c>
      <c r="AB34" s="1263" t="e">
        <f t="shared" si="4"/>
        <v>#N/A</v>
      </c>
      <c r="AC34" s="1811"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8"/>
      <c r="Q35" s="1262" t="str">
        <f t="shared" si="11"/>
        <v>建筑结构</v>
      </c>
      <c r="R35" s="667" t="s">
        <v>14</v>
      </c>
      <c r="S35" s="668">
        <f t="shared" si="12"/>
        <v>100</v>
      </c>
      <c r="T35" s="667" t="s">
        <v>14</v>
      </c>
      <c r="U35" s="668">
        <f t="shared" si="13"/>
        <v>100</v>
      </c>
      <c r="V35" s="667" t="s">
        <v>14</v>
      </c>
      <c r="W35" s="668">
        <f t="shared" si="14"/>
        <v>100</v>
      </c>
      <c r="X35" s="1264"/>
      <c r="Y35" s="3390"/>
      <c r="Z35" s="1263" t="str">
        <f t="shared" si="15"/>
        <v>建筑结构</v>
      </c>
      <c r="AA35" s="1263">
        <f t="shared" si="3"/>
        <v>1</v>
      </c>
      <c r="AB35" s="1263">
        <f t="shared" si="4"/>
        <v>1</v>
      </c>
      <c r="AC35" s="1811">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8"/>
      <c r="Q36" s="1262" t="str">
        <f t="shared" si="11"/>
        <v>公共部分装修</v>
      </c>
      <c r="R36" s="667" t="s">
        <v>14</v>
      </c>
      <c r="S36" s="668">
        <f t="shared" si="12"/>
        <v>100</v>
      </c>
      <c r="T36" s="667" t="s">
        <v>14</v>
      </c>
      <c r="U36" s="668">
        <f t="shared" si="13"/>
        <v>100</v>
      </c>
      <c r="V36" s="667" t="s">
        <v>14</v>
      </c>
      <c r="W36" s="668">
        <f t="shared" si="14"/>
        <v>100</v>
      </c>
      <c r="X36" s="1264"/>
      <c r="Y36" s="3390"/>
      <c r="Z36" s="1263" t="str">
        <f t="shared" si="15"/>
        <v>公共部分装修</v>
      </c>
      <c r="AA36" s="1263">
        <f t="shared" si="3"/>
        <v>1</v>
      </c>
      <c r="AB36" s="1263">
        <f t="shared" si="4"/>
        <v>1</v>
      </c>
      <c r="AC36" s="1811">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8"/>
      <c r="Q37" s="1262" t="str">
        <f t="shared" si="11"/>
        <v>成新度</v>
      </c>
      <c r="R37" s="667" t="s">
        <v>14</v>
      </c>
      <c r="S37" s="668" t="e">
        <f t="shared" si="12"/>
        <v>#N/A</v>
      </c>
      <c r="T37" s="667" t="s">
        <v>14</v>
      </c>
      <c r="U37" s="668" t="e">
        <f t="shared" si="13"/>
        <v>#N/A</v>
      </c>
      <c r="V37" s="667" t="s">
        <v>14</v>
      </c>
      <c r="W37" s="668" t="e">
        <f t="shared" si="14"/>
        <v>#N/A</v>
      </c>
      <c r="X37" s="1264"/>
      <c r="Y37" s="3390"/>
      <c r="Z37" s="1263" t="str">
        <f t="shared" si="15"/>
        <v>成新度</v>
      </c>
      <c r="AA37" s="1263" t="e">
        <f t="shared" si="3"/>
        <v>#N/A</v>
      </c>
      <c r="AB37" s="1263" t="e">
        <f t="shared" si="4"/>
        <v>#N/A</v>
      </c>
      <c r="AC37" s="1811"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8"/>
      <c r="Q38" s="530" t="str">
        <f t="shared" si="11"/>
        <v>写字楼等级</v>
      </c>
      <c r="R38" s="664" t="s">
        <v>14</v>
      </c>
      <c r="S38" s="665">
        <f t="shared" si="12"/>
        <v>100</v>
      </c>
      <c r="T38" s="664" t="s">
        <v>14</v>
      </c>
      <c r="U38" s="665">
        <f t="shared" si="13"/>
        <v>100</v>
      </c>
      <c r="V38" s="664" t="s">
        <v>14</v>
      </c>
      <c r="W38" s="665">
        <f t="shared" si="14"/>
        <v>100</v>
      </c>
      <c r="X38" s="666"/>
      <c r="Y38" s="3390"/>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8" t="s">
        <v>1696</v>
      </c>
      <c r="Q39" s="1262" t="str">
        <f t="shared" si="11"/>
        <v>物业管理</v>
      </c>
      <c r="R39" s="667" t="s">
        <v>14</v>
      </c>
      <c r="S39" s="668">
        <f t="shared" si="12"/>
        <v>100</v>
      </c>
      <c r="T39" s="667" t="s">
        <v>14</v>
      </c>
      <c r="U39" s="668">
        <f t="shared" si="13"/>
        <v>100</v>
      </c>
      <c r="V39" s="667" t="s">
        <v>14</v>
      </c>
      <c r="W39" s="668">
        <f t="shared" si="14"/>
        <v>100</v>
      </c>
      <c r="X39" s="1264"/>
      <c r="Y39" s="3390" t="s">
        <v>1696</v>
      </c>
      <c r="Z39" s="1263" t="str">
        <f t="shared" si="15"/>
        <v>物业管理</v>
      </c>
      <c r="AA39" s="1263">
        <f t="shared" si="3"/>
        <v>1</v>
      </c>
      <c r="AB39" s="1263">
        <f t="shared" si="4"/>
        <v>1</v>
      </c>
      <c r="AC39" s="1811">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8"/>
      <c r="Q40" s="1262" t="str">
        <f t="shared" si="11"/>
        <v>市政基础设施</v>
      </c>
      <c r="R40" s="667" t="s">
        <v>14</v>
      </c>
      <c r="S40" s="668">
        <f t="shared" si="12"/>
        <v>100</v>
      </c>
      <c r="T40" s="667" t="s">
        <v>14</v>
      </c>
      <c r="U40" s="668">
        <f t="shared" si="13"/>
        <v>100</v>
      </c>
      <c r="V40" s="667" t="s">
        <v>14</v>
      </c>
      <c r="W40" s="668">
        <f t="shared" si="14"/>
        <v>100</v>
      </c>
      <c r="X40" s="1264"/>
      <c r="Y40" s="3390"/>
      <c r="Z40" s="1263" t="str">
        <f t="shared" si="15"/>
        <v>市政基础设施</v>
      </c>
      <c r="AA40" s="1263">
        <f t="shared" si="3"/>
        <v>1</v>
      </c>
      <c r="AB40" s="1263">
        <f t="shared" si="4"/>
        <v>1</v>
      </c>
      <c r="AC40" s="1811">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8"/>
      <c r="Q41" s="1262" t="str">
        <f t="shared" si="11"/>
        <v>层高</v>
      </c>
      <c r="R41" s="667" t="s">
        <v>14</v>
      </c>
      <c r="S41" s="668">
        <f t="shared" si="12"/>
        <v>100</v>
      </c>
      <c r="T41" s="667" t="s">
        <v>14</v>
      </c>
      <c r="U41" s="668">
        <f t="shared" si="13"/>
        <v>100</v>
      </c>
      <c r="V41" s="667" t="s">
        <v>14</v>
      </c>
      <c r="W41" s="668">
        <f t="shared" si="14"/>
        <v>100</v>
      </c>
      <c r="X41" s="1264"/>
      <c r="Y41" s="3390"/>
      <c r="Z41" s="1263" t="str">
        <f t="shared" si="15"/>
        <v>层高</v>
      </c>
      <c r="AA41" s="1263">
        <f t="shared" si="3"/>
        <v>1</v>
      </c>
      <c r="AB41" s="1263">
        <f t="shared" si="4"/>
        <v>1</v>
      </c>
      <c r="AC41" s="1811">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8"/>
      <c r="Q42" s="531" t="str">
        <f t="shared" si="11"/>
        <v>单套建筑面积</v>
      </c>
      <c r="R42" s="669" t="s">
        <v>14</v>
      </c>
      <c r="S42" s="670">
        <f t="shared" si="12"/>
        <v>100</v>
      </c>
      <c r="T42" s="669" t="s">
        <v>14</v>
      </c>
      <c r="U42" s="670">
        <f t="shared" si="13"/>
        <v>100</v>
      </c>
      <c r="V42" s="669" t="s">
        <v>14</v>
      </c>
      <c r="W42" s="670">
        <f t="shared" si="14"/>
        <v>100</v>
      </c>
      <c r="X42" s="671"/>
      <c r="Y42" s="3390"/>
      <c r="Z42" s="672" t="str">
        <f t="shared" si="15"/>
        <v>单套建筑面积</v>
      </c>
      <c r="AA42" s="1263">
        <f t="shared" si="3"/>
        <v>1</v>
      </c>
      <c r="AB42" s="1263">
        <f t="shared" si="4"/>
        <v>1</v>
      </c>
      <c r="AC42" s="1811">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8"/>
      <c r="Q43" s="1262" t="str">
        <f t="shared" si="11"/>
        <v>内部装修</v>
      </c>
      <c r="R43" s="667" t="s">
        <v>14</v>
      </c>
      <c r="S43" s="668">
        <f t="shared" si="12"/>
        <v>100</v>
      </c>
      <c r="T43" s="667" t="s">
        <v>14</v>
      </c>
      <c r="U43" s="668">
        <f t="shared" si="13"/>
        <v>100</v>
      </c>
      <c r="V43" s="667" t="s">
        <v>14</v>
      </c>
      <c r="W43" s="668">
        <f t="shared" si="14"/>
        <v>100</v>
      </c>
      <c r="X43" s="1264"/>
      <c r="Y43" s="3390"/>
      <c r="Z43" s="1263" t="str">
        <f t="shared" si="15"/>
        <v>内部装修</v>
      </c>
      <c r="AA43" s="1263">
        <f t="shared" si="3"/>
        <v>1</v>
      </c>
      <c r="AB43" s="1263">
        <f t="shared" si="4"/>
        <v>1</v>
      </c>
      <c r="AC43" s="1811">
        <f t="shared" si="5"/>
        <v>1</v>
      </c>
    </row>
    <row r="44" spans="1:29" ht="2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88"/>
      <c r="Q44" s="1262" t="str">
        <f t="shared" si="11"/>
        <v>内部装修维护情况</v>
      </c>
      <c r="R44" s="667" t="s">
        <v>14</v>
      </c>
      <c r="S44" s="668">
        <f t="shared" si="12"/>
        <v>100</v>
      </c>
      <c r="T44" s="667" t="s">
        <v>14</v>
      </c>
      <c r="U44" s="668">
        <f t="shared" si="13"/>
        <v>100</v>
      </c>
      <c r="V44" s="667" t="s">
        <v>14</v>
      </c>
      <c r="W44" s="668">
        <f t="shared" si="14"/>
        <v>100</v>
      </c>
      <c r="X44" s="1264"/>
      <c r="Y44" s="3390"/>
      <c r="Z44" s="1263" t="str">
        <f t="shared" si="15"/>
        <v>内部装修维护情况</v>
      </c>
      <c r="AA44" s="1263">
        <f t="shared" si="3"/>
        <v>1</v>
      </c>
      <c r="AB44" s="1263">
        <f t="shared" si="4"/>
        <v>1</v>
      </c>
      <c r="AC44" s="1811">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8"/>
      <c r="Q45" s="530">
        <f t="shared" si="11"/>
        <v>111</v>
      </c>
      <c r="R45" s="664" t="s">
        <v>14</v>
      </c>
      <c r="S45" s="665">
        <f t="shared" si="12"/>
        <v>100</v>
      </c>
      <c r="T45" s="664" t="s">
        <v>14</v>
      </c>
      <c r="U45" s="665">
        <f t="shared" si="13"/>
        <v>100</v>
      </c>
      <c r="V45" s="664" t="s">
        <v>14</v>
      </c>
      <c r="W45" s="665">
        <f t="shared" si="14"/>
        <v>100</v>
      </c>
      <c r="X45" s="666"/>
      <c r="Y45" s="3390"/>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8"/>
      <c r="Q46" s="1262">
        <f t="shared" si="11"/>
        <v>111</v>
      </c>
      <c r="R46" s="667" t="s">
        <v>14</v>
      </c>
      <c r="S46" s="668">
        <f t="shared" si="12"/>
        <v>100</v>
      </c>
      <c r="T46" s="667" t="s">
        <v>14</v>
      </c>
      <c r="U46" s="668">
        <f t="shared" si="13"/>
        <v>100</v>
      </c>
      <c r="V46" s="667" t="s">
        <v>14</v>
      </c>
      <c r="W46" s="668">
        <f t="shared" si="14"/>
        <v>100</v>
      </c>
      <c r="X46" s="1264"/>
      <c r="Y46" s="3390"/>
      <c r="Z46" s="1263">
        <f t="shared" si="15"/>
        <v>111</v>
      </c>
      <c r="AA46" s="1263">
        <f t="shared" si="3"/>
        <v>1</v>
      </c>
      <c r="AB46" s="1263">
        <f t="shared" si="4"/>
        <v>1</v>
      </c>
      <c r="AC46" s="1811">
        <f t="shared" si="5"/>
        <v>1</v>
      </c>
    </row>
    <row r="47" spans="1:29" ht="1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9"/>
      <c r="Q47" s="1262">
        <f t="shared" si="11"/>
        <v>111</v>
      </c>
      <c r="R47" s="667" t="s">
        <v>14</v>
      </c>
      <c r="S47" s="668">
        <f t="shared" si="12"/>
        <v>100</v>
      </c>
      <c r="T47" s="667" t="s">
        <v>14</v>
      </c>
      <c r="U47" s="668">
        <f t="shared" si="13"/>
        <v>100</v>
      </c>
      <c r="V47" s="667" t="s">
        <v>14</v>
      </c>
      <c r="W47" s="668">
        <f t="shared" si="14"/>
        <v>100</v>
      </c>
      <c r="X47" s="1264"/>
      <c r="Y47" s="3391"/>
      <c r="Z47" s="1263">
        <f t="shared" si="15"/>
        <v>111</v>
      </c>
      <c r="AA47" s="1263">
        <f t="shared" si="3"/>
        <v>1</v>
      </c>
      <c r="AB47" s="1263">
        <f t="shared" si="4"/>
        <v>1</v>
      </c>
      <c r="AC47" s="1811">
        <f t="shared" si="5"/>
        <v>1</v>
      </c>
    </row>
    <row r="48" spans="1:29">
      <c r="A48" s="416" t="s">
        <v>1708</v>
      </c>
      <c r="B48" s="417"/>
      <c r="C48" s="1080" t="s">
        <v>0</v>
      </c>
      <c r="D48" s="418"/>
      <c r="E48" s="419"/>
      <c r="F48" s="420"/>
      <c r="G48" s="421"/>
      <c r="H48" s="422"/>
      <c r="I48" s="419"/>
      <c r="J48" s="422"/>
      <c r="K48" s="674"/>
      <c r="L48" s="2494"/>
      <c r="M48" s="2487"/>
      <c r="N48" s="2487"/>
      <c r="O48" s="2487"/>
      <c r="P48" s="3394" t="str">
        <f>A48</f>
        <v>成交单价（元/平方米）</v>
      </c>
      <c r="Q48" s="3383"/>
      <c r="R48" s="3384">
        <f>E48</f>
        <v>0</v>
      </c>
      <c r="S48" s="3384"/>
      <c r="T48" s="3384">
        <f>G48</f>
        <v>0</v>
      </c>
      <c r="U48" s="3384"/>
      <c r="V48" s="3384">
        <f>I48</f>
        <v>0</v>
      </c>
      <c r="W48" s="3384"/>
      <c r="X48" s="385"/>
      <c r="Y48" s="673"/>
      <c r="Z48" s="385"/>
      <c r="AA48" s="385"/>
      <c r="AB48" s="385"/>
      <c r="AC48" s="555"/>
    </row>
    <row r="49" spans="1:29" ht="14.5" thickBot="1">
      <c r="A49" s="423" t="s">
        <v>1793</v>
      </c>
      <c r="B49" s="424"/>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394" t="str">
        <f>A49</f>
        <v>比较价值（元/平方米）</v>
      </c>
      <c r="Q49" s="3383"/>
      <c r="R49" s="3384" t="e">
        <f>IF(F1="售价",ROUND(PRODUCT(R48,AA7:AA47),0),ROUND(PRODUCT(R48,AA7:AA47),1))</f>
        <v>#DIV/0!</v>
      </c>
      <c r="S49" s="3384"/>
      <c r="T49" s="3384" t="e">
        <f>IF(F1="售价",ROUND(PRODUCT(T48,AB7:AB47),0),ROUND(PRODUCT(T48,AB7:AB47),1))</f>
        <v>#DIV/0!</v>
      </c>
      <c r="U49" s="3384"/>
      <c r="V49" s="3384" t="e">
        <f>IF(F1="售价",ROUND(PRODUCT(V48,AC7:AC47),0),ROUND(PRODUCT(V48,AC7:AC47),1))</f>
        <v>#DIV/0!</v>
      </c>
      <c r="W49" s="3384"/>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4"/>
      <c r="M50" s="2487"/>
      <c r="N50" s="2487"/>
      <c r="O50" s="2487"/>
      <c r="P50" s="3425" t="str">
        <f>A50</f>
        <v>估价对象XX用房的比较价值（楼面单价，元/平方米）</v>
      </c>
      <c r="Q50" s="3426"/>
      <c r="R50" s="3427" t="e">
        <f>IF(F1="售价",ROUND(IF(D49="简单平均",AVERAGE(R49:V49),R49*F49+T49*H49+V49*J49),0),ROUND(IF(D49="简单平均",AVERAGE(R49:V49),R49*F49+T49*H49+V49*J49),1))</f>
        <v>#DIV/0!</v>
      </c>
      <c r="S50" s="3427"/>
      <c r="T50" s="3427"/>
      <c r="U50" s="3427"/>
      <c r="V50" s="3427"/>
      <c r="W50" s="3427"/>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2" t="str">
        <f>YEAR(C7)&amp;"-"&amp;MONTH(C7)</f>
        <v>2025-12</v>
      </c>
      <c r="D59" s="1103">
        <f>EDATE(C59,-1)</f>
        <v>45962</v>
      </c>
      <c r="E59" s="1103">
        <f>EDATE(D59,-1)</f>
        <v>45931</v>
      </c>
      <c r="F59" s="1103">
        <f t="shared" ref="F59:O59" si="16">EDATE(E59,-1)</f>
        <v>45901</v>
      </c>
      <c r="G59" s="1103">
        <f t="shared" si="16"/>
        <v>45870</v>
      </c>
      <c r="H59" s="1103">
        <f t="shared" si="16"/>
        <v>45839</v>
      </c>
      <c r="I59" s="1103">
        <f t="shared" si="16"/>
        <v>45809</v>
      </c>
      <c r="J59" s="1103">
        <f t="shared" si="16"/>
        <v>45778</v>
      </c>
      <c r="K59" s="1103">
        <f t="shared" si="16"/>
        <v>45748</v>
      </c>
      <c r="L59" s="1103">
        <f t="shared" si="16"/>
        <v>45717</v>
      </c>
      <c r="M59" s="1103">
        <f t="shared" si="16"/>
        <v>45689</v>
      </c>
      <c r="N59" s="1103">
        <f t="shared" si="16"/>
        <v>45658</v>
      </c>
      <c r="O59" s="1103">
        <f t="shared" si="16"/>
        <v>45627</v>
      </c>
      <c r="P59" s="2527"/>
      <c r="Q59" s="2510"/>
      <c r="R59" s="2510"/>
      <c r="S59" s="2510"/>
      <c r="T59" s="2510"/>
      <c r="U59" s="2510"/>
      <c r="V59" s="2510"/>
      <c r="W59" s="2510"/>
      <c r="X59" s="2510"/>
      <c r="Y59" s="2510"/>
      <c r="Z59" s="2510"/>
      <c r="AA59" s="2510"/>
      <c r="AB59" s="2510"/>
      <c r="AC59" s="2510"/>
    </row>
    <row r="60" spans="1:29" s="102" customFormat="1">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4.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79" t="s">
        <v>898</v>
      </c>
    </row>
    <row r="3" spans="1:1" ht="18">
      <c r="A3" s="1380" t="str">
        <f>项目基本情况!B5&amp;"："</f>
        <v>：</v>
      </c>
    </row>
    <row r="4" spans="1:1" ht="17.5">
      <c r="A4" s="1381" t="str">
        <f>"受贵公司委托，我公司对"&amp;项目基本情况!S1&amp;"进行了预评估。"</f>
        <v>受贵公司委托，我公司对北京市房地产抵押价值进行了预评估。</v>
      </c>
    </row>
    <row r="5" spans="1:1" ht="18">
      <c r="A5" s="1382" t="s">
        <v>899</v>
      </c>
    </row>
    <row r="6" spans="1:1" ht="17.5">
      <c r="A6" s="1383" t="s">
        <v>900</v>
      </c>
    </row>
    <row r="7" spans="1:1" ht="17.5">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估价对象为北京市房地产，为所有。根据《国有土地使用证》[]，估价对象（分摊）出让国有建设用地使用权面积为5038.53平方米，建筑面积为2738.73平方米。</v>
      </c>
    </row>
    <row r="8" spans="1:1" ht="53.5">
      <c r="A8" s="1384" t="s">
        <v>901</v>
      </c>
    </row>
    <row r="9" spans="1:1" ht="17.5">
      <c r="A9" s="1383" t="s">
        <v>902</v>
      </c>
    </row>
    <row r="10" spans="1:1" ht="17.5">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估价对象为北京市房地产,属开发建设的工业项目，该项目尚在开发建设中。根据《国有土地使用证》[]，估价对象（分摊）出让国有建设用地使用权面积为5038.53平方米，规划建筑面积为2738.73平方米。</v>
      </c>
    </row>
    <row r="11" spans="1:1" ht="71">
      <c r="A11" s="1384" t="s">
        <v>903</v>
      </c>
    </row>
    <row r="12" spans="1:1" ht="18">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380" t="s">
        <v>905</v>
      </c>
    </row>
    <row r="15" spans="1:1" ht="17.5">
      <c r="A15" s="1385" t="str">
        <f>TEXT(项目基本情况!D3,"yyyy年m月d日;;")&amp;IF(项目基本情况!D3=项目基本情况!B3,"（评估专业人员实地查勘之日）","")</f>
        <v>2025年12月31日</v>
      </c>
    </row>
    <row r="16" spans="1:1" ht="18">
      <c r="A16" s="1380" t="s">
        <v>906</v>
      </c>
    </row>
    <row r="17" spans="1:1" ht="70">
      <c r="A17" s="1381" t="s">
        <v>907</v>
      </c>
    </row>
    <row r="18" spans="1:1" ht="52.5">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0" t="s">
        <v>896</v>
      </c>
    </row>
    <row r="24" spans="1:1" ht="17.5">
      <c r="A24" s="1386" t="str">
        <f>"本次评估采用的主估价方法为"&amp;结果表!K4&amp;"和"&amp;结果表!L4&amp;"。"</f>
        <v>本次评估采用的主估价方法为成本法和收益法。</v>
      </c>
    </row>
    <row r="25" spans="1:1" ht="17.5">
      <c r="A25" s="1386"/>
    </row>
    <row r="26" spans="1:1" ht="1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2738.73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8" t="s">
        <v>1770</v>
      </c>
      <c r="D4" s="3399"/>
      <c r="E4" s="3400" t="s">
        <v>1771</v>
      </c>
      <c r="F4" s="3401"/>
      <c r="G4" s="3398" t="s">
        <v>1772</v>
      </c>
      <c r="H4" s="3399"/>
      <c r="I4" s="3398" t="s">
        <v>1773</v>
      </c>
      <c r="J4" s="3399"/>
      <c r="K4" s="537" t="s">
        <v>1774</v>
      </c>
      <c r="L4" s="860"/>
      <c r="M4" s="861"/>
      <c r="N4" s="861"/>
      <c r="O4" s="861"/>
      <c r="P4" s="3402" t="s">
        <v>1775</v>
      </c>
      <c r="Q4" s="3403"/>
      <c r="R4" s="3408" t="s">
        <v>1771</v>
      </c>
      <c r="S4" s="3409"/>
      <c r="T4" s="3408" t="s">
        <v>1772</v>
      </c>
      <c r="U4" s="3409"/>
      <c r="V4" s="3384" t="s">
        <v>1773</v>
      </c>
      <c r="W4" s="3384"/>
      <c r="X4" s="1264"/>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860"/>
      <c r="M5" s="861"/>
      <c r="N5" s="861"/>
      <c r="O5" s="861"/>
      <c r="P5" s="3404"/>
      <c r="Q5" s="3405"/>
      <c r="R5" s="3410"/>
      <c r="S5" s="3411"/>
      <c r="T5" s="3410"/>
      <c r="U5" s="3411"/>
      <c r="V5" s="3384"/>
      <c r="W5" s="3384"/>
      <c r="X5" s="1264"/>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860"/>
      <c r="M6" s="861"/>
      <c r="N6" s="861"/>
      <c r="O6" s="861"/>
      <c r="P6" s="3406"/>
      <c r="Q6" s="3407"/>
      <c r="R6" s="3410"/>
      <c r="S6" s="3411"/>
      <c r="T6" s="3412"/>
      <c r="U6" s="3413"/>
      <c r="V6" s="3384"/>
      <c r="W6" s="3384"/>
      <c r="X6" s="1264"/>
      <c r="Y6" s="3412"/>
      <c r="Z6" s="3413"/>
      <c r="AA6" s="3397"/>
      <c r="AB6" s="3397"/>
      <c r="AC6" s="3397"/>
    </row>
    <row r="7" spans="1:29" s="102" customFormat="1" ht="14.5" thickBot="1">
      <c r="A7" s="352" t="s">
        <v>1679</v>
      </c>
      <c r="B7" s="353"/>
      <c r="C7" s="354">
        <f>'数据-取费表'!B2</f>
        <v>46022</v>
      </c>
      <c r="D7" s="355">
        <v>100</v>
      </c>
      <c r="E7" s="356"/>
      <c r="F7" s="357">
        <f>SUMIF(52:52,YEAR(E7)&amp;"-"&amp;MONTH(E7),53:53)</f>
        <v>0</v>
      </c>
      <c r="G7" s="356"/>
      <c r="H7" s="355">
        <f>SUMIF(52:52,YEAR(G7)&amp;"-"&amp;MONTH(G7),53:53)</f>
        <v>0</v>
      </c>
      <c r="I7" s="356"/>
      <c r="J7" s="355">
        <f>SUMIF(52:52,YEAR(I7)&amp;"-"&amp;MONTH(I7),53:53)</f>
        <v>0</v>
      </c>
      <c r="K7" s="38"/>
      <c r="L7" s="862"/>
      <c r="M7" s="863"/>
      <c r="N7" s="863"/>
      <c r="O7" s="863"/>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8" t="s">
        <v>1683</v>
      </c>
      <c r="Q8" s="3419"/>
      <c r="R8" s="664" t="s">
        <v>14</v>
      </c>
      <c r="S8" s="665">
        <f t="shared" si="0"/>
        <v>100</v>
      </c>
      <c r="T8" s="664" t="s">
        <v>14</v>
      </c>
      <c r="U8" s="665">
        <f t="shared" si="1"/>
        <v>100</v>
      </c>
      <c r="V8" s="664" t="s">
        <v>14</v>
      </c>
      <c r="W8" s="665">
        <f t="shared" si="2"/>
        <v>100</v>
      </c>
      <c r="X8" s="666"/>
      <c r="Y8" s="3418" t="s">
        <v>1683</v>
      </c>
      <c r="Z8" s="341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3"/>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70">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5" t="s">
        <v>1691</v>
      </c>
      <c r="Q15" s="1262" t="str">
        <f t="shared" si="6"/>
        <v>产业集聚程度</v>
      </c>
      <c r="R15" s="667" t="s">
        <v>14</v>
      </c>
      <c r="S15" s="668">
        <f t="shared" si="0"/>
        <v>100</v>
      </c>
      <c r="T15" s="667" t="s">
        <v>14</v>
      </c>
      <c r="U15" s="668">
        <f t="shared" si="1"/>
        <v>100</v>
      </c>
      <c r="V15" s="667" t="s">
        <v>14</v>
      </c>
      <c r="W15" s="668">
        <f t="shared" si="2"/>
        <v>100</v>
      </c>
      <c r="X15" s="1264"/>
      <c r="Y15" s="3385" t="s">
        <v>1691</v>
      </c>
      <c r="Z15" s="1263" t="str">
        <f t="shared" si="7"/>
        <v>产业集聚程度</v>
      </c>
      <c r="AA15" s="1263">
        <f t="shared" si="3"/>
        <v>1</v>
      </c>
      <c r="AB15" s="1263">
        <f t="shared" si="4"/>
        <v>1</v>
      </c>
      <c r="AC15" s="1263">
        <f t="shared" si="5"/>
        <v>1</v>
      </c>
    </row>
    <row r="16" spans="1:29" ht="15.5">
      <c r="A16" s="367"/>
      <c r="B16" s="385"/>
      <c r="C16" s="386"/>
      <c r="D16" s="387"/>
      <c r="E16" s="386"/>
      <c r="F16" s="388"/>
      <c r="G16" s="386"/>
      <c r="H16" s="389"/>
      <c r="I16" s="386"/>
      <c r="J16" s="387"/>
      <c r="K16" s="541"/>
      <c r="L16" s="870"/>
      <c r="M16" s="861"/>
      <c r="N16" s="861"/>
      <c r="O16" s="869"/>
      <c r="P16" s="3386"/>
      <c r="Q16" s="1262"/>
      <c r="R16" s="667"/>
      <c r="S16" s="668"/>
      <c r="T16" s="667"/>
      <c r="U16" s="668"/>
      <c r="V16" s="667"/>
      <c r="W16" s="668"/>
      <c r="X16" s="1264"/>
      <c r="Y16" s="3386"/>
      <c r="Z16" s="1263"/>
      <c r="AA16" s="1263">
        <v>1</v>
      </c>
      <c r="AB16" s="1263">
        <v>1</v>
      </c>
      <c r="AC16" s="1263">
        <v>1</v>
      </c>
    </row>
    <row r="17" spans="1:29" ht="98">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6"/>
      <c r="Q17" s="1262" t="str">
        <f>B17</f>
        <v>交通便捷度</v>
      </c>
      <c r="R17" s="667" t="s">
        <v>14</v>
      </c>
      <c r="S17" s="668">
        <f>F17</f>
        <v>100</v>
      </c>
      <c r="T17" s="667" t="s">
        <v>14</v>
      </c>
      <c r="U17" s="668">
        <f>H17</f>
        <v>100</v>
      </c>
      <c r="V17" s="667" t="s">
        <v>14</v>
      </c>
      <c r="W17" s="668">
        <f>J17</f>
        <v>100</v>
      </c>
      <c r="X17" s="1264"/>
      <c r="Y17" s="3386"/>
      <c r="Z17" s="1263" t="str">
        <f>Q17</f>
        <v>交通便捷度</v>
      </c>
      <c r="AA17" s="1263">
        <f t="shared" si="3"/>
        <v>1</v>
      </c>
      <c r="AB17" s="1263">
        <f t="shared" si="4"/>
        <v>1</v>
      </c>
      <c r="AC17" s="1263">
        <f t="shared" si="5"/>
        <v>1</v>
      </c>
    </row>
    <row r="18" spans="1:29" ht="15.5">
      <c r="A18" s="367"/>
      <c r="B18" s="395"/>
      <c r="C18" s="1754"/>
      <c r="D18" s="389"/>
      <c r="E18" s="1756"/>
      <c r="F18" s="392"/>
      <c r="G18" s="1755"/>
      <c r="H18" s="387"/>
      <c r="I18" s="1756"/>
      <c r="J18" s="387"/>
      <c r="K18" s="541"/>
      <c r="L18" s="870"/>
      <c r="M18" s="861"/>
      <c r="N18" s="861"/>
      <c r="O18" s="869"/>
      <c r="P18" s="3386"/>
      <c r="Q18" s="1262"/>
      <c r="R18" s="667"/>
      <c r="S18" s="668"/>
      <c r="T18" s="667"/>
      <c r="U18" s="668"/>
      <c r="V18" s="667"/>
      <c r="W18" s="668"/>
      <c r="X18" s="1264"/>
      <c r="Y18" s="3386"/>
      <c r="Z18" s="1263"/>
      <c r="AA18" s="1263">
        <v>1</v>
      </c>
      <c r="AB18" s="1263">
        <v>1</v>
      </c>
      <c r="AC18" s="1263">
        <v>1</v>
      </c>
    </row>
    <row r="19" spans="1:29" ht="42">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6"/>
      <c r="Q19" s="1262" t="str">
        <f>B19</f>
        <v>公共配套设施</v>
      </c>
      <c r="R19" s="667" t="s">
        <v>14</v>
      </c>
      <c r="S19" s="668">
        <f>F19</f>
        <v>100</v>
      </c>
      <c r="T19" s="667" t="s">
        <v>14</v>
      </c>
      <c r="U19" s="668">
        <f>H19</f>
        <v>100</v>
      </c>
      <c r="V19" s="667" t="s">
        <v>14</v>
      </c>
      <c r="W19" s="668">
        <f>J19</f>
        <v>100</v>
      </c>
      <c r="X19" s="1264"/>
      <c r="Y19" s="3386"/>
      <c r="Z19" s="1263" t="str">
        <f>Q19</f>
        <v>公共配套设施</v>
      </c>
      <c r="AA19" s="1263">
        <f t="shared" si="3"/>
        <v>1</v>
      </c>
      <c r="AB19" s="1263">
        <f t="shared" si="4"/>
        <v>1</v>
      </c>
      <c r="AC19" s="1263">
        <f t="shared" si="5"/>
        <v>1</v>
      </c>
    </row>
    <row r="20" spans="1:29" ht="15.5">
      <c r="A20" s="367"/>
      <c r="B20" s="395"/>
      <c r="C20" s="386"/>
      <c r="D20" s="387"/>
      <c r="E20" s="1751"/>
      <c r="F20" s="388"/>
      <c r="G20" s="1750"/>
      <c r="H20" s="387"/>
      <c r="I20" s="1751"/>
      <c r="J20" s="387"/>
      <c r="K20" s="541"/>
      <c r="L20" s="870"/>
      <c r="M20" s="861"/>
      <c r="N20" s="861"/>
      <c r="O20" s="869"/>
      <c r="P20" s="3386"/>
      <c r="Q20" s="1262"/>
      <c r="R20" s="667"/>
      <c r="S20" s="668"/>
      <c r="T20" s="667"/>
      <c r="U20" s="668"/>
      <c r="V20" s="667"/>
      <c r="W20" s="668"/>
      <c r="X20" s="1264"/>
      <c r="Y20" s="3386"/>
      <c r="Z20" s="1263"/>
      <c r="AA20" s="1263">
        <v>1</v>
      </c>
      <c r="AB20" s="1263">
        <v>1</v>
      </c>
      <c r="AC20" s="1263">
        <v>1</v>
      </c>
    </row>
    <row r="21" spans="1:29" ht="42">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6"/>
      <c r="Q21" s="1262" t="str">
        <f>B21</f>
        <v>基础设施水平</v>
      </c>
      <c r="R21" s="667" t="s">
        <v>14</v>
      </c>
      <c r="S21" s="668">
        <f>F21</f>
        <v>100</v>
      </c>
      <c r="T21" s="667" t="s">
        <v>14</v>
      </c>
      <c r="U21" s="668">
        <f>H21</f>
        <v>100</v>
      </c>
      <c r="V21" s="667" t="s">
        <v>14</v>
      </c>
      <c r="W21" s="668">
        <f>J21</f>
        <v>100</v>
      </c>
      <c r="X21" s="1264"/>
      <c r="Y21" s="3386"/>
      <c r="Z21" s="1263" t="str">
        <f>Q21</f>
        <v>基础设施水平</v>
      </c>
      <c r="AA21" s="1263">
        <f t="shared" ref="AA21" si="8">D21/F21</f>
        <v>1</v>
      </c>
      <c r="AB21" s="1263">
        <f t="shared" ref="AB21" si="9">D21/H21</f>
        <v>1</v>
      </c>
      <c r="AC21" s="1263">
        <f t="shared" ref="AC21" si="10">D21/J21</f>
        <v>1</v>
      </c>
    </row>
    <row r="22" spans="1:29" ht="15.5">
      <c r="A22" s="367"/>
      <c r="B22" s="586"/>
      <c r="C22" s="1754"/>
      <c r="D22" s="387"/>
      <c r="E22" s="386"/>
      <c r="F22" s="388"/>
      <c r="G22" s="386"/>
      <c r="H22" s="387"/>
      <c r="I22" s="386"/>
      <c r="J22" s="387"/>
      <c r="K22" s="1064"/>
      <c r="L22" s="870"/>
      <c r="M22" s="861"/>
      <c r="N22" s="861"/>
      <c r="O22" s="869"/>
      <c r="P22" s="3386"/>
      <c r="Q22" s="1262"/>
      <c r="R22" s="667"/>
      <c r="S22" s="668"/>
      <c r="T22" s="667"/>
      <c r="U22" s="668"/>
      <c r="V22" s="667"/>
      <c r="W22" s="668"/>
      <c r="X22" s="1264"/>
      <c r="Y22" s="3386"/>
      <c r="Z22" s="1263"/>
      <c r="AA22" s="1263">
        <v>1</v>
      </c>
      <c r="AB22" s="1263">
        <v>1</v>
      </c>
      <c r="AC22" s="1263">
        <v>1</v>
      </c>
    </row>
    <row r="23" spans="1:29" ht="84">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6"/>
      <c r="Q23" s="1262" t="str">
        <f>B23</f>
        <v>环境质量</v>
      </c>
      <c r="R23" s="667" t="s">
        <v>14</v>
      </c>
      <c r="S23" s="668">
        <f>F23</f>
        <v>100</v>
      </c>
      <c r="T23" s="667" t="s">
        <v>14</v>
      </c>
      <c r="U23" s="668">
        <f>H23</f>
        <v>100</v>
      </c>
      <c r="V23" s="667" t="s">
        <v>14</v>
      </c>
      <c r="W23" s="668">
        <f>J23</f>
        <v>100</v>
      </c>
      <c r="X23" s="1264"/>
      <c r="Y23" s="3386"/>
      <c r="Z23" s="1263" t="str">
        <f>Q23</f>
        <v>环境质量</v>
      </c>
      <c r="AA23" s="1263">
        <f t="shared" si="3"/>
        <v>1</v>
      </c>
      <c r="AB23" s="1263">
        <f t="shared" si="4"/>
        <v>1</v>
      </c>
      <c r="AC23" s="1263">
        <f t="shared" si="5"/>
        <v>1</v>
      </c>
    </row>
    <row r="24" spans="1:29" ht="15.5">
      <c r="A24" s="367"/>
      <c r="B24" s="586"/>
      <c r="C24" s="386"/>
      <c r="D24" s="387"/>
      <c r="E24" s="1751"/>
      <c r="F24" s="388"/>
      <c r="G24" s="1750"/>
      <c r="H24" s="387"/>
      <c r="I24" s="1751"/>
      <c r="J24" s="387"/>
      <c r="K24" s="541"/>
      <c r="L24" s="870"/>
      <c r="M24" s="861"/>
      <c r="N24" s="861"/>
      <c r="O24" s="869"/>
      <c r="P24" s="3386"/>
      <c r="Q24" s="1262"/>
      <c r="R24" s="667"/>
      <c r="S24" s="668"/>
      <c r="T24" s="667"/>
      <c r="U24" s="668"/>
      <c r="V24" s="667"/>
      <c r="W24" s="668"/>
      <c r="X24" s="1264"/>
      <c r="Y24" s="3386"/>
      <c r="Z24" s="1263"/>
      <c r="AA24" s="1263">
        <v>1</v>
      </c>
      <c r="AB24" s="1263">
        <v>1</v>
      </c>
      <c r="AC24" s="1263">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6"/>
      <c r="Q25" s="1262">
        <f>B25</f>
        <v>111</v>
      </c>
      <c r="R25" s="667" t="s">
        <v>14</v>
      </c>
      <c r="S25" s="668">
        <f>F25</f>
        <v>100</v>
      </c>
      <c r="T25" s="667" t="s">
        <v>14</v>
      </c>
      <c r="U25" s="668">
        <f>H25</f>
        <v>100</v>
      </c>
      <c r="V25" s="667" t="s">
        <v>14</v>
      </c>
      <c r="W25" s="668">
        <f>J25</f>
        <v>100</v>
      </c>
      <c r="X25" s="1264"/>
      <c r="Y25" s="3386"/>
      <c r="Z25" s="1263">
        <f>Q25</f>
        <v>111</v>
      </c>
      <c r="AA25" s="1263">
        <f t="shared" si="3"/>
        <v>1</v>
      </c>
      <c r="AB25" s="1263">
        <f t="shared" si="4"/>
        <v>1</v>
      </c>
      <c r="AC25" s="1263">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6"/>
      <c r="Q26" s="1262">
        <f t="shared" ref="Q26:Q40" si="11">B26</f>
        <v>111</v>
      </c>
      <c r="R26" s="667" t="s">
        <v>14</v>
      </c>
      <c r="S26" s="668">
        <f>F26</f>
        <v>100</v>
      </c>
      <c r="T26" s="667" t="s">
        <v>14</v>
      </c>
      <c r="U26" s="668">
        <f>H26</f>
        <v>100</v>
      </c>
      <c r="V26" s="667" t="s">
        <v>14</v>
      </c>
      <c r="W26" s="668">
        <f>J26</f>
        <v>100</v>
      </c>
      <c r="X26" s="1264"/>
      <c r="Y26" s="3386"/>
      <c r="Z26" s="1263">
        <f>Q26</f>
        <v>111</v>
      </c>
      <c r="AA26" s="1263">
        <f t="shared" si="3"/>
        <v>1</v>
      </c>
      <c r="AB26" s="1263">
        <f t="shared" si="4"/>
        <v>1</v>
      </c>
      <c r="AC26" s="1263">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6"/>
      <c r="Q27" s="530">
        <f t="shared" si="11"/>
        <v>111</v>
      </c>
      <c r="R27" s="664" t="s">
        <v>14</v>
      </c>
      <c r="S27" s="665">
        <f>F27</f>
        <v>100</v>
      </c>
      <c r="T27" s="664" t="s">
        <v>14</v>
      </c>
      <c r="U27" s="665">
        <f>H27</f>
        <v>100</v>
      </c>
      <c r="V27" s="664" t="s">
        <v>14</v>
      </c>
      <c r="W27" s="665">
        <f>J27</f>
        <v>100</v>
      </c>
      <c r="X27" s="666"/>
      <c r="Y27" s="3386"/>
      <c r="Z27" s="50">
        <f>Q27</f>
        <v>111</v>
      </c>
      <c r="AA27" s="1263">
        <f>D27/F27</f>
        <v>1</v>
      </c>
      <c r="AB27" s="1263">
        <f>D27/H27</f>
        <v>1</v>
      </c>
      <c r="AC27" s="1263">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6"/>
      <c r="Q28" s="1262">
        <f t="shared" si="11"/>
        <v>111</v>
      </c>
      <c r="R28" s="667" t="s">
        <v>14</v>
      </c>
      <c r="S28" s="668">
        <f t="shared" ref="S28:S40" si="12">F28</f>
        <v>100</v>
      </c>
      <c r="T28" s="667" t="s">
        <v>14</v>
      </c>
      <c r="U28" s="668">
        <f t="shared" ref="U28:U40" si="13">H28</f>
        <v>100</v>
      </c>
      <c r="V28" s="667" t="s">
        <v>14</v>
      </c>
      <c r="W28" s="668">
        <f t="shared" ref="W28:W40" si="14">J28</f>
        <v>100</v>
      </c>
      <c r="X28" s="1264"/>
      <c r="Y28" s="3386"/>
      <c r="Z28" s="1263">
        <f t="shared" ref="Z28:Z40" si="15">Q28</f>
        <v>111</v>
      </c>
      <c r="AA28" s="1263">
        <f t="shared" si="3"/>
        <v>1</v>
      </c>
      <c r="AB28" s="1263">
        <f t="shared" si="4"/>
        <v>1</v>
      </c>
      <c r="AC28" s="1263">
        <f t="shared" si="5"/>
        <v>1</v>
      </c>
    </row>
    <row r="29" spans="1:29" ht="29">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0" t="s">
        <v>1696</v>
      </c>
      <c r="Q29" s="1262" t="str">
        <f t="shared" si="11"/>
        <v>建筑类型</v>
      </c>
      <c r="R29" s="667" t="s">
        <v>14</v>
      </c>
      <c r="S29" s="668">
        <f t="shared" si="12"/>
        <v>100</v>
      </c>
      <c r="T29" s="667" t="s">
        <v>14</v>
      </c>
      <c r="U29" s="668">
        <f t="shared" si="13"/>
        <v>100</v>
      </c>
      <c r="V29" s="667" t="s">
        <v>14</v>
      </c>
      <c r="W29" s="668">
        <f t="shared" si="14"/>
        <v>100</v>
      </c>
      <c r="X29" s="1264"/>
      <c r="Y29" s="3390" t="s">
        <v>1696</v>
      </c>
      <c r="Z29" s="1263" t="str">
        <f t="shared" si="15"/>
        <v>建筑类型</v>
      </c>
      <c r="AA29" s="1263">
        <f t="shared" si="3"/>
        <v>1</v>
      </c>
      <c r="AB29" s="1263">
        <f t="shared" si="4"/>
        <v>1</v>
      </c>
      <c r="AC29" s="1263">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0"/>
      <c r="Q30" s="531" t="str">
        <f t="shared" si="11"/>
        <v>项目建筑规模</v>
      </c>
      <c r="R30" s="669" t="s">
        <v>14</v>
      </c>
      <c r="S30" s="670" t="e">
        <f t="shared" si="12"/>
        <v>#N/A</v>
      </c>
      <c r="T30" s="669" t="s">
        <v>14</v>
      </c>
      <c r="U30" s="670" t="e">
        <f t="shared" si="13"/>
        <v>#N/A</v>
      </c>
      <c r="V30" s="669" t="s">
        <v>14</v>
      </c>
      <c r="W30" s="670" t="e">
        <f t="shared" si="14"/>
        <v>#N/A</v>
      </c>
      <c r="X30" s="671"/>
      <c r="Y30" s="3390"/>
      <c r="Z30" s="672" t="str">
        <f t="shared" si="15"/>
        <v>项目建筑规模</v>
      </c>
      <c r="AA30" s="1263" t="e">
        <f t="shared" si="3"/>
        <v>#N/A</v>
      </c>
      <c r="AB30" s="1263" t="e">
        <f t="shared" si="4"/>
        <v>#N/A</v>
      </c>
      <c r="AC30" s="1263"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0"/>
      <c r="Q31" s="1262" t="str">
        <f t="shared" si="11"/>
        <v>建筑结构</v>
      </c>
      <c r="R31" s="667" t="s">
        <v>14</v>
      </c>
      <c r="S31" s="668">
        <f t="shared" si="12"/>
        <v>100</v>
      </c>
      <c r="T31" s="667" t="s">
        <v>14</v>
      </c>
      <c r="U31" s="668">
        <f t="shared" si="13"/>
        <v>100</v>
      </c>
      <c r="V31" s="667" t="s">
        <v>14</v>
      </c>
      <c r="W31" s="668">
        <f t="shared" si="14"/>
        <v>100</v>
      </c>
      <c r="X31" s="1264"/>
      <c r="Y31" s="3390"/>
      <c r="Z31" s="1263" t="str">
        <f t="shared" si="15"/>
        <v>建筑结构</v>
      </c>
      <c r="AA31" s="1263">
        <f t="shared" si="3"/>
        <v>1</v>
      </c>
      <c r="AB31" s="1263">
        <f t="shared" si="4"/>
        <v>1</v>
      </c>
      <c r="AC31" s="1263">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0"/>
      <c r="Q32" s="1262" t="str">
        <f t="shared" si="11"/>
        <v>公共部分装修</v>
      </c>
      <c r="R32" s="667" t="s">
        <v>14</v>
      </c>
      <c r="S32" s="668">
        <f t="shared" si="12"/>
        <v>100</v>
      </c>
      <c r="T32" s="667" t="s">
        <v>14</v>
      </c>
      <c r="U32" s="668">
        <f t="shared" si="13"/>
        <v>100</v>
      </c>
      <c r="V32" s="667" t="s">
        <v>14</v>
      </c>
      <c r="W32" s="668">
        <f t="shared" si="14"/>
        <v>100</v>
      </c>
      <c r="X32" s="1264"/>
      <c r="Y32" s="3390"/>
      <c r="Z32" s="1263" t="str">
        <f t="shared" si="15"/>
        <v>公共部分装修</v>
      </c>
      <c r="AA32" s="1263">
        <f t="shared" si="3"/>
        <v>1</v>
      </c>
      <c r="AB32" s="1263">
        <f t="shared" si="4"/>
        <v>1</v>
      </c>
      <c r="AC32" s="1263">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0"/>
      <c r="Q33" s="1262" t="str">
        <f t="shared" si="11"/>
        <v>成新度</v>
      </c>
      <c r="R33" s="667" t="s">
        <v>14</v>
      </c>
      <c r="S33" s="668" t="e">
        <f t="shared" si="12"/>
        <v>#N/A</v>
      </c>
      <c r="T33" s="667" t="s">
        <v>14</v>
      </c>
      <c r="U33" s="668" t="e">
        <f t="shared" si="13"/>
        <v>#N/A</v>
      </c>
      <c r="V33" s="667" t="s">
        <v>14</v>
      </c>
      <c r="W33" s="668" t="e">
        <f t="shared" si="14"/>
        <v>#N/A</v>
      </c>
      <c r="X33" s="1264"/>
      <c r="Y33" s="3390"/>
      <c r="Z33" s="1263" t="str">
        <f t="shared" si="15"/>
        <v>成新度</v>
      </c>
      <c r="AA33" s="1263" t="e">
        <f t="shared" si="3"/>
        <v>#N/A</v>
      </c>
      <c r="AB33" s="1263" t="e">
        <f t="shared" si="4"/>
        <v>#N/A</v>
      </c>
      <c r="AC33" s="1263"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0"/>
      <c r="Q34" s="530" t="str">
        <f t="shared" si="11"/>
        <v>物业管理</v>
      </c>
      <c r="R34" s="664" t="s">
        <v>14</v>
      </c>
      <c r="S34" s="665">
        <f t="shared" si="12"/>
        <v>100</v>
      </c>
      <c r="T34" s="664" t="s">
        <v>14</v>
      </c>
      <c r="U34" s="665">
        <f t="shared" si="13"/>
        <v>100</v>
      </c>
      <c r="V34" s="664" t="s">
        <v>14</v>
      </c>
      <c r="W34" s="665">
        <f t="shared" si="14"/>
        <v>100</v>
      </c>
      <c r="X34" s="666"/>
      <c r="Y34" s="3390"/>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0" t="s">
        <v>1696</v>
      </c>
      <c r="Q35" s="1262" t="str">
        <f t="shared" si="11"/>
        <v>市政基础设施</v>
      </c>
      <c r="R35" s="667" t="s">
        <v>14</v>
      </c>
      <c r="S35" s="668">
        <f t="shared" si="12"/>
        <v>100</v>
      </c>
      <c r="T35" s="667" t="s">
        <v>14</v>
      </c>
      <c r="U35" s="668">
        <f t="shared" si="13"/>
        <v>100</v>
      </c>
      <c r="V35" s="667" t="s">
        <v>14</v>
      </c>
      <c r="W35" s="668">
        <f t="shared" si="14"/>
        <v>100</v>
      </c>
      <c r="X35" s="1264"/>
      <c r="Y35" s="3390" t="s">
        <v>1696</v>
      </c>
      <c r="Z35" s="1263" t="str">
        <f t="shared" si="15"/>
        <v>市政基础设施</v>
      </c>
      <c r="AA35" s="1263">
        <f t="shared" si="3"/>
        <v>1</v>
      </c>
      <c r="AB35" s="1263">
        <f t="shared" si="4"/>
        <v>1</v>
      </c>
      <c r="AC35" s="1263">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0"/>
      <c r="Q36" s="1262" t="str">
        <f t="shared" si="11"/>
        <v>内部装修</v>
      </c>
      <c r="R36" s="667" t="s">
        <v>14</v>
      </c>
      <c r="S36" s="668">
        <f t="shared" si="12"/>
        <v>100</v>
      </c>
      <c r="T36" s="667" t="s">
        <v>14</v>
      </c>
      <c r="U36" s="668">
        <f t="shared" si="13"/>
        <v>100</v>
      </c>
      <c r="V36" s="667" t="s">
        <v>14</v>
      </c>
      <c r="W36" s="668">
        <f t="shared" si="14"/>
        <v>100</v>
      </c>
      <c r="X36" s="1264"/>
      <c r="Y36" s="3390"/>
      <c r="Z36" s="1263" t="str">
        <f t="shared" si="15"/>
        <v>内部装修</v>
      </c>
      <c r="AA36" s="1263">
        <f t="shared" si="3"/>
        <v>1</v>
      </c>
      <c r="AB36" s="1263">
        <f t="shared" si="4"/>
        <v>1</v>
      </c>
      <c r="AC36" s="1263">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0"/>
      <c r="Q37" s="1262" t="str">
        <f t="shared" si="11"/>
        <v>内部装修状况</v>
      </c>
      <c r="R37" s="667" t="s">
        <v>14</v>
      </c>
      <c r="S37" s="668">
        <f t="shared" si="12"/>
        <v>100</v>
      </c>
      <c r="T37" s="667" t="s">
        <v>14</v>
      </c>
      <c r="U37" s="668">
        <f t="shared" si="13"/>
        <v>100</v>
      </c>
      <c r="V37" s="667" t="s">
        <v>14</v>
      </c>
      <c r="W37" s="668">
        <f t="shared" si="14"/>
        <v>100</v>
      </c>
      <c r="X37" s="1264"/>
      <c r="Y37" s="3390"/>
      <c r="Z37" s="1263" t="str">
        <f t="shared" si="15"/>
        <v>内部装修状况</v>
      </c>
      <c r="AA37" s="1263">
        <f t="shared" si="3"/>
        <v>1</v>
      </c>
      <c r="AB37" s="1263">
        <f t="shared" si="4"/>
        <v>1</v>
      </c>
      <c r="AC37" s="1263">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0"/>
      <c r="Q38" s="531">
        <f t="shared" si="11"/>
        <v>111</v>
      </c>
      <c r="R38" s="669" t="s">
        <v>14</v>
      </c>
      <c r="S38" s="670">
        <f t="shared" si="12"/>
        <v>100</v>
      </c>
      <c r="T38" s="669" t="s">
        <v>14</v>
      </c>
      <c r="U38" s="670">
        <f t="shared" si="13"/>
        <v>100</v>
      </c>
      <c r="V38" s="669" t="s">
        <v>14</v>
      </c>
      <c r="W38" s="670">
        <f t="shared" si="14"/>
        <v>100</v>
      </c>
      <c r="X38" s="671"/>
      <c r="Y38" s="3390"/>
      <c r="Z38" s="672">
        <f t="shared" si="15"/>
        <v>111</v>
      </c>
      <c r="AA38" s="1263">
        <f t="shared" si="3"/>
        <v>1</v>
      </c>
      <c r="AB38" s="1263">
        <f t="shared" si="4"/>
        <v>1</v>
      </c>
      <c r="AC38" s="1263">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0"/>
      <c r="Q39" s="1262">
        <f t="shared" si="11"/>
        <v>111</v>
      </c>
      <c r="R39" s="667" t="s">
        <v>14</v>
      </c>
      <c r="S39" s="668">
        <f t="shared" si="12"/>
        <v>100</v>
      </c>
      <c r="T39" s="667" t="s">
        <v>14</v>
      </c>
      <c r="U39" s="668">
        <f t="shared" si="13"/>
        <v>100</v>
      </c>
      <c r="V39" s="667" t="s">
        <v>14</v>
      </c>
      <c r="W39" s="668">
        <f t="shared" si="14"/>
        <v>100</v>
      </c>
      <c r="X39" s="1264"/>
      <c r="Y39" s="3390"/>
      <c r="Z39" s="1263">
        <f t="shared" si="15"/>
        <v>111</v>
      </c>
      <c r="AA39" s="1263">
        <f t="shared" si="3"/>
        <v>1</v>
      </c>
      <c r="AB39" s="1263">
        <f t="shared" si="4"/>
        <v>1</v>
      </c>
      <c r="AC39" s="1263">
        <f t="shared" si="5"/>
        <v>1</v>
      </c>
    </row>
    <row r="40" spans="1:29" ht="1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1"/>
      <c r="Q40" s="1262">
        <f t="shared" si="11"/>
        <v>111</v>
      </c>
      <c r="R40" s="667" t="s">
        <v>14</v>
      </c>
      <c r="S40" s="668">
        <f t="shared" si="12"/>
        <v>100</v>
      </c>
      <c r="T40" s="667" t="s">
        <v>14</v>
      </c>
      <c r="U40" s="668">
        <f t="shared" si="13"/>
        <v>100</v>
      </c>
      <c r="V40" s="667" t="s">
        <v>14</v>
      </c>
      <c r="W40" s="668">
        <f t="shared" si="14"/>
        <v>100</v>
      </c>
      <c r="X40" s="1264"/>
      <c r="Y40" s="3391"/>
      <c r="Z40" s="1263">
        <f t="shared" si="15"/>
        <v>111</v>
      </c>
      <c r="AA40" s="1263">
        <f t="shared" si="3"/>
        <v>1</v>
      </c>
      <c r="AB40" s="1263">
        <f t="shared" si="4"/>
        <v>1</v>
      </c>
      <c r="AC40" s="1263">
        <f t="shared" si="5"/>
        <v>1</v>
      </c>
    </row>
    <row r="41" spans="1:29">
      <c r="A41" s="416" t="s">
        <v>1708</v>
      </c>
      <c r="B41" s="417"/>
      <c r="C41" s="1080" t="s">
        <v>0</v>
      </c>
      <c r="D41" s="418"/>
      <c r="E41" s="419"/>
      <c r="F41" s="420"/>
      <c r="G41" s="421"/>
      <c r="H41" s="422"/>
      <c r="I41" s="419"/>
      <c r="J41" s="422"/>
      <c r="K41" s="674"/>
      <c r="L41" s="873"/>
      <c r="M41" s="861"/>
      <c r="N41" s="861"/>
      <c r="O41" s="861"/>
      <c r="P41" s="3383" t="str">
        <f>A41</f>
        <v>成交单价（元/平方米）</v>
      </c>
      <c r="Q41" s="3383"/>
      <c r="R41" s="3384">
        <f>E41</f>
        <v>0</v>
      </c>
      <c r="S41" s="3384"/>
      <c r="T41" s="3384">
        <f>G41</f>
        <v>0</v>
      </c>
      <c r="U41" s="3384"/>
      <c r="V41" s="3384">
        <f>I41</f>
        <v>0</v>
      </c>
      <c r="W41" s="3384"/>
      <c r="X41" s="385"/>
      <c r="Y41" s="673"/>
      <c r="Z41" s="385"/>
      <c r="AA41" s="385"/>
      <c r="AB41" s="385"/>
      <c r="AC41" s="385"/>
    </row>
    <row r="42" spans="1:29" ht="14.5" thickBot="1">
      <c r="A42" s="423" t="s">
        <v>1793</v>
      </c>
      <c r="B42" s="424"/>
      <c r="C42" s="1081" t="e">
        <f>R43</f>
        <v>#DIV/0!</v>
      </c>
      <c r="D42" s="2140" t="s">
        <v>2138</v>
      </c>
      <c r="E42" s="1082" t="e">
        <f>R42</f>
        <v>#DIV/0!</v>
      </c>
      <c r="F42" s="2141"/>
      <c r="G42" s="1081" t="e">
        <f>T42</f>
        <v>#DIV/0!</v>
      </c>
      <c r="H42" s="2141"/>
      <c r="I42" s="1082" t="e">
        <f>V42</f>
        <v>#DIV/0!</v>
      </c>
      <c r="J42" s="2141"/>
      <c r="K42" s="2143">
        <f>F42+H42+J42</f>
        <v>0</v>
      </c>
      <c r="L42" s="873"/>
      <c r="M42" s="861"/>
      <c r="N42" s="861"/>
      <c r="O42" s="861"/>
      <c r="P42" s="3383" t="str">
        <f>A42</f>
        <v>比较价值（元/平方米）</v>
      </c>
      <c r="Q42" s="3383"/>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80" t="str">
        <f>A43</f>
        <v>估价对象XX用房的比较价值（楼面单价，元/平方米）</v>
      </c>
      <c r="Q43" s="3381"/>
      <c r="R43" s="3382" t="e">
        <f>IF(F1="售价",ROUND(IF(D42="简单平均",AVERAGE(R42:V42),R42*F42+T42*H42+V42*J42),0),ROUND(IF(D42="简单平均",AVERAGE(R42:V42),R42*F42+T42*H42+V42*J42),1))</f>
        <v>#DIV/0!</v>
      </c>
      <c r="S43" s="3382"/>
      <c r="T43" s="3382"/>
      <c r="U43" s="3382"/>
      <c r="V43" s="3382"/>
      <c r="W43" s="338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2" t="str">
        <f>YEAR(C7)&amp;"-"&amp;MONTH(C7)</f>
        <v>2025-12</v>
      </c>
      <c r="D52" s="1103">
        <f>EDATE(C52,-1)</f>
        <v>45962</v>
      </c>
      <c r="E52" s="1103">
        <f t="shared" ref="E52:O52" si="16">EDATE(D52,-1)</f>
        <v>45931</v>
      </c>
      <c r="F52" s="1103">
        <f t="shared" si="16"/>
        <v>45901</v>
      </c>
      <c r="G52" s="1103">
        <f t="shared" si="16"/>
        <v>45870</v>
      </c>
      <c r="H52" s="1103">
        <f t="shared" si="16"/>
        <v>45839</v>
      </c>
      <c r="I52" s="1103">
        <f t="shared" si="16"/>
        <v>45809</v>
      </c>
      <c r="J52" s="1103">
        <f t="shared" si="16"/>
        <v>45778</v>
      </c>
      <c r="K52" s="1103">
        <f t="shared" si="16"/>
        <v>45748</v>
      </c>
      <c r="L52" s="1103">
        <f t="shared" si="16"/>
        <v>45717</v>
      </c>
      <c r="M52" s="1103">
        <f t="shared" si="16"/>
        <v>45689</v>
      </c>
      <c r="N52" s="1103">
        <f t="shared" si="16"/>
        <v>45658</v>
      </c>
      <c r="O52" s="1103">
        <f t="shared" si="16"/>
        <v>45627</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8"/>
      <c r="O54" s="2539"/>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1831</v>
      </c>
      <c r="B1" s="1139" t="s">
        <v>3331</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6"/>
      <c r="AC3" s="663"/>
    </row>
    <row r="4" spans="1:29">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408" t="s">
        <v>1771</v>
      </c>
      <c r="S4" s="3409"/>
      <c r="T4" s="3408" t="s">
        <v>1772</v>
      </c>
      <c r="U4" s="3409"/>
      <c r="V4" s="3384" t="s">
        <v>1773</v>
      </c>
      <c r="W4" s="3384"/>
      <c r="X4" s="1264"/>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6"/>
      <c r="M5" s="2487"/>
      <c r="N5" s="2487"/>
      <c r="O5" s="2487"/>
      <c r="P5" s="3404"/>
      <c r="Q5" s="3405"/>
      <c r="R5" s="3410"/>
      <c r="S5" s="3411"/>
      <c r="T5" s="3410"/>
      <c r="U5" s="3411"/>
      <c r="V5" s="3384"/>
      <c r="W5" s="3384"/>
      <c r="X5" s="1264"/>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2486"/>
      <c r="M6" s="2487"/>
      <c r="N6" s="2487"/>
      <c r="O6" s="2487"/>
      <c r="P6" s="3406"/>
      <c r="Q6" s="3407"/>
      <c r="R6" s="3410"/>
      <c r="S6" s="3411"/>
      <c r="T6" s="3412"/>
      <c r="U6" s="3413"/>
      <c r="V6" s="3384"/>
      <c r="W6" s="3384"/>
      <c r="X6" s="1264"/>
      <c r="Y6" s="3412"/>
      <c r="Z6" s="3413"/>
      <c r="AA6" s="3397"/>
      <c r="AB6" s="3397"/>
      <c r="AC6" s="3397"/>
    </row>
    <row r="7" spans="1:29" s="102" customFormat="1" ht="14.5" thickBot="1">
      <c r="A7" s="352" t="s">
        <v>1679</v>
      </c>
      <c r="B7" s="353"/>
      <c r="C7" s="354">
        <f>'数据-取费表'!B2</f>
        <v>46022</v>
      </c>
      <c r="D7" s="355">
        <v>100</v>
      </c>
      <c r="E7" s="356"/>
      <c r="F7" s="357">
        <f>SUMIF(48:48,YEAR(E7)&amp;"-"&amp;MONTH(E7),49:49)</f>
        <v>0</v>
      </c>
      <c r="G7" s="356"/>
      <c r="H7" s="355">
        <f>SUMIF(48:48,YEAR(G7)&amp;"-"&amp;MONTH(G7),49:49)</f>
        <v>0</v>
      </c>
      <c r="I7" s="356"/>
      <c r="J7" s="355">
        <f>SUMIF(48:48,YEAR(I7)&amp;"-"&amp;MONTH(I7),49:49)</f>
        <v>0</v>
      </c>
      <c r="K7" s="38"/>
      <c r="L7" s="2488"/>
      <c r="M7" s="2439"/>
      <c r="N7" s="2439"/>
      <c r="O7" s="2439"/>
      <c r="P7" s="3418" t="s">
        <v>1680</v>
      </c>
      <c r="Q7" s="3420"/>
      <c r="R7" s="664" t="s">
        <v>14</v>
      </c>
      <c r="S7" s="665">
        <f t="shared" ref="S7:S14" si="0">F7</f>
        <v>0</v>
      </c>
      <c r="T7" s="664" t="s">
        <v>14</v>
      </c>
      <c r="U7" s="665">
        <f t="shared" ref="U7:U14" si="1">H7</f>
        <v>0</v>
      </c>
      <c r="V7" s="664" t="s">
        <v>14</v>
      </c>
      <c r="W7" s="665">
        <f t="shared" ref="W7:W14" si="2">J7</f>
        <v>0</v>
      </c>
      <c r="X7" s="666"/>
      <c r="Y7" s="3418" t="s">
        <v>1680</v>
      </c>
      <c r="Z7" s="3419"/>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18" t="s">
        <v>1683</v>
      </c>
      <c r="Q8" s="3419"/>
      <c r="R8" s="664" t="s">
        <v>14</v>
      </c>
      <c r="S8" s="665">
        <f t="shared" si="0"/>
        <v>100</v>
      </c>
      <c r="T8" s="664" t="s">
        <v>14</v>
      </c>
      <c r="U8" s="665">
        <f t="shared" si="1"/>
        <v>100</v>
      </c>
      <c r="V8" s="664" t="s">
        <v>14</v>
      </c>
      <c r="W8" s="665">
        <f t="shared" si="2"/>
        <v>100</v>
      </c>
      <c r="X8" s="666"/>
      <c r="Y8" s="3418" t="s">
        <v>1683</v>
      </c>
      <c r="Z8" s="341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83"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3"/>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98">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5" t="s">
        <v>1691</v>
      </c>
      <c r="Q14" s="1262" t="str">
        <f t="shared" si="6"/>
        <v>交通便捷度</v>
      </c>
      <c r="R14" s="667" t="s">
        <v>14</v>
      </c>
      <c r="S14" s="668">
        <f t="shared" si="0"/>
        <v>100</v>
      </c>
      <c r="T14" s="667" t="s">
        <v>14</v>
      </c>
      <c r="U14" s="668">
        <f t="shared" si="1"/>
        <v>100</v>
      </c>
      <c r="V14" s="667" t="s">
        <v>14</v>
      </c>
      <c r="W14" s="668">
        <f t="shared" si="2"/>
        <v>100</v>
      </c>
      <c r="X14" s="1264"/>
      <c r="Y14" s="3385" t="s">
        <v>1691</v>
      </c>
      <c r="Z14" s="1263" t="str">
        <f t="shared" si="7"/>
        <v>交通便捷度</v>
      </c>
      <c r="AA14" s="1263">
        <f t="shared" si="3"/>
        <v>1</v>
      </c>
      <c r="AB14" s="1263">
        <f t="shared" si="4"/>
        <v>1</v>
      </c>
      <c r="AC14" s="1263">
        <f t="shared" si="5"/>
        <v>1</v>
      </c>
    </row>
    <row r="15" spans="1:29" ht="15.5">
      <c r="A15" s="348"/>
      <c r="B15" s="571"/>
      <c r="C15" s="386"/>
      <c r="D15" s="387"/>
      <c r="E15" s="386"/>
      <c r="F15" s="388"/>
      <c r="G15" s="386"/>
      <c r="H15" s="389"/>
      <c r="I15" s="386"/>
      <c r="J15" s="387"/>
      <c r="K15" s="541"/>
      <c r="L15" s="2492"/>
      <c r="M15" s="2487"/>
      <c r="N15" s="2487"/>
      <c r="O15" s="2487"/>
      <c r="P15" s="3386"/>
      <c r="Q15" s="1262"/>
      <c r="R15" s="667"/>
      <c r="S15" s="668"/>
      <c r="T15" s="667"/>
      <c r="U15" s="668"/>
      <c r="V15" s="667"/>
      <c r="W15" s="668"/>
      <c r="X15" s="1264"/>
      <c r="Y15" s="3386"/>
      <c r="Z15" s="1263"/>
      <c r="AA15" s="1263">
        <v>1</v>
      </c>
      <c r="AB15" s="1263">
        <v>1</v>
      </c>
      <c r="AC15" s="1263">
        <v>1</v>
      </c>
    </row>
    <row r="16" spans="1:29" ht="42">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6"/>
      <c r="Q16" s="1262" t="str">
        <f>B16</f>
        <v>公共配套设施</v>
      </c>
      <c r="R16" s="667" t="s">
        <v>14</v>
      </c>
      <c r="S16" s="668">
        <f>F16</f>
        <v>100</v>
      </c>
      <c r="T16" s="667" t="s">
        <v>14</v>
      </c>
      <c r="U16" s="668">
        <f>H16</f>
        <v>100</v>
      </c>
      <c r="V16" s="667" t="s">
        <v>14</v>
      </c>
      <c r="W16" s="668">
        <f>J16</f>
        <v>100</v>
      </c>
      <c r="X16" s="1264"/>
      <c r="Y16" s="3386"/>
      <c r="Z16" s="1263" t="str">
        <f>Q16</f>
        <v>公共配套设施</v>
      </c>
      <c r="AA16" s="1263">
        <f t="shared" si="3"/>
        <v>1</v>
      </c>
      <c r="AB16" s="1263">
        <f t="shared" si="4"/>
        <v>1</v>
      </c>
      <c r="AC16" s="1263">
        <f t="shared" si="5"/>
        <v>1</v>
      </c>
    </row>
    <row r="17" spans="1:29" ht="15.5">
      <c r="A17" s="348"/>
      <c r="B17" s="401"/>
      <c r="C17" s="1754"/>
      <c r="D17" s="387"/>
      <c r="E17" s="386"/>
      <c r="F17" s="388"/>
      <c r="G17" s="386"/>
      <c r="H17" s="387"/>
      <c r="I17" s="386"/>
      <c r="J17" s="387"/>
      <c r="K17" s="541"/>
      <c r="L17" s="2492"/>
      <c r="M17" s="2487"/>
      <c r="N17" s="2487"/>
      <c r="O17" s="2487"/>
      <c r="P17" s="3386"/>
      <c r="Q17" s="1262"/>
      <c r="R17" s="667"/>
      <c r="S17" s="668"/>
      <c r="T17" s="667"/>
      <c r="U17" s="668"/>
      <c r="V17" s="667"/>
      <c r="W17" s="668"/>
      <c r="X17" s="1264"/>
      <c r="Y17" s="3386"/>
      <c r="Z17" s="1263"/>
      <c r="AA17" s="1263">
        <v>1</v>
      </c>
      <c r="AB17" s="1263">
        <v>1</v>
      </c>
      <c r="AC17" s="1263">
        <v>1</v>
      </c>
    </row>
    <row r="18" spans="1:29" ht="42">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6"/>
      <c r="Q18" s="1262" t="str">
        <f>B18</f>
        <v>基础设施水平</v>
      </c>
      <c r="R18" s="667" t="s">
        <v>14</v>
      </c>
      <c r="S18" s="668">
        <f>F18</f>
        <v>100</v>
      </c>
      <c r="T18" s="667" t="s">
        <v>14</v>
      </c>
      <c r="U18" s="668">
        <f>H18</f>
        <v>100</v>
      </c>
      <c r="V18" s="667" t="s">
        <v>14</v>
      </c>
      <c r="W18" s="668">
        <f>J18</f>
        <v>100</v>
      </c>
      <c r="X18" s="1264"/>
      <c r="Y18" s="3386"/>
      <c r="Z18" s="1263" t="str">
        <f>Q18</f>
        <v>基础设施水平</v>
      </c>
      <c r="AA18" s="1263">
        <f t="shared" ref="AA18" si="8">D18/F18</f>
        <v>1</v>
      </c>
      <c r="AB18" s="1263">
        <f t="shared" ref="AB18" si="9">D18/H18</f>
        <v>1</v>
      </c>
      <c r="AC18" s="1263">
        <f t="shared" ref="AC18" si="10">D18/J18</f>
        <v>1</v>
      </c>
    </row>
    <row r="19" spans="1:29" ht="15.5">
      <c r="A19" s="348"/>
      <c r="B19" s="557"/>
      <c r="C19" s="1754"/>
      <c r="D19" s="389"/>
      <c r="E19" s="1754"/>
      <c r="F19" s="392"/>
      <c r="G19" s="1754"/>
      <c r="H19" s="387"/>
      <c r="I19" s="386"/>
      <c r="J19" s="387"/>
      <c r="K19" s="1064"/>
      <c r="L19" s="2492"/>
      <c r="M19" s="2487"/>
      <c r="N19" s="2487"/>
      <c r="O19" s="2487"/>
      <c r="P19" s="3386"/>
      <c r="Q19" s="1262"/>
      <c r="R19" s="667"/>
      <c r="S19" s="668"/>
      <c r="T19" s="667"/>
      <c r="U19" s="668"/>
      <c r="V19" s="667"/>
      <c r="W19" s="668"/>
      <c r="X19" s="1264"/>
      <c r="Y19" s="3386"/>
      <c r="Z19" s="1263"/>
      <c r="AA19" s="1263">
        <v>1</v>
      </c>
      <c r="AB19" s="1263">
        <v>1</v>
      </c>
      <c r="AC19" s="1263">
        <v>1</v>
      </c>
    </row>
    <row r="20" spans="1:29" ht="56">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6"/>
      <c r="Q20" s="1262" t="str">
        <f>B20</f>
        <v>自然及人文环境</v>
      </c>
      <c r="R20" s="667" t="s">
        <v>14</v>
      </c>
      <c r="S20" s="668">
        <f>F20</f>
        <v>100</v>
      </c>
      <c r="T20" s="667" t="s">
        <v>14</v>
      </c>
      <c r="U20" s="668">
        <f>H20</f>
        <v>100</v>
      </c>
      <c r="V20" s="667" t="s">
        <v>14</v>
      </c>
      <c r="W20" s="668">
        <f>J20</f>
        <v>100</v>
      </c>
      <c r="X20" s="1264"/>
      <c r="Y20" s="3386"/>
      <c r="Z20" s="1263" t="str">
        <f>Q20</f>
        <v>自然及人文环境</v>
      </c>
      <c r="AA20" s="1263">
        <f t="shared" si="3"/>
        <v>1</v>
      </c>
      <c r="AB20" s="1263">
        <f t="shared" si="4"/>
        <v>1</v>
      </c>
      <c r="AC20" s="1263">
        <f t="shared" si="5"/>
        <v>1</v>
      </c>
    </row>
    <row r="21" spans="1:29" ht="15.5">
      <c r="A21" s="348"/>
      <c r="B21" s="401"/>
      <c r="C21" s="386"/>
      <c r="D21" s="387"/>
      <c r="E21" s="386"/>
      <c r="F21" s="388"/>
      <c r="G21" s="386"/>
      <c r="H21" s="387"/>
      <c r="I21" s="386"/>
      <c r="J21" s="387"/>
      <c r="K21" s="541"/>
      <c r="L21" s="2492"/>
      <c r="M21" s="2487"/>
      <c r="N21" s="2487"/>
      <c r="O21" s="2487"/>
      <c r="P21" s="3386"/>
      <c r="Q21" s="1262"/>
      <c r="R21" s="667"/>
      <c r="S21" s="668"/>
      <c r="T21" s="667"/>
      <c r="U21" s="668"/>
      <c r="V21" s="667"/>
      <c r="W21" s="668"/>
      <c r="X21" s="1264"/>
      <c r="Y21" s="3386"/>
      <c r="Z21" s="1263"/>
      <c r="AA21" s="1263">
        <v>1</v>
      </c>
      <c r="AB21" s="1263">
        <v>1</v>
      </c>
      <c r="AC21" s="1263">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6"/>
      <c r="Q22" s="1262" t="str">
        <f>B22</f>
        <v>楼层</v>
      </c>
      <c r="R22" s="667" t="s">
        <v>14</v>
      </c>
      <c r="S22" s="668">
        <f>F22</f>
        <v>100</v>
      </c>
      <c r="T22" s="667" t="s">
        <v>14</v>
      </c>
      <c r="U22" s="668">
        <f>H22</f>
        <v>100</v>
      </c>
      <c r="V22" s="667" t="s">
        <v>14</v>
      </c>
      <c r="W22" s="668">
        <f>J22</f>
        <v>100</v>
      </c>
      <c r="X22" s="1264"/>
      <c r="Y22" s="3386"/>
      <c r="Z22" s="1263" t="str">
        <f>Q22</f>
        <v>楼层</v>
      </c>
      <c r="AA22" s="1263">
        <f t="shared" si="3"/>
        <v>1</v>
      </c>
      <c r="AB22" s="1263">
        <f t="shared" si="4"/>
        <v>1</v>
      </c>
      <c r="AC22" s="1263">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6"/>
      <c r="Q23" s="1262">
        <f>B23</f>
        <v>111</v>
      </c>
      <c r="R23" s="667" t="s">
        <v>14</v>
      </c>
      <c r="S23" s="668">
        <f>F23</f>
        <v>100</v>
      </c>
      <c r="T23" s="667" t="s">
        <v>14</v>
      </c>
      <c r="U23" s="668">
        <f>H23</f>
        <v>100</v>
      </c>
      <c r="V23" s="667" t="s">
        <v>14</v>
      </c>
      <c r="W23" s="668">
        <f>J23</f>
        <v>100</v>
      </c>
      <c r="X23" s="1264"/>
      <c r="Y23" s="3386"/>
      <c r="Z23" s="1263">
        <f>Q23</f>
        <v>111</v>
      </c>
      <c r="AA23" s="1263">
        <f t="shared" si="3"/>
        <v>1</v>
      </c>
      <c r="AB23" s="1263">
        <f t="shared" si="4"/>
        <v>1</v>
      </c>
      <c r="AC23" s="1263">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6"/>
      <c r="Q24" s="1262">
        <f t="shared" ref="Q24:Q36" si="11">B24</f>
        <v>111</v>
      </c>
      <c r="R24" s="667" t="s">
        <v>14</v>
      </c>
      <c r="S24" s="668">
        <f>F24</f>
        <v>100</v>
      </c>
      <c r="T24" s="667" t="s">
        <v>14</v>
      </c>
      <c r="U24" s="668">
        <f>H24</f>
        <v>100</v>
      </c>
      <c r="V24" s="667" t="s">
        <v>14</v>
      </c>
      <c r="W24" s="668">
        <f>J24</f>
        <v>100</v>
      </c>
      <c r="X24" s="1264"/>
      <c r="Y24" s="3386"/>
      <c r="Z24" s="1263">
        <f>Q24</f>
        <v>111</v>
      </c>
      <c r="AA24" s="1263">
        <f t="shared" si="3"/>
        <v>1</v>
      </c>
      <c r="AB24" s="1263">
        <f t="shared" si="4"/>
        <v>1</v>
      </c>
      <c r="AC24" s="1263">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86"/>
      <c r="Q25" s="530">
        <f t="shared" si="11"/>
        <v>111</v>
      </c>
      <c r="R25" s="664" t="s">
        <v>14</v>
      </c>
      <c r="S25" s="665">
        <f>F25</f>
        <v>100</v>
      </c>
      <c r="T25" s="664" t="s">
        <v>14</v>
      </c>
      <c r="U25" s="665">
        <f>H25</f>
        <v>100</v>
      </c>
      <c r="V25" s="664" t="s">
        <v>14</v>
      </c>
      <c r="W25" s="665">
        <f>J25</f>
        <v>100</v>
      </c>
      <c r="X25" s="666"/>
      <c r="Y25" s="3386"/>
      <c r="Z25" s="50">
        <f>Q25</f>
        <v>111</v>
      </c>
      <c r="AA25" s="1263">
        <f>D25/F25</f>
        <v>1</v>
      </c>
      <c r="AB25" s="1263">
        <f>D25/H25</f>
        <v>1</v>
      </c>
      <c r="AC25" s="1263">
        <f>D25/J25</f>
        <v>1</v>
      </c>
    </row>
    <row r="26" spans="1:29" ht="29">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0"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90" t="s">
        <v>1696</v>
      </c>
      <c r="Z26" s="1263" t="str">
        <f t="shared" ref="Z26:Z36" si="15">Q26</f>
        <v>配套类型</v>
      </c>
      <c r="AA26" s="1263" t="e">
        <f t="shared" si="3"/>
        <v>#DIV/0!</v>
      </c>
      <c r="AB26" s="1263" t="e">
        <f t="shared" si="4"/>
        <v>#DIV/0!</v>
      </c>
      <c r="AC26" s="1263"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90"/>
      <c r="Q27" s="531" t="str">
        <f t="shared" si="11"/>
        <v>项目停车位配比</v>
      </c>
      <c r="R27" s="669" t="s">
        <v>14</v>
      </c>
      <c r="S27" s="670">
        <f t="shared" si="12"/>
        <v>100</v>
      </c>
      <c r="T27" s="669" t="s">
        <v>14</v>
      </c>
      <c r="U27" s="670">
        <f t="shared" si="13"/>
        <v>100</v>
      </c>
      <c r="V27" s="669" t="s">
        <v>14</v>
      </c>
      <c r="W27" s="670">
        <f t="shared" si="14"/>
        <v>100</v>
      </c>
      <c r="X27" s="671"/>
      <c r="Y27" s="3390"/>
      <c r="Z27" s="672" t="str">
        <f t="shared" si="15"/>
        <v>项目停车位配比</v>
      </c>
      <c r="AA27" s="1263">
        <f t="shared" si="3"/>
        <v>1</v>
      </c>
      <c r="AB27" s="1263">
        <f t="shared" si="4"/>
        <v>1</v>
      </c>
      <c r="AC27" s="1263">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90"/>
      <c r="Q28" s="1262" t="str">
        <f t="shared" si="11"/>
        <v>公共部分装修</v>
      </c>
      <c r="R28" s="667" t="s">
        <v>14</v>
      </c>
      <c r="S28" s="668">
        <f t="shared" si="12"/>
        <v>100</v>
      </c>
      <c r="T28" s="667" t="s">
        <v>14</v>
      </c>
      <c r="U28" s="668">
        <f t="shared" si="13"/>
        <v>100</v>
      </c>
      <c r="V28" s="667" t="s">
        <v>14</v>
      </c>
      <c r="W28" s="668">
        <f t="shared" si="14"/>
        <v>100</v>
      </c>
      <c r="X28" s="1264"/>
      <c r="Y28" s="3390"/>
      <c r="Z28" s="1263" t="str">
        <f t="shared" si="15"/>
        <v>公共部分装修</v>
      </c>
      <c r="AA28" s="1263">
        <f t="shared" si="3"/>
        <v>1</v>
      </c>
      <c r="AB28" s="1263">
        <f t="shared" si="4"/>
        <v>1</v>
      </c>
      <c r="AC28" s="1263">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90"/>
      <c r="Q29" s="1262" t="str">
        <f t="shared" si="11"/>
        <v>成新率</v>
      </c>
      <c r="R29" s="667" t="s">
        <v>14</v>
      </c>
      <c r="S29" s="668" t="e">
        <f t="shared" si="12"/>
        <v>#N/A</v>
      </c>
      <c r="T29" s="667" t="s">
        <v>14</v>
      </c>
      <c r="U29" s="668" t="e">
        <f t="shared" si="13"/>
        <v>#N/A</v>
      </c>
      <c r="V29" s="667" t="s">
        <v>14</v>
      </c>
      <c r="W29" s="668" t="e">
        <f t="shared" si="14"/>
        <v>#N/A</v>
      </c>
      <c r="X29" s="1264"/>
      <c r="Y29" s="3390"/>
      <c r="Z29" s="1263" t="str">
        <f t="shared" si="15"/>
        <v>成新率</v>
      </c>
      <c r="AA29" s="1263" t="e">
        <f t="shared" si="3"/>
        <v>#N/A</v>
      </c>
      <c r="AB29" s="1263" t="e">
        <f t="shared" si="4"/>
        <v>#N/A</v>
      </c>
      <c r="AC29" s="1263"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90"/>
      <c r="Q30" s="1262" t="str">
        <f t="shared" si="11"/>
        <v>物业等级</v>
      </c>
      <c r="R30" s="667" t="s">
        <v>14</v>
      </c>
      <c r="S30" s="668">
        <f t="shared" si="12"/>
        <v>100</v>
      </c>
      <c r="T30" s="667" t="s">
        <v>14</v>
      </c>
      <c r="U30" s="668">
        <f t="shared" si="13"/>
        <v>100</v>
      </c>
      <c r="V30" s="667" t="s">
        <v>14</v>
      </c>
      <c r="W30" s="668">
        <f t="shared" si="14"/>
        <v>100</v>
      </c>
      <c r="X30" s="1264"/>
      <c r="Y30" s="3390"/>
      <c r="Z30" s="1263" t="str">
        <f t="shared" si="15"/>
        <v>物业等级</v>
      </c>
      <c r="AA30" s="1263">
        <f t="shared" si="3"/>
        <v>1</v>
      </c>
      <c r="AB30" s="1263">
        <f t="shared" si="4"/>
        <v>1</v>
      </c>
      <c r="AC30" s="1263">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90"/>
      <c r="Q31" s="530" t="str">
        <f t="shared" si="11"/>
        <v>停车位面积</v>
      </c>
      <c r="R31" s="664" t="s">
        <v>14</v>
      </c>
      <c r="S31" s="665" t="e">
        <f t="shared" si="12"/>
        <v>#N/A</v>
      </c>
      <c r="T31" s="664" t="s">
        <v>14</v>
      </c>
      <c r="U31" s="665" t="e">
        <f t="shared" si="13"/>
        <v>#N/A</v>
      </c>
      <c r="V31" s="664" t="s">
        <v>14</v>
      </c>
      <c r="W31" s="665" t="e">
        <f t="shared" si="14"/>
        <v>#N/A</v>
      </c>
      <c r="X31" s="666"/>
      <c r="Y31" s="3390"/>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90" t="s">
        <v>1696</v>
      </c>
      <c r="Q32" s="1262" t="str">
        <f t="shared" si="11"/>
        <v>车位类型</v>
      </c>
      <c r="R32" s="667" t="s">
        <v>14</v>
      </c>
      <c r="S32" s="668">
        <f t="shared" si="12"/>
        <v>100</v>
      </c>
      <c r="T32" s="667" t="s">
        <v>14</v>
      </c>
      <c r="U32" s="668">
        <f t="shared" si="13"/>
        <v>100</v>
      </c>
      <c r="V32" s="667" t="s">
        <v>14</v>
      </c>
      <c r="W32" s="668">
        <f t="shared" si="14"/>
        <v>100</v>
      </c>
      <c r="X32" s="1264"/>
      <c r="Y32" s="3390" t="s">
        <v>1696</v>
      </c>
      <c r="Z32" s="1263" t="str">
        <f t="shared" si="15"/>
        <v>车位类型</v>
      </c>
      <c r="AA32" s="1263">
        <f t="shared" si="3"/>
        <v>1</v>
      </c>
      <c r="AB32" s="1263">
        <f t="shared" si="4"/>
        <v>1</v>
      </c>
      <c r="AC32" s="1263">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90"/>
      <c r="Q33" s="1262" t="str">
        <f t="shared" si="11"/>
        <v>是否直接入户</v>
      </c>
      <c r="R33" s="667" t="s">
        <v>14</v>
      </c>
      <c r="S33" s="668">
        <f t="shared" si="12"/>
        <v>100</v>
      </c>
      <c r="T33" s="667" t="s">
        <v>14</v>
      </c>
      <c r="U33" s="668">
        <f t="shared" si="13"/>
        <v>100</v>
      </c>
      <c r="V33" s="667" t="s">
        <v>14</v>
      </c>
      <c r="W33" s="668">
        <f t="shared" si="14"/>
        <v>100</v>
      </c>
      <c r="X33" s="1264"/>
      <c r="Y33" s="3390"/>
      <c r="Z33" s="1263" t="str">
        <f t="shared" si="15"/>
        <v>是否直接入户</v>
      </c>
      <c r="AA33" s="1263">
        <f t="shared" si="3"/>
        <v>1</v>
      </c>
      <c r="AB33" s="1263">
        <f t="shared" si="4"/>
        <v>1</v>
      </c>
      <c r="AC33" s="1263">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90"/>
      <c r="Q34" s="1262">
        <f t="shared" si="11"/>
        <v>111</v>
      </c>
      <c r="R34" s="667" t="s">
        <v>14</v>
      </c>
      <c r="S34" s="668">
        <f t="shared" si="12"/>
        <v>100</v>
      </c>
      <c r="T34" s="667" t="s">
        <v>14</v>
      </c>
      <c r="U34" s="668">
        <f t="shared" si="13"/>
        <v>100</v>
      </c>
      <c r="V34" s="667" t="s">
        <v>14</v>
      </c>
      <c r="W34" s="668">
        <f t="shared" si="14"/>
        <v>100</v>
      </c>
      <c r="X34" s="1264"/>
      <c r="Y34" s="3390"/>
      <c r="Z34" s="1263">
        <f t="shared" si="15"/>
        <v>111</v>
      </c>
      <c r="AA34" s="1263">
        <f t="shared" si="3"/>
        <v>1</v>
      </c>
      <c r="AB34" s="1263">
        <f t="shared" si="4"/>
        <v>1</v>
      </c>
      <c r="AC34" s="1263">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90"/>
      <c r="Q35" s="531">
        <f t="shared" si="11"/>
        <v>111</v>
      </c>
      <c r="R35" s="669" t="s">
        <v>14</v>
      </c>
      <c r="S35" s="670">
        <f t="shared" si="12"/>
        <v>100</v>
      </c>
      <c r="T35" s="669" t="s">
        <v>14</v>
      </c>
      <c r="U35" s="670">
        <f t="shared" si="13"/>
        <v>100</v>
      </c>
      <c r="V35" s="669" t="s">
        <v>14</v>
      </c>
      <c r="W35" s="670">
        <f t="shared" si="14"/>
        <v>100</v>
      </c>
      <c r="X35" s="671"/>
      <c r="Y35" s="3390"/>
      <c r="Z35" s="672">
        <f t="shared" si="15"/>
        <v>111</v>
      </c>
      <c r="AA35" s="1263">
        <f t="shared" si="3"/>
        <v>1</v>
      </c>
      <c r="AB35" s="1263">
        <f t="shared" si="4"/>
        <v>1</v>
      </c>
      <c r="AC35" s="1263">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90"/>
      <c r="Q36" s="1262">
        <f t="shared" si="11"/>
        <v>111</v>
      </c>
      <c r="R36" s="667" t="s">
        <v>14</v>
      </c>
      <c r="S36" s="668">
        <f t="shared" si="12"/>
        <v>100</v>
      </c>
      <c r="T36" s="667" t="s">
        <v>14</v>
      </c>
      <c r="U36" s="668">
        <f t="shared" si="13"/>
        <v>100</v>
      </c>
      <c r="V36" s="667" t="s">
        <v>14</v>
      </c>
      <c r="W36" s="668">
        <f t="shared" si="14"/>
        <v>100</v>
      </c>
      <c r="X36" s="1264"/>
      <c r="Y36" s="3390"/>
      <c r="Z36" s="1263">
        <f t="shared" si="15"/>
        <v>111</v>
      </c>
      <c r="AA36" s="1263">
        <f t="shared" si="3"/>
        <v>1</v>
      </c>
      <c r="AB36" s="1263">
        <f t="shared" si="4"/>
        <v>1</v>
      </c>
      <c r="AC36" s="1263">
        <f t="shared" si="5"/>
        <v>1</v>
      </c>
    </row>
    <row r="37" spans="1:29">
      <c r="A37" s="416" t="s">
        <v>1844</v>
      </c>
      <c r="B37" s="1820" t="s">
        <v>3352</v>
      </c>
      <c r="C37" s="1080" t="s">
        <v>0</v>
      </c>
      <c r="D37" s="418"/>
      <c r="E37" s="419"/>
      <c r="F37" s="420"/>
      <c r="G37" s="421"/>
      <c r="H37" s="422"/>
      <c r="I37" s="419"/>
      <c r="J37" s="422"/>
      <c r="K37" s="545"/>
      <c r="L37" s="2494"/>
      <c r="M37" s="2487"/>
      <c r="N37" s="2487"/>
      <c r="O37" s="2487"/>
      <c r="P37" s="3383" t="str">
        <f>A37</f>
        <v>成交单价</v>
      </c>
      <c r="Q37" s="3383"/>
      <c r="R37" s="3384">
        <f>E37</f>
        <v>0</v>
      </c>
      <c r="S37" s="3384"/>
      <c r="T37" s="3384">
        <f>G37</f>
        <v>0</v>
      </c>
      <c r="U37" s="3384"/>
      <c r="V37" s="3384">
        <f>I37</f>
        <v>0</v>
      </c>
      <c r="W37" s="3384"/>
      <c r="X37" s="385"/>
      <c r="Y37" s="673"/>
      <c r="Z37" s="385"/>
      <c r="AA37" s="385"/>
      <c r="AB37" s="385"/>
      <c r="AC37" s="385"/>
    </row>
    <row r="38" spans="1:29" ht="14.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383" t="str">
        <f>A38</f>
        <v>比较价值（元/平方米）</v>
      </c>
      <c r="Q38" s="3383"/>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4"/>
      <c r="M39" s="2487"/>
      <c r="N39" s="2487"/>
      <c r="O39" s="2487"/>
      <c r="P39" s="3380" t="str">
        <f>A39</f>
        <v>估价对象XX用房的比较价值（楼面单价，元/平方米）</v>
      </c>
      <c r="Q39" s="3381"/>
      <c r="R39" s="3441" t="e">
        <f>IF(F1="售价",ROUND(IF(D38="简单平均",AVERAGE(R38:W38),R38*F38+T38*H38+V38*J38),0),ROUND(IF(D38="简单平均",AVERAGE(R38:V38),R38*F38+T38*H38+V38*J38),1))</f>
        <v>#DIV/0!</v>
      </c>
      <c r="S39" s="3441"/>
      <c r="T39" s="3441"/>
      <c r="U39" s="3441"/>
      <c r="V39" s="3441"/>
      <c r="W39" s="3441"/>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6" t="s">
        <v>1850</v>
      </c>
      <c r="B47" s="861"/>
      <c r="C47" s="886"/>
      <c r="D47" s="886"/>
      <c r="E47" s="886"/>
      <c r="F47" s="1087"/>
      <c r="G47" s="1087"/>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1851</v>
      </c>
      <c r="B48" s="441"/>
      <c r="C48" s="1102" t="str">
        <f>YEAR(C7)&amp;"-"&amp;MONTH(C7)</f>
        <v>2025-12</v>
      </c>
      <c r="D48" s="1103">
        <f>EDATE(C48,-1)</f>
        <v>45962</v>
      </c>
      <c r="E48" s="1103">
        <f t="shared" ref="E48:O48" si="16">EDATE(D48,-1)</f>
        <v>45931</v>
      </c>
      <c r="F48" s="1103">
        <f t="shared" si="16"/>
        <v>45901</v>
      </c>
      <c r="G48" s="1103">
        <f t="shared" si="16"/>
        <v>45870</v>
      </c>
      <c r="H48" s="1103">
        <f t="shared" si="16"/>
        <v>45839</v>
      </c>
      <c r="I48" s="1103">
        <f t="shared" si="16"/>
        <v>45809</v>
      </c>
      <c r="J48" s="1103">
        <f t="shared" si="16"/>
        <v>45778</v>
      </c>
      <c r="K48" s="1103">
        <f t="shared" si="16"/>
        <v>45748</v>
      </c>
      <c r="L48" s="1103">
        <f t="shared" si="16"/>
        <v>45717</v>
      </c>
      <c r="M48" s="1103">
        <f t="shared" si="16"/>
        <v>45689</v>
      </c>
      <c r="N48" s="1103">
        <f t="shared" si="16"/>
        <v>45658</v>
      </c>
      <c r="O48" s="1103">
        <f t="shared" si="16"/>
        <v>45627</v>
      </c>
      <c r="P48" s="2527"/>
      <c r="Q48" s="2510"/>
      <c r="R48" s="2510"/>
      <c r="S48" s="2510"/>
      <c r="T48" s="2510"/>
      <c r="U48" s="2510"/>
      <c r="V48" s="2510"/>
      <c r="W48" s="2510"/>
      <c r="X48" s="2510"/>
      <c r="Y48" s="2510"/>
      <c r="Z48" s="2510"/>
      <c r="AA48" s="2510"/>
      <c r="AB48" s="2510"/>
      <c r="AC48" s="2510"/>
    </row>
    <row r="49" spans="1:29" s="102" customFormat="1">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9" customFormat="1" ht="28.5" customHeight="1" thickBot="1">
      <c r="A1" s="1138" t="s">
        <v>1831</v>
      </c>
      <c r="B1" s="1139" t="s">
        <v>3332</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408" t="s">
        <v>1771</v>
      </c>
      <c r="S4" s="3409"/>
      <c r="T4" s="3408" t="s">
        <v>1772</v>
      </c>
      <c r="U4" s="3409"/>
      <c r="V4" s="3384" t="s">
        <v>1773</v>
      </c>
      <c r="W4" s="3384"/>
      <c r="X4" s="1264"/>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6"/>
      <c r="M5" s="2487"/>
      <c r="N5" s="2487"/>
      <c r="O5" s="2487"/>
      <c r="P5" s="3404"/>
      <c r="Q5" s="3405"/>
      <c r="R5" s="3410"/>
      <c r="S5" s="3411"/>
      <c r="T5" s="3410"/>
      <c r="U5" s="3411"/>
      <c r="V5" s="3384"/>
      <c r="W5" s="3384"/>
      <c r="X5" s="1264"/>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2486"/>
      <c r="M6" s="2487"/>
      <c r="N6" s="2487"/>
      <c r="O6" s="2487"/>
      <c r="P6" s="3406"/>
      <c r="Q6" s="3407"/>
      <c r="R6" s="3410"/>
      <c r="S6" s="3411"/>
      <c r="T6" s="3412"/>
      <c r="U6" s="3413"/>
      <c r="V6" s="3384"/>
      <c r="W6" s="3384"/>
      <c r="X6" s="1264"/>
      <c r="Y6" s="3412"/>
      <c r="Z6" s="3413"/>
      <c r="AA6" s="3397"/>
      <c r="AB6" s="3397"/>
      <c r="AC6" s="3397"/>
    </row>
    <row r="7" spans="1:29" s="102" customFormat="1" ht="14.5" thickBot="1">
      <c r="A7" s="352" t="s">
        <v>1679</v>
      </c>
      <c r="B7" s="353"/>
      <c r="C7" s="354">
        <f>'数据-取费表'!B2</f>
        <v>46022</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18" t="s">
        <v>1680</v>
      </c>
      <c r="Q7" s="3420"/>
      <c r="R7" s="664" t="s">
        <v>14</v>
      </c>
      <c r="S7" s="665">
        <f t="shared" ref="S7:S14" si="0">F7</f>
        <v>0</v>
      </c>
      <c r="T7" s="664" t="s">
        <v>14</v>
      </c>
      <c r="U7" s="665">
        <f t="shared" ref="U7:U14" si="1">H7</f>
        <v>0</v>
      </c>
      <c r="V7" s="664" t="s">
        <v>14</v>
      </c>
      <c r="W7" s="665">
        <f t="shared" ref="W7:W14" si="2">J7</f>
        <v>0</v>
      </c>
      <c r="X7" s="666"/>
      <c r="Y7" s="3418" t="s">
        <v>1680</v>
      </c>
      <c r="Z7" s="3419"/>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18" t="s">
        <v>1683</v>
      </c>
      <c r="Q8" s="3419"/>
      <c r="R8" s="664" t="s">
        <v>14</v>
      </c>
      <c r="S8" s="665">
        <f t="shared" si="0"/>
        <v>100</v>
      </c>
      <c r="T8" s="664" t="s">
        <v>14</v>
      </c>
      <c r="U8" s="665">
        <f t="shared" si="1"/>
        <v>100</v>
      </c>
      <c r="V8" s="664" t="s">
        <v>14</v>
      </c>
      <c r="W8" s="665">
        <f t="shared" si="2"/>
        <v>100</v>
      </c>
      <c r="X8" s="666"/>
      <c r="Y8" s="3418" t="s">
        <v>1683</v>
      </c>
      <c r="Z8" s="341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83"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3"/>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98">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5" t="s">
        <v>1691</v>
      </c>
      <c r="Q14" s="1262" t="str">
        <f t="shared" si="6"/>
        <v>交通便捷度</v>
      </c>
      <c r="R14" s="667" t="s">
        <v>14</v>
      </c>
      <c r="S14" s="668">
        <f t="shared" si="0"/>
        <v>100</v>
      </c>
      <c r="T14" s="667" t="s">
        <v>14</v>
      </c>
      <c r="U14" s="668">
        <f t="shared" si="1"/>
        <v>100</v>
      </c>
      <c r="V14" s="667" t="s">
        <v>14</v>
      </c>
      <c r="W14" s="668">
        <f t="shared" si="2"/>
        <v>100</v>
      </c>
      <c r="X14" s="1264"/>
      <c r="Y14" s="3385" t="s">
        <v>1691</v>
      </c>
      <c r="Z14" s="1263" t="str">
        <f t="shared" si="7"/>
        <v>交通便捷度</v>
      </c>
      <c r="AA14" s="1263">
        <f t="shared" si="3"/>
        <v>1</v>
      </c>
      <c r="AB14" s="1263">
        <f t="shared" si="4"/>
        <v>1</v>
      </c>
      <c r="AC14" s="1263">
        <f t="shared" si="5"/>
        <v>1</v>
      </c>
    </row>
    <row r="15" spans="1:29" ht="15.5">
      <c r="A15" s="367"/>
      <c r="B15" s="385"/>
      <c r="C15" s="386"/>
      <c r="D15" s="387"/>
      <c r="E15" s="386"/>
      <c r="F15" s="388"/>
      <c r="G15" s="386"/>
      <c r="H15" s="389"/>
      <c r="I15" s="386"/>
      <c r="J15" s="387"/>
      <c r="K15" s="541"/>
      <c r="L15" s="2492"/>
      <c r="M15" s="2487"/>
      <c r="N15" s="2487"/>
      <c r="O15" s="2542"/>
      <c r="P15" s="3386"/>
      <c r="Q15" s="1262"/>
      <c r="R15" s="667"/>
      <c r="S15" s="668"/>
      <c r="T15" s="667"/>
      <c r="U15" s="668"/>
      <c r="V15" s="667"/>
      <c r="W15" s="668"/>
      <c r="X15" s="1264"/>
      <c r="Y15" s="3386"/>
      <c r="Z15" s="1263"/>
      <c r="AA15" s="1263">
        <v>1</v>
      </c>
      <c r="AB15" s="1263">
        <v>1</v>
      </c>
      <c r="AC15" s="1263">
        <v>1</v>
      </c>
    </row>
    <row r="16" spans="1:29" ht="42">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6"/>
      <c r="Q16" s="1262" t="str">
        <f>B16</f>
        <v>公共配套设施</v>
      </c>
      <c r="R16" s="667" t="s">
        <v>14</v>
      </c>
      <c r="S16" s="668">
        <f>F16</f>
        <v>100</v>
      </c>
      <c r="T16" s="667" t="s">
        <v>14</v>
      </c>
      <c r="U16" s="668">
        <f>H16</f>
        <v>100</v>
      </c>
      <c r="V16" s="667" t="s">
        <v>14</v>
      </c>
      <c r="W16" s="668">
        <f>J16</f>
        <v>100</v>
      </c>
      <c r="X16" s="1264"/>
      <c r="Y16" s="3386"/>
      <c r="Z16" s="1263" t="str">
        <f>Q16</f>
        <v>公共配套设施</v>
      </c>
      <c r="AA16" s="1263">
        <f t="shared" si="3"/>
        <v>1</v>
      </c>
      <c r="AB16" s="1263">
        <f t="shared" si="4"/>
        <v>1</v>
      </c>
      <c r="AC16" s="1263">
        <f t="shared" si="5"/>
        <v>1</v>
      </c>
    </row>
    <row r="17" spans="1:29" ht="15.5">
      <c r="A17" s="367"/>
      <c r="B17" s="395"/>
      <c r="C17" s="1754"/>
      <c r="D17" s="387"/>
      <c r="E17" s="386"/>
      <c r="F17" s="388"/>
      <c r="G17" s="386"/>
      <c r="H17" s="387"/>
      <c r="I17" s="386"/>
      <c r="J17" s="387"/>
      <c r="K17" s="541"/>
      <c r="L17" s="2492"/>
      <c r="M17" s="2487"/>
      <c r="N17" s="2487"/>
      <c r="O17" s="2542"/>
      <c r="P17" s="3386"/>
      <c r="Q17" s="1262"/>
      <c r="R17" s="667"/>
      <c r="S17" s="668"/>
      <c r="T17" s="667"/>
      <c r="U17" s="668"/>
      <c r="V17" s="667"/>
      <c r="W17" s="668"/>
      <c r="X17" s="1264"/>
      <c r="Y17" s="3386"/>
      <c r="Z17" s="1263"/>
      <c r="AA17" s="1263">
        <v>1</v>
      </c>
      <c r="AB17" s="1263">
        <v>1</v>
      </c>
      <c r="AC17" s="1263">
        <v>1</v>
      </c>
    </row>
    <row r="18" spans="1:29" ht="42">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6"/>
      <c r="Q18" s="1262" t="str">
        <f>B18</f>
        <v>基础设施水平</v>
      </c>
      <c r="R18" s="667" t="s">
        <v>14</v>
      </c>
      <c r="S18" s="668">
        <f>F18</f>
        <v>100</v>
      </c>
      <c r="T18" s="667" t="s">
        <v>14</v>
      </c>
      <c r="U18" s="668">
        <f>H18</f>
        <v>100</v>
      </c>
      <c r="V18" s="667" t="s">
        <v>14</v>
      </c>
      <c r="W18" s="668">
        <f>J18</f>
        <v>100</v>
      </c>
      <c r="X18" s="1264"/>
      <c r="Y18" s="3386"/>
      <c r="Z18" s="1263" t="str">
        <f>Q18</f>
        <v>基础设施水平</v>
      </c>
      <c r="AA18" s="1263">
        <f t="shared" ref="AA18" si="8">D18/F18</f>
        <v>1</v>
      </c>
      <c r="AB18" s="1263">
        <f t="shared" ref="AB18" si="9">D18/H18</f>
        <v>1</v>
      </c>
      <c r="AC18" s="1263">
        <f t="shared" ref="AC18" si="10">D18/J18</f>
        <v>1</v>
      </c>
    </row>
    <row r="19" spans="1:29" ht="15.5">
      <c r="A19" s="367"/>
      <c r="B19" s="586"/>
      <c r="C19" s="1754"/>
      <c r="D19" s="389"/>
      <c r="E19" s="1754"/>
      <c r="F19" s="392"/>
      <c r="G19" s="1754"/>
      <c r="H19" s="387"/>
      <c r="I19" s="386"/>
      <c r="J19" s="387"/>
      <c r="K19" s="1064"/>
      <c r="L19" s="2492"/>
      <c r="M19" s="2487"/>
      <c r="N19" s="2487"/>
      <c r="O19" s="2542"/>
      <c r="P19" s="3386"/>
      <c r="Q19" s="1262"/>
      <c r="R19" s="667"/>
      <c r="S19" s="668"/>
      <c r="T19" s="667"/>
      <c r="U19" s="668"/>
      <c r="V19" s="667"/>
      <c r="W19" s="668"/>
      <c r="X19" s="1264"/>
      <c r="Y19" s="3386"/>
      <c r="Z19" s="1263"/>
      <c r="AA19" s="1263">
        <v>1</v>
      </c>
      <c r="AB19" s="1263">
        <v>1</v>
      </c>
      <c r="AC19" s="1263">
        <v>1</v>
      </c>
    </row>
    <row r="20" spans="1:29" ht="56">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6"/>
      <c r="Q20" s="1262" t="str">
        <f>B20</f>
        <v>自然及人文环境</v>
      </c>
      <c r="R20" s="667" t="s">
        <v>14</v>
      </c>
      <c r="S20" s="668">
        <f>F20</f>
        <v>100</v>
      </c>
      <c r="T20" s="667" t="s">
        <v>14</v>
      </c>
      <c r="U20" s="668">
        <f>H20</f>
        <v>100</v>
      </c>
      <c r="V20" s="667" t="s">
        <v>14</v>
      </c>
      <c r="W20" s="668">
        <f>J20</f>
        <v>100</v>
      </c>
      <c r="X20" s="1264"/>
      <c r="Y20" s="3386"/>
      <c r="Z20" s="1263" t="str">
        <f>Q20</f>
        <v>自然及人文环境</v>
      </c>
      <c r="AA20" s="1263">
        <f t="shared" si="3"/>
        <v>1</v>
      </c>
      <c r="AB20" s="1263">
        <f t="shared" si="4"/>
        <v>1</v>
      </c>
      <c r="AC20" s="1263">
        <f t="shared" si="5"/>
        <v>1</v>
      </c>
    </row>
    <row r="21" spans="1:29" ht="15.5">
      <c r="A21" s="367"/>
      <c r="B21" s="395"/>
      <c r="C21" s="386"/>
      <c r="D21" s="387"/>
      <c r="E21" s="386"/>
      <c r="F21" s="388"/>
      <c r="G21" s="386"/>
      <c r="H21" s="387"/>
      <c r="I21" s="386"/>
      <c r="J21" s="387"/>
      <c r="K21" s="541"/>
      <c r="L21" s="2492"/>
      <c r="M21" s="2487"/>
      <c r="N21" s="2487"/>
      <c r="O21" s="2542"/>
      <c r="P21" s="3386"/>
      <c r="Q21" s="1262"/>
      <c r="R21" s="667"/>
      <c r="S21" s="668"/>
      <c r="T21" s="667"/>
      <c r="U21" s="668"/>
      <c r="V21" s="667"/>
      <c r="W21" s="668"/>
      <c r="X21" s="1264"/>
      <c r="Y21" s="3386"/>
      <c r="Z21" s="1263"/>
      <c r="AA21" s="1263">
        <v>1</v>
      </c>
      <c r="AB21" s="1263">
        <v>1</v>
      </c>
      <c r="AC21" s="1263">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6"/>
      <c r="Q22" s="1262" t="str">
        <f>B22</f>
        <v>楼层</v>
      </c>
      <c r="R22" s="667" t="s">
        <v>14</v>
      </c>
      <c r="S22" s="668">
        <f>F22</f>
        <v>100</v>
      </c>
      <c r="T22" s="667" t="s">
        <v>14</v>
      </c>
      <c r="U22" s="668">
        <f>H22</f>
        <v>100</v>
      </c>
      <c r="V22" s="667" t="s">
        <v>14</v>
      </c>
      <c r="W22" s="668">
        <f>J22</f>
        <v>100</v>
      </c>
      <c r="X22" s="1264"/>
      <c r="Y22" s="3386"/>
      <c r="Z22" s="1263" t="str">
        <f>Q22</f>
        <v>楼层</v>
      </c>
      <c r="AA22" s="1263">
        <f t="shared" si="3"/>
        <v>1</v>
      </c>
      <c r="AB22" s="1263">
        <f t="shared" si="4"/>
        <v>1</v>
      </c>
      <c r="AC22" s="1263">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6"/>
      <c r="Q23" s="1262">
        <f>B23</f>
        <v>111</v>
      </c>
      <c r="R23" s="667" t="s">
        <v>14</v>
      </c>
      <c r="S23" s="668">
        <f>F23</f>
        <v>100</v>
      </c>
      <c r="T23" s="667" t="s">
        <v>14</v>
      </c>
      <c r="U23" s="668">
        <f>H23</f>
        <v>100</v>
      </c>
      <c r="V23" s="667" t="s">
        <v>14</v>
      </c>
      <c r="W23" s="668">
        <f>J23</f>
        <v>100</v>
      </c>
      <c r="X23" s="1264"/>
      <c r="Y23" s="3386"/>
      <c r="Z23" s="1263">
        <f>Q23</f>
        <v>111</v>
      </c>
      <c r="AA23" s="1263">
        <f t="shared" si="3"/>
        <v>1</v>
      </c>
      <c r="AB23" s="1263">
        <f t="shared" si="4"/>
        <v>1</v>
      </c>
      <c r="AC23" s="1263">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6"/>
      <c r="Q24" s="1262">
        <f t="shared" ref="Q24:Q34" si="11">B24</f>
        <v>111</v>
      </c>
      <c r="R24" s="667" t="s">
        <v>14</v>
      </c>
      <c r="S24" s="668">
        <f>F24</f>
        <v>100</v>
      </c>
      <c r="T24" s="667" t="s">
        <v>14</v>
      </c>
      <c r="U24" s="668">
        <f>H24</f>
        <v>100</v>
      </c>
      <c r="V24" s="667" t="s">
        <v>14</v>
      </c>
      <c r="W24" s="668">
        <f>J24</f>
        <v>100</v>
      </c>
      <c r="X24" s="1264"/>
      <c r="Y24" s="3386"/>
      <c r="Z24" s="1263">
        <f>Q24</f>
        <v>111</v>
      </c>
      <c r="AA24" s="1263">
        <f t="shared" si="3"/>
        <v>1</v>
      </c>
      <c r="AB24" s="1263">
        <f t="shared" si="4"/>
        <v>1</v>
      </c>
      <c r="AC24" s="1263">
        <f t="shared" si="5"/>
        <v>1</v>
      </c>
    </row>
    <row r="25" spans="1:29" s="102" customFormat="1" ht="1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86"/>
      <c r="Q25" s="530">
        <f t="shared" si="11"/>
        <v>111</v>
      </c>
      <c r="R25" s="664" t="s">
        <v>14</v>
      </c>
      <c r="S25" s="665">
        <f>F25</f>
        <v>100</v>
      </c>
      <c r="T25" s="664" t="s">
        <v>14</v>
      </c>
      <c r="U25" s="665">
        <f>H25</f>
        <v>100</v>
      </c>
      <c r="V25" s="664" t="s">
        <v>14</v>
      </c>
      <c r="W25" s="665">
        <f>J25</f>
        <v>100</v>
      </c>
      <c r="X25" s="666"/>
      <c r="Y25" s="3386"/>
      <c r="Z25" s="50">
        <f>Q25</f>
        <v>111</v>
      </c>
      <c r="AA25" s="1263">
        <f>D25/F25</f>
        <v>1</v>
      </c>
      <c r="AB25" s="1263">
        <f>D25/H25</f>
        <v>1</v>
      </c>
      <c r="AC25" s="1263">
        <f>D25/J25</f>
        <v>1</v>
      </c>
    </row>
    <row r="26" spans="1:29" ht="29">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40"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90" t="s">
        <v>1696</v>
      </c>
      <c r="Z26" s="1263" t="str">
        <f t="shared" ref="Z26:Z34" si="15">Q26</f>
        <v>公共部分装修</v>
      </c>
      <c r="AA26" s="1263">
        <f t="shared" si="3"/>
        <v>1</v>
      </c>
      <c r="AB26" s="1263">
        <f t="shared" si="4"/>
        <v>1</v>
      </c>
      <c r="AC26" s="1263">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90"/>
      <c r="Q27" s="531" t="str">
        <f t="shared" si="11"/>
        <v>成新率</v>
      </c>
      <c r="R27" s="669" t="s">
        <v>14</v>
      </c>
      <c r="S27" s="670" t="e">
        <f t="shared" si="12"/>
        <v>#N/A</v>
      </c>
      <c r="T27" s="669" t="s">
        <v>14</v>
      </c>
      <c r="U27" s="670" t="e">
        <f t="shared" si="13"/>
        <v>#N/A</v>
      </c>
      <c r="V27" s="669" t="s">
        <v>14</v>
      </c>
      <c r="W27" s="670" t="e">
        <f t="shared" si="14"/>
        <v>#N/A</v>
      </c>
      <c r="X27" s="671"/>
      <c r="Y27" s="3390"/>
      <c r="Z27" s="672" t="str">
        <f t="shared" si="15"/>
        <v>成新率</v>
      </c>
      <c r="AA27" s="1263" t="e">
        <f t="shared" si="3"/>
        <v>#N/A</v>
      </c>
      <c r="AB27" s="1263" t="e">
        <f t="shared" si="4"/>
        <v>#N/A</v>
      </c>
      <c r="AC27" s="1263"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90"/>
      <c r="Q28" s="1262" t="str">
        <f t="shared" si="11"/>
        <v>物业等级</v>
      </c>
      <c r="R28" s="667" t="s">
        <v>14</v>
      </c>
      <c r="S28" s="668">
        <f t="shared" si="12"/>
        <v>100</v>
      </c>
      <c r="T28" s="667" t="s">
        <v>14</v>
      </c>
      <c r="U28" s="668">
        <f t="shared" si="13"/>
        <v>100</v>
      </c>
      <c r="V28" s="667" t="s">
        <v>14</v>
      </c>
      <c r="W28" s="668">
        <f t="shared" si="14"/>
        <v>100</v>
      </c>
      <c r="X28" s="1264"/>
      <c r="Y28" s="3390"/>
      <c r="Z28" s="1263" t="str">
        <f t="shared" si="15"/>
        <v>物业等级</v>
      </c>
      <c r="AA28" s="1263">
        <f t="shared" si="3"/>
        <v>1</v>
      </c>
      <c r="AB28" s="1263">
        <f t="shared" si="4"/>
        <v>1</v>
      </c>
      <c r="AC28" s="1263">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90"/>
      <c r="Q29" s="1262" t="str">
        <f t="shared" si="11"/>
        <v>有无电梯</v>
      </c>
      <c r="R29" s="667" t="s">
        <v>14</v>
      </c>
      <c r="S29" s="668">
        <f t="shared" si="12"/>
        <v>100</v>
      </c>
      <c r="T29" s="667" t="s">
        <v>14</v>
      </c>
      <c r="U29" s="668">
        <f t="shared" si="13"/>
        <v>100</v>
      </c>
      <c r="V29" s="667" t="s">
        <v>14</v>
      </c>
      <c r="W29" s="668">
        <f t="shared" si="14"/>
        <v>100</v>
      </c>
      <c r="X29" s="1264"/>
      <c r="Y29" s="3390"/>
      <c r="Z29" s="1263" t="str">
        <f t="shared" si="15"/>
        <v>有无电梯</v>
      </c>
      <c r="AA29" s="1263">
        <f t="shared" si="3"/>
        <v>1</v>
      </c>
      <c r="AB29" s="1263">
        <f t="shared" si="4"/>
        <v>1</v>
      </c>
      <c r="AC29" s="1263">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90"/>
      <c r="Q30" s="1262" t="str">
        <f t="shared" si="11"/>
        <v>建筑面积</v>
      </c>
      <c r="R30" s="667" t="s">
        <v>14</v>
      </c>
      <c r="S30" s="668" t="e">
        <f t="shared" si="12"/>
        <v>#N/A</v>
      </c>
      <c r="T30" s="667" t="s">
        <v>14</v>
      </c>
      <c r="U30" s="668" t="e">
        <f t="shared" si="13"/>
        <v>#N/A</v>
      </c>
      <c r="V30" s="667" t="s">
        <v>14</v>
      </c>
      <c r="W30" s="668" t="e">
        <f t="shared" si="14"/>
        <v>#N/A</v>
      </c>
      <c r="X30" s="1264"/>
      <c r="Y30" s="3390"/>
      <c r="Z30" s="1263" t="str">
        <f t="shared" si="15"/>
        <v>建筑面积</v>
      </c>
      <c r="AA30" s="1263" t="e">
        <f t="shared" si="3"/>
        <v>#N/A</v>
      </c>
      <c r="AB30" s="1263" t="e">
        <f t="shared" si="4"/>
        <v>#N/A</v>
      </c>
      <c r="AC30" s="1263"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90"/>
      <c r="Q31" s="530" t="str">
        <f t="shared" si="11"/>
        <v>是否封闭</v>
      </c>
      <c r="R31" s="664" t="s">
        <v>14</v>
      </c>
      <c r="S31" s="665">
        <f t="shared" si="12"/>
        <v>100</v>
      </c>
      <c r="T31" s="664" t="s">
        <v>14</v>
      </c>
      <c r="U31" s="665">
        <f t="shared" si="13"/>
        <v>100</v>
      </c>
      <c r="V31" s="664" t="s">
        <v>14</v>
      </c>
      <c r="W31" s="665">
        <f t="shared" si="14"/>
        <v>100</v>
      </c>
      <c r="X31" s="666"/>
      <c r="Y31" s="3390"/>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90" t="s">
        <v>1696</v>
      </c>
      <c r="Q32" s="1262">
        <f t="shared" si="11"/>
        <v>111</v>
      </c>
      <c r="R32" s="667" t="s">
        <v>14</v>
      </c>
      <c r="S32" s="668">
        <f t="shared" si="12"/>
        <v>100</v>
      </c>
      <c r="T32" s="667" t="s">
        <v>14</v>
      </c>
      <c r="U32" s="668">
        <f t="shared" si="13"/>
        <v>100</v>
      </c>
      <c r="V32" s="667" t="s">
        <v>14</v>
      </c>
      <c r="W32" s="668">
        <f t="shared" si="14"/>
        <v>100</v>
      </c>
      <c r="X32" s="1264"/>
      <c r="Y32" s="3390" t="s">
        <v>1696</v>
      </c>
      <c r="Z32" s="1263">
        <f t="shared" si="15"/>
        <v>111</v>
      </c>
      <c r="AA32" s="1263">
        <f t="shared" si="3"/>
        <v>1</v>
      </c>
      <c r="AB32" s="1263">
        <f t="shared" si="4"/>
        <v>1</v>
      </c>
      <c r="AC32" s="1263">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90"/>
      <c r="Q33" s="1262">
        <f t="shared" si="11"/>
        <v>111</v>
      </c>
      <c r="R33" s="667" t="s">
        <v>14</v>
      </c>
      <c r="S33" s="668">
        <f t="shared" si="12"/>
        <v>100</v>
      </c>
      <c r="T33" s="667" t="s">
        <v>14</v>
      </c>
      <c r="U33" s="668">
        <f t="shared" si="13"/>
        <v>100</v>
      </c>
      <c r="V33" s="667" t="s">
        <v>14</v>
      </c>
      <c r="W33" s="668">
        <f t="shared" si="14"/>
        <v>100</v>
      </c>
      <c r="X33" s="1264"/>
      <c r="Y33" s="3390"/>
      <c r="Z33" s="1263">
        <f t="shared" si="15"/>
        <v>111</v>
      </c>
      <c r="AA33" s="1263">
        <f t="shared" si="3"/>
        <v>1</v>
      </c>
      <c r="AB33" s="1263">
        <f t="shared" si="4"/>
        <v>1</v>
      </c>
      <c r="AC33" s="1263">
        <f t="shared" si="5"/>
        <v>1</v>
      </c>
    </row>
    <row r="34" spans="1:30" ht="1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90"/>
      <c r="Q34" s="1262">
        <f t="shared" si="11"/>
        <v>111</v>
      </c>
      <c r="R34" s="667" t="s">
        <v>14</v>
      </c>
      <c r="S34" s="668">
        <f t="shared" si="12"/>
        <v>100</v>
      </c>
      <c r="T34" s="667" t="s">
        <v>14</v>
      </c>
      <c r="U34" s="668">
        <f t="shared" si="13"/>
        <v>100</v>
      </c>
      <c r="V34" s="667" t="s">
        <v>14</v>
      </c>
      <c r="W34" s="668">
        <f t="shared" si="14"/>
        <v>100</v>
      </c>
      <c r="X34" s="1264"/>
      <c r="Y34" s="3390"/>
      <c r="Z34" s="1263">
        <f t="shared" si="15"/>
        <v>111</v>
      </c>
      <c r="AA34" s="1263">
        <f t="shared" si="3"/>
        <v>1</v>
      </c>
      <c r="AB34" s="1263">
        <f t="shared" si="4"/>
        <v>1</v>
      </c>
      <c r="AC34" s="1263">
        <f t="shared" si="5"/>
        <v>1</v>
      </c>
    </row>
    <row r="35" spans="1:30">
      <c r="A35" s="416" t="s">
        <v>1708</v>
      </c>
      <c r="B35" s="417"/>
      <c r="C35" s="1080" t="s">
        <v>0</v>
      </c>
      <c r="D35" s="418"/>
      <c r="E35" s="419"/>
      <c r="F35" s="420"/>
      <c r="G35" s="421"/>
      <c r="H35" s="422"/>
      <c r="I35" s="419"/>
      <c r="J35" s="422"/>
      <c r="K35" s="674"/>
      <c r="L35" s="2494"/>
      <c r="M35" s="2487"/>
      <c r="N35" s="2487"/>
      <c r="O35" s="2487"/>
      <c r="P35" s="3383" t="str">
        <f>A35</f>
        <v>成交单价（元/平方米）</v>
      </c>
      <c r="Q35" s="3383"/>
      <c r="R35" s="3384">
        <f>E35</f>
        <v>0</v>
      </c>
      <c r="S35" s="3384"/>
      <c r="T35" s="3384">
        <f>G35</f>
        <v>0</v>
      </c>
      <c r="U35" s="3384"/>
      <c r="V35" s="3384">
        <f>I35</f>
        <v>0</v>
      </c>
      <c r="W35" s="3384"/>
      <c r="X35" s="385"/>
      <c r="Y35" s="673"/>
      <c r="Z35" s="385"/>
      <c r="AA35" s="385"/>
      <c r="AB35" s="385"/>
      <c r="AC35" s="385"/>
    </row>
    <row r="36" spans="1:30" ht="14.5" thickBot="1">
      <c r="A36" s="423" t="s">
        <v>1793</v>
      </c>
      <c r="B36" s="424"/>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383" t="str">
        <f>A36</f>
        <v>比较价值（元/平方米）</v>
      </c>
      <c r="Q36" s="3383"/>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4"/>
      <c r="M37" s="2487"/>
      <c r="N37" s="2487"/>
      <c r="O37" s="2487"/>
      <c r="P37" s="3380" t="str">
        <f>A37</f>
        <v>估价对象XX用房的比较价值（楼面单价，元/平方米）</v>
      </c>
      <c r="Q37" s="3381"/>
      <c r="R37" s="3441" t="e">
        <f>IF(F1="售价",ROUND(IF(D36="简单平均",AVERAGE(R36:W36),R36*F36+T36*H36+V36*J36),0),ROUND(IF(D36="简单平均",AVERAGE(R36:V36),R36*F36+T36*H36+V36*J36),1))</f>
        <v>#DIV/0!</v>
      </c>
      <c r="S37" s="3441"/>
      <c r="T37" s="3441"/>
      <c r="U37" s="3441"/>
      <c r="V37" s="3441"/>
      <c r="W37" s="344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1679</v>
      </c>
      <c r="B46" s="441"/>
      <c r="C46" s="1102" t="str">
        <f>YEAR(C7)&amp;"-"&amp;MONTH(C7)</f>
        <v>2025-12</v>
      </c>
      <c r="D46" s="1103">
        <f>EDATE(C46,-1)</f>
        <v>45962</v>
      </c>
      <c r="E46" s="1103">
        <f t="shared" ref="E46:O46" si="16">EDATE(D46,-1)</f>
        <v>45931</v>
      </c>
      <c r="F46" s="1103">
        <f t="shared" si="16"/>
        <v>45901</v>
      </c>
      <c r="G46" s="1103">
        <f t="shared" si="16"/>
        <v>45870</v>
      </c>
      <c r="H46" s="1103">
        <f t="shared" si="16"/>
        <v>45839</v>
      </c>
      <c r="I46" s="1103">
        <f t="shared" si="16"/>
        <v>45809</v>
      </c>
      <c r="J46" s="1103">
        <f t="shared" si="16"/>
        <v>45778</v>
      </c>
      <c r="K46" s="1103">
        <f t="shared" si="16"/>
        <v>45748</v>
      </c>
      <c r="L46" s="1103">
        <f t="shared" si="16"/>
        <v>45717</v>
      </c>
      <c r="M46" s="1103">
        <f t="shared" si="16"/>
        <v>45689</v>
      </c>
      <c r="N46" s="1103">
        <f t="shared" si="16"/>
        <v>45658</v>
      </c>
      <c r="O46" s="1103">
        <f t="shared" si="16"/>
        <v>45627</v>
      </c>
      <c r="P46" s="2510"/>
      <c r="Q46" s="2510"/>
      <c r="R46" s="2510"/>
      <c r="S46" s="2510"/>
      <c r="T46" s="2510"/>
      <c r="U46" s="2510"/>
      <c r="V46" s="2510"/>
      <c r="W46" s="2510"/>
      <c r="X46" s="2510"/>
      <c r="Y46" s="2510"/>
      <c r="Z46" s="2510"/>
      <c r="AA46" s="2510"/>
      <c r="AB46" s="2510"/>
      <c r="AC46" s="2510"/>
      <c r="AD46" s="2510"/>
    </row>
    <row r="47" spans="1:30" s="102" customFormat="1">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408" t="s">
        <v>1771</v>
      </c>
      <c r="S4" s="3409"/>
      <c r="T4" s="3408" t="s">
        <v>1772</v>
      </c>
      <c r="U4" s="3409"/>
      <c r="V4" s="3384" t="s">
        <v>1773</v>
      </c>
      <c r="W4" s="3384"/>
      <c r="X4" s="1264"/>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6"/>
      <c r="M5" s="2487"/>
      <c r="N5" s="2487"/>
      <c r="O5" s="2487"/>
      <c r="P5" s="3404"/>
      <c r="Q5" s="3405"/>
      <c r="R5" s="3410"/>
      <c r="S5" s="3411"/>
      <c r="T5" s="3410"/>
      <c r="U5" s="3411"/>
      <c r="V5" s="3384"/>
      <c r="W5" s="3384"/>
      <c r="X5" s="1264"/>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2486"/>
      <c r="M6" s="2487"/>
      <c r="N6" s="2487"/>
      <c r="O6" s="2487"/>
      <c r="P6" s="3406"/>
      <c r="Q6" s="3407"/>
      <c r="R6" s="3410"/>
      <c r="S6" s="3411"/>
      <c r="T6" s="3412"/>
      <c r="U6" s="3413"/>
      <c r="V6" s="3384"/>
      <c r="W6" s="3384"/>
      <c r="X6" s="1264"/>
      <c r="Y6" s="3412"/>
      <c r="Z6" s="3413"/>
      <c r="AA6" s="3397"/>
      <c r="AB6" s="3397"/>
      <c r="AC6" s="3397"/>
    </row>
    <row r="7" spans="1:29" s="102" customFormat="1" ht="14.5" thickBot="1">
      <c r="A7" s="352" t="s">
        <v>1679</v>
      </c>
      <c r="B7" s="353"/>
      <c r="C7" s="354">
        <f>'数据-取费表'!B2</f>
        <v>46022</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18" t="s">
        <v>1683</v>
      </c>
      <c r="Q8" s="3419"/>
      <c r="R8" s="664" t="s">
        <v>14</v>
      </c>
      <c r="S8" s="665">
        <f t="shared" si="0"/>
        <v>0</v>
      </c>
      <c r="T8" s="664" t="s">
        <v>14</v>
      </c>
      <c r="U8" s="665">
        <f t="shared" si="1"/>
        <v>0</v>
      </c>
      <c r="V8" s="664" t="s">
        <v>14</v>
      </c>
      <c r="W8" s="665">
        <f t="shared" si="2"/>
        <v>0</v>
      </c>
      <c r="X8" s="666"/>
      <c r="Y8" s="3418" t="s">
        <v>1683</v>
      </c>
      <c r="Z8" s="3419"/>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126</v>
      </c>
      <c r="G10" s="402"/>
      <c r="H10" s="119">
        <f>ROUND(100/'数据-取费表'!G16,0)</f>
        <v>126</v>
      </c>
      <c r="I10" s="402"/>
      <c r="J10" s="119">
        <f>ROUND(100/'数据-取费表'!G16,0)</f>
        <v>126</v>
      </c>
      <c r="K10" s="592"/>
      <c r="L10" s="2489"/>
      <c r="M10" s="2490"/>
      <c r="N10" s="2490"/>
      <c r="O10" s="2541"/>
      <c r="P10" s="3383"/>
      <c r="Q10" s="530" t="str">
        <f t="shared" si="6"/>
        <v>土地使用年限（年）</v>
      </c>
      <c r="R10" s="664" t="s">
        <v>14</v>
      </c>
      <c r="S10" s="665">
        <f t="shared" si="0"/>
        <v>126</v>
      </c>
      <c r="T10" s="664" t="s">
        <v>14</v>
      </c>
      <c r="U10" s="665">
        <f t="shared" si="1"/>
        <v>126</v>
      </c>
      <c r="V10" s="664" t="s">
        <v>14</v>
      </c>
      <c r="W10" s="665">
        <f t="shared" si="2"/>
        <v>126</v>
      </c>
      <c r="X10" s="666"/>
      <c r="Y10" s="3258"/>
      <c r="Z10" s="50" t="str">
        <f t="shared" si="7"/>
        <v>土地使用年限（年）</v>
      </c>
      <c r="AA10" s="50">
        <f t="shared" si="3"/>
        <v>0.79365079365079361</v>
      </c>
      <c r="AB10" s="50">
        <f t="shared" si="4"/>
        <v>0.79365079365079361</v>
      </c>
      <c r="AC10" s="50">
        <f t="shared" si="5"/>
        <v>0.79365079365079361</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3"/>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83"/>
      <c r="Q12" s="530" t="str">
        <f t="shared" si="6"/>
        <v>配建</v>
      </c>
      <c r="R12" s="664" t="s">
        <v>14</v>
      </c>
      <c r="S12" s="665">
        <f t="shared" si="0"/>
        <v>100</v>
      </c>
      <c r="T12" s="664" t="s">
        <v>14</v>
      </c>
      <c r="U12" s="665">
        <f t="shared" si="1"/>
        <v>100</v>
      </c>
      <c r="V12" s="664" t="s">
        <v>14</v>
      </c>
      <c r="W12" s="665">
        <f t="shared" si="2"/>
        <v>100</v>
      </c>
      <c r="X12" s="666"/>
      <c r="Y12" s="3258"/>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D13/F13</f>
        <v>1</v>
      </c>
      <c r="AB13" s="50">
        <f>D13/H13</f>
        <v>1</v>
      </c>
      <c r="AC13" s="50">
        <f>D13/J13</f>
        <v>1</v>
      </c>
    </row>
    <row r="14" spans="1:29" ht="1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D14/F14</f>
        <v>1</v>
      </c>
      <c r="AB14" s="50">
        <f>D14/H14</f>
        <v>1</v>
      </c>
      <c r="AC14" s="50">
        <f>D14/J14</f>
        <v>1</v>
      </c>
    </row>
    <row r="15" spans="1:29" ht="98">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5" t="s">
        <v>1691</v>
      </c>
      <c r="Q15" s="1262" t="str">
        <f t="shared" si="6"/>
        <v>居住社区成熟度</v>
      </c>
      <c r="R15" s="667" t="s">
        <v>14</v>
      </c>
      <c r="S15" s="668">
        <f t="shared" si="0"/>
        <v>100</v>
      </c>
      <c r="T15" s="667" t="s">
        <v>14</v>
      </c>
      <c r="U15" s="668">
        <f t="shared" si="1"/>
        <v>100</v>
      </c>
      <c r="V15" s="667" t="s">
        <v>14</v>
      </c>
      <c r="W15" s="668">
        <f t="shared" si="2"/>
        <v>100</v>
      </c>
      <c r="X15" s="1264"/>
      <c r="Y15" s="3385" t="s">
        <v>1691</v>
      </c>
      <c r="Z15" s="1263" t="str">
        <f t="shared" si="7"/>
        <v>居住社区成熟度</v>
      </c>
      <c r="AA15" s="1263">
        <f t="shared" si="3"/>
        <v>1</v>
      </c>
      <c r="AB15" s="1263">
        <f t="shared" si="4"/>
        <v>1</v>
      </c>
      <c r="AC15" s="1263">
        <f t="shared" si="5"/>
        <v>1</v>
      </c>
    </row>
    <row r="16" spans="1:29" ht="15.5">
      <c r="A16" s="367"/>
      <c r="B16" s="385"/>
      <c r="C16" s="386"/>
      <c r="D16" s="387"/>
      <c r="E16" s="1751"/>
      <c r="F16" s="387"/>
      <c r="G16" s="1751"/>
      <c r="H16" s="389"/>
      <c r="I16" s="1750"/>
      <c r="J16" s="387"/>
      <c r="K16" s="592"/>
      <c r="L16" s="2492"/>
      <c r="M16" s="2487"/>
      <c r="N16" s="2487"/>
      <c r="O16" s="2542"/>
      <c r="P16" s="3386"/>
      <c r="Q16" s="1262"/>
      <c r="R16" s="667"/>
      <c r="S16" s="668"/>
      <c r="T16" s="667"/>
      <c r="U16" s="668"/>
      <c r="V16" s="667"/>
      <c r="W16" s="668"/>
      <c r="X16" s="1264"/>
      <c r="Y16" s="3386"/>
      <c r="Z16" s="1263"/>
      <c r="AA16" s="1263">
        <v>1</v>
      </c>
      <c r="AB16" s="1263">
        <v>1</v>
      </c>
      <c r="AC16" s="1263">
        <v>1</v>
      </c>
    </row>
    <row r="17" spans="1:29" ht="84">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6"/>
      <c r="Q17" s="1262" t="str">
        <f>B17</f>
        <v>商业繁华度</v>
      </c>
      <c r="R17" s="667" t="s">
        <v>14</v>
      </c>
      <c r="S17" s="668">
        <f>F17</f>
        <v>100</v>
      </c>
      <c r="T17" s="667" t="s">
        <v>14</v>
      </c>
      <c r="U17" s="668">
        <f>H17</f>
        <v>100</v>
      </c>
      <c r="V17" s="667" t="s">
        <v>14</v>
      </c>
      <c r="W17" s="668">
        <f>J17</f>
        <v>100</v>
      </c>
      <c r="X17" s="1264"/>
      <c r="Y17" s="3386"/>
      <c r="Z17" s="1263" t="str">
        <f>Q17</f>
        <v>商业繁华度</v>
      </c>
      <c r="AA17" s="1263">
        <f t="shared" si="3"/>
        <v>1</v>
      </c>
      <c r="AB17" s="1263">
        <f t="shared" si="4"/>
        <v>1</v>
      </c>
      <c r="AC17" s="1263">
        <f t="shared" si="5"/>
        <v>1</v>
      </c>
    </row>
    <row r="18" spans="1:29" ht="15.5">
      <c r="A18" s="367"/>
      <c r="B18" s="395"/>
      <c r="C18" s="1754"/>
      <c r="D18" s="389"/>
      <c r="E18" s="1756"/>
      <c r="F18" s="389"/>
      <c r="G18" s="1756"/>
      <c r="H18" s="387"/>
      <c r="I18" s="1755"/>
      <c r="J18" s="387"/>
      <c r="K18" s="592"/>
      <c r="L18" s="2492"/>
      <c r="M18" s="2487"/>
      <c r="N18" s="2487"/>
      <c r="O18" s="2542"/>
      <c r="P18" s="3386"/>
      <c r="Q18" s="1262"/>
      <c r="R18" s="667"/>
      <c r="S18" s="668"/>
      <c r="T18" s="667"/>
      <c r="U18" s="668"/>
      <c r="V18" s="667"/>
      <c r="W18" s="668"/>
      <c r="X18" s="1264"/>
      <c r="Y18" s="3386"/>
      <c r="Z18" s="1263"/>
      <c r="AA18" s="1263">
        <v>1</v>
      </c>
      <c r="AB18" s="1263">
        <v>1</v>
      </c>
      <c r="AC18" s="1263">
        <v>1</v>
      </c>
    </row>
    <row r="19" spans="1:29" ht="84">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6"/>
      <c r="Q19" s="1262" t="str">
        <f>B19</f>
        <v>办公集聚程度</v>
      </c>
      <c r="R19" s="667" t="s">
        <v>14</v>
      </c>
      <c r="S19" s="668">
        <f>F19</f>
        <v>100</v>
      </c>
      <c r="T19" s="667" t="s">
        <v>14</v>
      </c>
      <c r="U19" s="668">
        <f>H19</f>
        <v>100</v>
      </c>
      <c r="V19" s="667" t="s">
        <v>14</v>
      </c>
      <c r="W19" s="668">
        <f>J19</f>
        <v>100</v>
      </c>
      <c r="X19" s="1264"/>
      <c r="Y19" s="3386"/>
      <c r="Z19" s="1263" t="str">
        <f>Q19</f>
        <v>办公集聚程度</v>
      </c>
      <c r="AA19" s="1263">
        <f t="shared" si="3"/>
        <v>1</v>
      </c>
      <c r="AB19" s="1263">
        <f t="shared" si="4"/>
        <v>1</v>
      </c>
      <c r="AC19" s="1263">
        <f t="shared" si="5"/>
        <v>1</v>
      </c>
    </row>
    <row r="20" spans="1:29" ht="15.5">
      <c r="A20" s="367"/>
      <c r="B20" s="395"/>
      <c r="C20" s="386"/>
      <c r="D20" s="387"/>
      <c r="E20" s="1751"/>
      <c r="F20" s="387"/>
      <c r="G20" s="1751"/>
      <c r="H20" s="387"/>
      <c r="I20" s="1750"/>
      <c r="J20" s="387"/>
      <c r="K20" s="592"/>
      <c r="L20" s="2492"/>
      <c r="M20" s="2487"/>
      <c r="N20" s="2487"/>
      <c r="O20" s="2542"/>
      <c r="P20" s="3386"/>
      <c r="Q20" s="1262"/>
      <c r="R20" s="667"/>
      <c r="S20" s="668"/>
      <c r="T20" s="667"/>
      <c r="U20" s="668"/>
      <c r="V20" s="667"/>
      <c r="W20" s="668"/>
      <c r="X20" s="1264"/>
      <c r="Y20" s="3386"/>
      <c r="Z20" s="1263"/>
      <c r="AA20" s="1263">
        <v>1</v>
      </c>
      <c r="AB20" s="1263">
        <v>1</v>
      </c>
      <c r="AC20" s="1263">
        <v>1</v>
      </c>
    </row>
    <row r="21" spans="1:29" ht="98">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6"/>
      <c r="Q21" s="1262" t="str">
        <f>B21</f>
        <v>交通便捷度</v>
      </c>
      <c r="R21" s="667" t="s">
        <v>14</v>
      </c>
      <c r="S21" s="668">
        <f>F21</f>
        <v>100</v>
      </c>
      <c r="T21" s="667" t="s">
        <v>14</v>
      </c>
      <c r="U21" s="668">
        <f>H21</f>
        <v>100</v>
      </c>
      <c r="V21" s="667" t="s">
        <v>14</v>
      </c>
      <c r="W21" s="668">
        <f>J21</f>
        <v>100</v>
      </c>
      <c r="X21" s="1264"/>
      <c r="Y21" s="3386"/>
      <c r="Z21" s="1263" t="str">
        <f>Q21</f>
        <v>交通便捷度</v>
      </c>
      <c r="AA21" s="1263">
        <f t="shared" si="3"/>
        <v>1</v>
      </c>
      <c r="AB21" s="1263">
        <f t="shared" si="4"/>
        <v>1</v>
      </c>
      <c r="AC21" s="1263">
        <f t="shared" si="5"/>
        <v>1</v>
      </c>
    </row>
    <row r="22" spans="1:29" ht="15.5">
      <c r="A22" s="367"/>
      <c r="B22" s="586"/>
      <c r="C22" s="386"/>
      <c r="D22" s="389"/>
      <c r="E22" s="1751"/>
      <c r="F22" s="387"/>
      <c r="G22" s="1751"/>
      <c r="H22" s="387"/>
      <c r="I22" s="1750"/>
      <c r="J22" s="387"/>
      <c r="K22" s="592"/>
      <c r="L22" s="2492"/>
      <c r="M22" s="2487"/>
      <c r="N22" s="2487"/>
      <c r="O22" s="2542"/>
      <c r="P22" s="3386"/>
      <c r="Q22" s="1262"/>
      <c r="R22" s="667"/>
      <c r="S22" s="668"/>
      <c r="T22" s="667"/>
      <c r="U22" s="668"/>
      <c r="V22" s="667"/>
      <c r="W22" s="668"/>
      <c r="X22" s="1264"/>
      <c r="Y22" s="3386"/>
      <c r="Z22" s="1263"/>
      <c r="AA22" s="1263">
        <v>1</v>
      </c>
      <c r="AB22" s="1263">
        <v>1</v>
      </c>
      <c r="AC22" s="1263">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6"/>
      <c r="Q23" s="1262" t="str">
        <f t="shared" ref="Q23:Q37" si="8">B23</f>
        <v>区域土地利用方向</v>
      </c>
      <c r="R23" s="667" t="s">
        <v>14</v>
      </c>
      <c r="S23" s="668">
        <f>F23</f>
        <v>100</v>
      </c>
      <c r="T23" s="667" t="s">
        <v>14</v>
      </c>
      <c r="U23" s="668">
        <f>H23</f>
        <v>100</v>
      </c>
      <c r="V23" s="667" t="s">
        <v>14</v>
      </c>
      <c r="W23" s="668">
        <f>J23</f>
        <v>100</v>
      </c>
      <c r="X23" s="1264"/>
      <c r="Y23" s="3386"/>
      <c r="Z23" s="1263" t="str">
        <f>Q23</f>
        <v>区域土地利用方向</v>
      </c>
      <c r="AA23" s="1263">
        <f t="shared" si="3"/>
        <v>1</v>
      </c>
      <c r="AB23" s="1263">
        <f t="shared" si="4"/>
        <v>1</v>
      </c>
      <c r="AC23" s="1263">
        <f t="shared" si="5"/>
        <v>1</v>
      </c>
    </row>
    <row r="24" spans="1:29" ht="15.5">
      <c r="A24" s="348"/>
      <c r="B24" s="395"/>
      <c r="C24" s="542"/>
      <c r="D24" s="387"/>
      <c r="E24" s="1751"/>
      <c r="F24" s="387"/>
      <c r="G24" s="1750"/>
      <c r="H24" s="387"/>
      <c r="I24" s="1750"/>
      <c r="J24" s="387"/>
      <c r="K24" s="698"/>
      <c r="L24" s="2492"/>
      <c r="M24" s="2487"/>
      <c r="N24" s="2487"/>
      <c r="O24" s="2542"/>
      <c r="P24" s="3386"/>
      <c r="Q24" s="1262"/>
      <c r="R24" s="667"/>
      <c r="S24" s="668"/>
      <c r="T24" s="667"/>
      <c r="U24" s="668"/>
      <c r="V24" s="667"/>
      <c r="W24" s="668"/>
      <c r="X24" s="1264"/>
      <c r="Y24" s="3386"/>
      <c r="Z24" s="1263"/>
      <c r="AA24" s="1263"/>
      <c r="AB24" s="1263"/>
      <c r="AC24" s="1263"/>
    </row>
    <row r="25" spans="1:29" ht="56">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6"/>
      <c r="Q25" s="1262" t="str">
        <f t="shared" si="8"/>
        <v>自然及人文环境状况</v>
      </c>
      <c r="R25" s="667" t="s">
        <v>14</v>
      </c>
      <c r="S25" s="668">
        <f>F25</f>
        <v>100</v>
      </c>
      <c r="T25" s="667" t="s">
        <v>14</v>
      </c>
      <c r="U25" s="668">
        <f>H25</f>
        <v>100</v>
      </c>
      <c r="V25" s="667" t="s">
        <v>14</v>
      </c>
      <c r="W25" s="668">
        <f>J25</f>
        <v>100</v>
      </c>
      <c r="X25" s="1264"/>
      <c r="Y25" s="3386"/>
      <c r="Z25" s="1263" t="str">
        <f>Q25</f>
        <v>自然及人文环境状况</v>
      </c>
      <c r="AA25" s="1263">
        <f t="shared" si="3"/>
        <v>1</v>
      </c>
      <c r="AB25" s="1263">
        <f t="shared" si="4"/>
        <v>1</v>
      </c>
      <c r="AC25" s="1263">
        <f t="shared" si="5"/>
        <v>1</v>
      </c>
    </row>
    <row r="26" spans="1:29" ht="15.5">
      <c r="A26" s="348"/>
      <c r="B26" s="395"/>
      <c r="C26" s="386"/>
      <c r="D26" s="387"/>
      <c r="E26" s="1757"/>
      <c r="F26" s="387"/>
      <c r="G26" s="1757"/>
      <c r="H26" s="387"/>
      <c r="I26" s="386"/>
      <c r="J26" s="387"/>
      <c r="K26" s="592"/>
      <c r="L26" s="2492"/>
      <c r="M26" s="2487"/>
      <c r="N26" s="2487"/>
      <c r="O26" s="2542"/>
      <c r="P26" s="3386"/>
      <c r="Q26" s="1262"/>
      <c r="R26" s="667"/>
      <c r="S26" s="668"/>
      <c r="T26" s="667"/>
      <c r="U26" s="668"/>
      <c r="V26" s="667"/>
      <c r="W26" s="668"/>
      <c r="X26" s="1264"/>
      <c r="Y26" s="3386"/>
      <c r="Z26" s="1263"/>
      <c r="AA26" s="1263">
        <v>1</v>
      </c>
      <c r="AB26" s="1263">
        <v>1</v>
      </c>
      <c r="AC26" s="1263">
        <v>1</v>
      </c>
    </row>
    <row r="27" spans="1:29" s="102" customFormat="1" ht="42">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86"/>
      <c r="Q27" s="530" t="str">
        <f t="shared" si="8"/>
        <v>公共配套设施</v>
      </c>
      <c r="R27" s="664" t="s">
        <v>14</v>
      </c>
      <c r="S27" s="665">
        <f>F27</f>
        <v>100</v>
      </c>
      <c r="T27" s="664" t="s">
        <v>14</v>
      </c>
      <c r="U27" s="665">
        <f>H27</f>
        <v>100</v>
      </c>
      <c r="V27" s="664" t="s">
        <v>14</v>
      </c>
      <c r="W27" s="665">
        <f>J27</f>
        <v>100</v>
      </c>
      <c r="X27" s="666"/>
      <c r="Y27" s="3386"/>
      <c r="Z27" s="50" t="str">
        <f>Q27</f>
        <v>公共配套设施</v>
      </c>
      <c r="AA27" s="1263">
        <f>D27/F27</f>
        <v>1</v>
      </c>
      <c r="AB27" s="1263">
        <f>D27/H27</f>
        <v>1</v>
      </c>
      <c r="AC27" s="1263">
        <f>D27/J27</f>
        <v>1</v>
      </c>
    </row>
    <row r="28" spans="1:29" s="102" customFormat="1" ht="15.5">
      <c r="A28" s="443"/>
      <c r="B28" s="395"/>
      <c r="C28" s="1825"/>
      <c r="D28" s="387"/>
      <c r="E28" s="1757"/>
      <c r="F28" s="387"/>
      <c r="G28" s="1757"/>
      <c r="H28" s="387"/>
      <c r="I28" s="386"/>
      <c r="J28" s="387"/>
      <c r="K28" s="592"/>
      <c r="L28" s="2488"/>
      <c r="M28" s="2439"/>
      <c r="N28" s="2439"/>
      <c r="O28" s="2540"/>
      <c r="P28" s="3386"/>
      <c r="Q28" s="530"/>
      <c r="R28" s="664"/>
      <c r="S28" s="665"/>
      <c r="T28" s="664"/>
      <c r="U28" s="665"/>
      <c r="V28" s="664"/>
      <c r="W28" s="665"/>
      <c r="X28" s="666"/>
      <c r="Y28" s="3386"/>
      <c r="Z28" s="50"/>
      <c r="AA28" s="1263">
        <v>1</v>
      </c>
      <c r="AB28" s="1263">
        <v>1</v>
      </c>
      <c r="AC28" s="1263">
        <v>1</v>
      </c>
    </row>
    <row r="29" spans="1:29" s="102" customFormat="1" ht="42">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86"/>
      <c r="Q29" s="530" t="str">
        <f t="shared" ref="Q29" si="9">B29</f>
        <v>基础设施水平</v>
      </c>
      <c r="R29" s="664" t="s">
        <v>14</v>
      </c>
      <c r="S29" s="665">
        <f>F29</f>
        <v>100</v>
      </c>
      <c r="T29" s="664" t="s">
        <v>14</v>
      </c>
      <c r="U29" s="665">
        <f>H29</f>
        <v>100</v>
      </c>
      <c r="V29" s="664" t="s">
        <v>14</v>
      </c>
      <c r="W29" s="665">
        <f>J29</f>
        <v>100</v>
      </c>
      <c r="X29" s="666"/>
      <c r="Y29" s="3386"/>
      <c r="Z29" s="50" t="str">
        <f>Q29</f>
        <v>基础设施水平</v>
      </c>
      <c r="AA29" s="1263">
        <f>D29/F29</f>
        <v>1</v>
      </c>
      <c r="AB29" s="1263">
        <f>D29/H29</f>
        <v>1</v>
      </c>
      <c r="AC29" s="1263">
        <f>D29/J29</f>
        <v>1</v>
      </c>
    </row>
    <row r="30" spans="1:29" s="102" customFormat="1" ht="15.5">
      <c r="A30" s="443"/>
      <c r="B30" s="395"/>
      <c r="C30" s="1825"/>
      <c r="D30" s="387"/>
      <c r="E30" s="1826"/>
      <c r="F30" s="387"/>
      <c r="G30" s="1826"/>
      <c r="H30" s="387"/>
      <c r="I30" s="1826"/>
      <c r="J30" s="387"/>
      <c r="K30" s="592"/>
      <c r="L30" s="2488"/>
      <c r="M30" s="2439"/>
      <c r="N30" s="2439"/>
      <c r="O30" s="2540"/>
      <c r="P30" s="3386"/>
      <c r="Q30" s="530"/>
      <c r="R30" s="664"/>
      <c r="S30" s="665"/>
      <c r="T30" s="664"/>
      <c r="U30" s="665"/>
      <c r="V30" s="664"/>
      <c r="W30" s="665"/>
      <c r="X30" s="666"/>
      <c r="Y30" s="3386"/>
      <c r="Z30" s="50"/>
      <c r="AA30" s="1263">
        <v>1</v>
      </c>
      <c r="AB30" s="1263">
        <v>1</v>
      </c>
      <c r="AC30" s="1263">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6"/>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86"/>
      <c r="Z31" s="1263" t="str">
        <f t="shared" ref="Z31:Z45" si="13">Q31</f>
        <v>临街状况</v>
      </c>
      <c r="AA31" s="1263">
        <f t="shared" si="3"/>
        <v>1</v>
      </c>
      <c r="AB31" s="1263">
        <f t="shared" si="4"/>
        <v>1</v>
      </c>
      <c r="AC31" s="1263">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6"/>
      <c r="Q32" s="1262" t="str">
        <f t="shared" si="8"/>
        <v>毗邻道路的类型与等级</v>
      </c>
      <c r="R32" s="667" t="s">
        <v>14</v>
      </c>
      <c r="S32" s="668">
        <f t="shared" si="10"/>
        <v>100</v>
      </c>
      <c r="T32" s="667" t="s">
        <v>14</v>
      </c>
      <c r="U32" s="668">
        <f t="shared" si="11"/>
        <v>100</v>
      </c>
      <c r="V32" s="667" t="s">
        <v>14</v>
      </c>
      <c r="W32" s="668">
        <f t="shared" si="12"/>
        <v>100</v>
      </c>
      <c r="X32" s="1264"/>
      <c r="Y32" s="3386"/>
      <c r="Z32" s="1263" t="str">
        <f t="shared" si="13"/>
        <v>毗邻道路的类型与等级</v>
      </c>
      <c r="AA32" s="1263">
        <f t="shared" si="3"/>
        <v>1</v>
      </c>
      <c r="AB32" s="1263">
        <f t="shared" si="4"/>
        <v>1</v>
      </c>
      <c r="AC32" s="1263">
        <f t="shared" si="5"/>
        <v>1</v>
      </c>
    </row>
    <row r="33" spans="1:29" ht="15.5">
      <c r="A33" s="367"/>
      <c r="B33" s="395"/>
      <c r="C33" s="386"/>
      <c r="D33" s="387"/>
      <c r="E33" s="1757"/>
      <c r="F33" s="387"/>
      <c r="G33" s="1757"/>
      <c r="H33" s="387"/>
      <c r="I33" s="386"/>
      <c r="J33" s="387"/>
      <c r="K33" s="539"/>
      <c r="L33" s="2492"/>
      <c r="M33" s="2487"/>
      <c r="N33" s="2487"/>
      <c r="O33" s="2542"/>
      <c r="P33" s="3386"/>
      <c r="Q33" s="1262"/>
      <c r="R33" s="667"/>
      <c r="S33" s="668"/>
      <c r="T33" s="667"/>
      <c r="U33" s="668"/>
      <c r="V33" s="667"/>
      <c r="W33" s="668"/>
      <c r="X33" s="1264"/>
      <c r="Y33" s="3386"/>
      <c r="Z33" s="1263"/>
      <c r="AA33" s="1263">
        <v>1</v>
      </c>
      <c r="AB33" s="1263">
        <v>1</v>
      </c>
      <c r="AC33" s="1263">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6"/>
      <c r="Q34" s="1262" t="str">
        <f t="shared" si="8"/>
        <v>土地级别</v>
      </c>
      <c r="R34" s="667" t="s">
        <v>14</v>
      </c>
      <c r="S34" s="668">
        <f t="shared" si="10"/>
        <v>100</v>
      </c>
      <c r="T34" s="667" t="s">
        <v>14</v>
      </c>
      <c r="U34" s="668">
        <f t="shared" si="11"/>
        <v>100</v>
      </c>
      <c r="V34" s="667" t="s">
        <v>14</v>
      </c>
      <c r="W34" s="668">
        <f t="shared" si="12"/>
        <v>100</v>
      </c>
      <c r="X34" s="1264"/>
      <c r="Y34" s="3386"/>
      <c r="Z34" s="1263" t="str">
        <f t="shared" si="13"/>
        <v>土地级别</v>
      </c>
      <c r="AA34" s="1263">
        <f t="shared" si="3"/>
        <v>1</v>
      </c>
      <c r="AB34" s="1263">
        <f t="shared" si="4"/>
        <v>1</v>
      </c>
      <c r="AC34" s="1263">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6"/>
      <c r="Q35" s="1262">
        <f t="shared" si="8"/>
        <v>111</v>
      </c>
      <c r="R35" s="667" t="s">
        <v>14</v>
      </c>
      <c r="S35" s="668">
        <f t="shared" si="10"/>
        <v>100</v>
      </c>
      <c r="T35" s="667" t="s">
        <v>14</v>
      </c>
      <c r="U35" s="668">
        <f t="shared" si="11"/>
        <v>100</v>
      </c>
      <c r="V35" s="667" t="s">
        <v>14</v>
      </c>
      <c r="W35" s="668">
        <f t="shared" si="12"/>
        <v>100</v>
      </c>
      <c r="X35" s="1264"/>
      <c r="Y35" s="3386"/>
      <c r="Z35" s="1263">
        <f t="shared" si="13"/>
        <v>111</v>
      </c>
      <c r="AA35" s="1263">
        <f t="shared" si="3"/>
        <v>1</v>
      </c>
      <c r="AB35" s="1263">
        <f t="shared" si="4"/>
        <v>1</v>
      </c>
      <c r="AC35" s="1263">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0" t="s">
        <v>1696</v>
      </c>
      <c r="Q36" s="1262">
        <f t="shared" si="8"/>
        <v>111</v>
      </c>
      <c r="R36" s="667" t="s">
        <v>14</v>
      </c>
      <c r="S36" s="668">
        <f t="shared" si="10"/>
        <v>100</v>
      </c>
      <c r="T36" s="667" t="s">
        <v>14</v>
      </c>
      <c r="U36" s="668">
        <f t="shared" si="11"/>
        <v>100</v>
      </c>
      <c r="V36" s="667" t="s">
        <v>14</v>
      </c>
      <c r="W36" s="668">
        <f t="shared" si="12"/>
        <v>100</v>
      </c>
      <c r="X36" s="1264"/>
      <c r="Y36" s="3390" t="s">
        <v>1696</v>
      </c>
      <c r="Z36" s="1263">
        <f t="shared" si="13"/>
        <v>111</v>
      </c>
      <c r="AA36" s="1263">
        <f t="shared" si="3"/>
        <v>1</v>
      </c>
      <c r="AB36" s="1263">
        <f t="shared" si="4"/>
        <v>1</v>
      </c>
      <c r="AC36" s="1263">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90"/>
      <c r="Q37" s="1262">
        <f t="shared" si="8"/>
        <v>111</v>
      </c>
      <c r="R37" s="669" t="s">
        <v>14</v>
      </c>
      <c r="S37" s="670">
        <f t="shared" si="10"/>
        <v>100</v>
      </c>
      <c r="T37" s="669" t="s">
        <v>14</v>
      </c>
      <c r="U37" s="670">
        <f t="shared" si="11"/>
        <v>100</v>
      </c>
      <c r="V37" s="669" t="s">
        <v>14</v>
      </c>
      <c r="W37" s="670">
        <f t="shared" si="12"/>
        <v>100</v>
      </c>
      <c r="X37" s="671"/>
      <c r="Y37" s="3390"/>
      <c r="Z37" s="672">
        <f t="shared" si="13"/>
        <v>111</v>
      </c>
      <c r="AA37" s="1263">
        <f t="shared" si="3"/>
        <v>1</v>
      </c>
      <c r="AB37" s="1263">
        <f t="shared" si="4"/>
        <v>1</v>
      </c>
      <c r="AC37" s="1263">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90"/>
      <c r="Q38" s="1262" t="str">
        <f>B38</f>
        <v>宗地面积</v>
      </c>
      <c r="R38" s="667" t="s">
        <v>14</v>
      </c>
      <c r="S38" s="668" t="e">
        <f t="shared" si="10"/>
        <v>#N/A</v>
      </c>
      <c r="T38" s="667" t="s">
        <v>14</v>
      </c>
      <c r="U38" s="668" t="e">
        <f t="shared" si="11"/>
        <v>#N/A</v>
      </c>
      <c r="V38" s="667" t="s">
        <v>14</v>
      </c>
      <c r="W38" s="668" t="e">
        <f t="shared" si="12"/>
        <v>#N/A</v>
      </c>
      <c r="X38" s="1264"/>
      <c r="Y38" s="3390"/>
      <c r="Z38" s="1263" t="str">
        <f t="shared" si="13"/>
        <v>宗地面积</v>
      </c>
      <c r="AA38" s="1263" t="e">
        <f t="shared" si="3"/>
        <v>#N/A</v>
      </c>
      <c r="AB38" s="1263" t="e">
        <f t="shared" si="4"/>
        <v>#N/A</v>
      </c>
      <c r="AC38" s="1263" t="e">
        <f t="shared" si="5"/>
        <v>#N/A</v>
      </c>
    </row>
    <row r="39" spans="1:29" ht="15.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90"/>
      <c r="Q39" s="1262" t="str">
        <f t="shared" ref="Q39:Q45" si="14">B39</f>
        <v>宗地形状</v>
      </c>
      <c r="R39" s="667" t="s">
        <v>14</v>
      </c>
      <c r="S39" s="668">
        <f t="shared" si="10"/>
        <v>100</v>
      </c>
      <c r="T39" s="667" t="s">
        <v>14</v>
      </c>
      <c r="U39" s="668">
        <f t="shared" si="11"/>
        <v>100</v>
      </c>
      <c r="V39" s="667" t="s">
        <v>14</v>
      </c>
      <c r="W39" s="668">
        <f t="shared" si="12"/>
        <v>100</v>
      </c>
      <c r="X39" s="1264"/>
      <c r="Y39" s="3390"/>
      <c r="Z39" s="1263" t="str">
        <f t="shared" si="13"/>
        <v>宗地形状</v>
      </c>
      <c r="AA39" s="1263">
        <f t="shared" si="3"/>
        <v>1</v>
      </c>
      <c r="AB39" s="1263">
        <f t="shared" si="4"/>
        <v>1</v>
      </c>
      <c r="AC39" s="1263">
        <f t="shared" si="5"/>
        <v>1</v>
      </c>
    </row>
    <row r="40" spans="1:29" ht="15.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90"/>
      <c r="Q40" s="1262" t="str">
        <f t="shared" si="14"/>
        <v>临街宽度及深度</v>
      </c>
      <c r="R40" s="667" t="s">
        <v>14</v>
      </c>
      <c r="S40" s="668">
        <f t="shared" si="10"/>
        <v>100</v>
      </c>
      <c r="T40" s="667" t="s">
        <v>14</v>
      </c>
      <c r="U40" s="668">
        <f t="shared" si="11"/>
        <v>100</v>
      </c>
      <c r="V40" s="667" t="s">
        <v>14</v>
      </c>
      <c r="W40" s="668">
        <f t="shared" si="12"/>
        <v>100</v>
      </c>
      <c r="X40" s="1264"/>
      <c r="Y40" s="3390"/>
      <c r="Z40" s="1263" t="str">
        <f t="shared" si="13"/>
        <v>临街宽度及深度</v>
      </c>
      <c r="AA40" s="1263">
        <f t="shared" si="3"/>
        <v>1</v>
      </c>
      <c r="AB40" s="1263">
        <f t="shared" si="4"/>
        <v>1</v>
      </c>
      <c r="AC40" s="1263">
        <f t="shared" si="5"/>
        <v>1</v>
      </c>
    </row>
    <row r="41" spans="1:29" s="102" customFormat="1" ht="15.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90"/>
      <c r="Q41" s="1262" t="str">
        <f t="shared" si="14"/>
        <v>宗地开发程度</v>
      </c>
      <c r="R41" s="664" t="s">
        <v>14</v>
      </c>
      <c r="S41" s="665">
        <f t="shared" si="10"/>
        <v>100</v>
      </c>
      <c r="T41" s="664" t="s">
        <v>14</v>
      </c>
      <c r="U41" s="665">
        <f t="shared" si="11"/>
        <v>100</v>
      </c>
      <c r="V41" s="664" t="s">
        <v>14</v>
      </c>
      <c r="W41" s="665">
        <f t="shared" si="12"/>
        <v>100</v>
      </c>
      <c r="X41" s="666"/>
      <c r="Y41" s="3390"/>
      <c r="Z41" s="50" t="str">
        <f t="shared" si="13"/>
        <v>宗地开发程度</v>
      </c>
      <c r="AA41" s="50">
        <f t="shared" si="3"/>
        <v>1</v>
      </c>
      <c r="AB41" s="50">
        <f t="shared" si="4"/>
        <v>1</v>
      </c>
      <c r="AC41" s="50">
        <f t="shared" si="5"/>
        <v>1</v>
      </c>
    </row>
    <row r="42" spans="1:29" ht="15.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90" t="s">
        <v>1696</v>
      </c>
      <c r="Q42" s="1262" t="str">
        <f t="shared" si="14"/>
        <v>工程地质条件</v>
      </c>
      <c r="R42" s="667" t="s">
        <v>14</v>
      </c>
      <c r="S42" s="668">
        <f t="shared" si="10"/>
        <v>100</v>
      </c>
      <c r="T42" s="667" t="s">
        <v>14</v>
      </c>
      <c r="U42" s="668">
        <f t="shared" si="11"/>
        <v>100</v>
      </c>
      <c r="V42" s="667" t="s">
        <v>14</v>
      </c>
      <c r="W42" s="668">
        <f t="shared" si="12"/>
        <v>100</v>
      </c>
      <c r="X42" s="1264"/>
      <c r="Y42" s="3390" t="s">
        <v>1696</v>
      </c>
      <c r="Z42" s="1263" t="str">
        <f t="shared" si="13"/>
        <v>工程地质条件</v>
      </c>
      <c r="AA42" s="1263">
        <f t="shared" si="3"/>
        <v>1</v>
      </c>
      <c r="AB42" s="1263">
        <f t="shared" si="4"/>
        <v>1</v>
      </c>
      <c r="AC42" s="1263">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90"/>
      <c r="Q43" s="1262">
        <f t="shared" si="14"/>
        <v>111</v>
      </c>
      <c r="R43" s="667" t="s">
        <v>14</v>
      </c>
      <c r="S43" s="668">
        <f t="shared" si="10"/>
        <v>100</v>
      </c>
      <c r="T43" s="667" t="s">
        <v>14</v>
      </c>
      <c r="U43" s="668">
        <f t="shared" si="11"/>
        <v>100</v>
      </c>
      <c r="V43" s="667" t="s">
        <v>14</v>
      </c>
      <c r="W43" s="668">
        <f t="shared" si="12"/>
        <v>100</v>
      </c>
      <c r="X43" s="1264"/>
      <c r="Y43" s="3390"/>
      <c r="Z43" s="1263">
        <f t="shared" si="13"/>
        <v>111</v>
      </c>
      <c r="AA43" s="1263">
        <f t="shared" si="3"/>
        <v>1</v>
      </c>
      <c r="AB43" s="1263">
        <f t="shared" si="4"/>
        <v>1</v>
      </c>
      <c r="AC43" s="1263">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90"/>
      <c r="Q44" s="1262">
        <f t="shared" si="14"/>
        <v>111</v>
      </c>
      <c r="R44" s="667" t="s">
        <v>14</v>
      </c>
      <c r="S44" s="668">
        <f t="shared" si="10"/>
        <v>100</v>
      </c>
      <c r="T44" s="667" t="s">
        <v>14</v>
      </c>
      <c r="U44" s="668">
        <f t="shared" si="11"/>
        <v>100</v>
      </c>
      <c r="V44" s="667" t="s">
        <v>14</v>
      </c>
      <c r="W44" s="668">
        <f t="shared" si="12"/>
        <v>100</v>
      </c>
      <c r="X44" s="1264"/>
      <c r="Y44" s="3390"/>
      <c r="Z44" s="1263">
        <f t="shared" si="13"/>
        <v>111</v>
      </c>
      <c r="AA44" s="1263">
        <f t="shared" si="3"/>
        <v>1</v>
      </c>
      <c r="AB44" s="1263">
        <f t="shared" si="4"/>
        <v>1</v>
      </c>
      <c r="AC44" s="1263">
        <f t="shared" si="5"/>
        <v>1</v>
      </c>
    </row>
    <row r="45" spans="1:29" s="408" customFormat="1" ht="1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90"/>
      <c r="Q45" s="1262">
        <f t="shared" si="14"/>
        <v>111</v>
      </c>
      <c r="R45" s="669" t="s">
        <v>14</v>
      </c>
      <c r="S45" s="670">
        <f t="shared" si="10"/>
        <v>100</v>
      </c>
      <c r="T45" s="669" t="s">
        <v>14</v>
      </c>
      <c r="U45" s="670">
        <f t="shared" si="11"/>
        <v>100</v>
      </c>
      <c r="V45" s="669" t="s">
        <v>14</v>
      </c>
      <c r="W45" s="670">
        <f t="shared" si="12"/>
        <v>100</v>
      </c>
      <c r="X45" s="671"/>
      <c r="Y45" s="3390"/>
      <c r="Z45" s="672">
        <f t="shared" si="13"/>
        <v>111</v>
      </c>
      <c r="AA45" s="1263">
        <f t="shared" si="3"/>
        <v>1</v>
      </c>
      <c r="AB45" s="1263">
        <f t="shared" si="4"/>
        <v>1</v>
      </c>
      <c r="AC45" s="1263">
        <f t="shared" si="5"/>
        <v>1</v>
      </c>
    </row>
    <row r="46" spans="1:29">
      <c r="A46" s="416" t="s">
        <v>1844</v>
      </c>
      <c r="B46" s="1829" t="s">
        <v>1879</v>
      </c>
      <c r="C46" s="602" t="s">
        <v>0</v>
      </c>
      <c r="D46" s="418"/>
      <c r="E46" s="419"/>
      <c r="F46" s="420"/>
      <c r="G46" s="421"/>
      <c r="H46" s="422"/>
      <c r="I46" s="419"/>
      <c r="J46" s="422"/>
      <c r="K46" s="674"/>
      <c r="L46" s="2494"/>
      <c r="M46" s="2487"/>
      <c r="N46" s="2487"/>
      <c r="O46" s="2487"/>
      <c r="P46" s="3383" t="str">
        <f>A46</f>
        <v>成交单价</v>
      </c>
      <c r="Q46" s="3383"/>
      <c r="R46" s="3384">
        <f>E46</f>
        <v>0</v>
      </c>
      <c r="S46" s="3384"/>
      <c r="T46" s="3384">
        <f>G46</f>
        <v>0</v>
      </c>
      <c r="U46" s="3384"/>
      <c r="V46" s="3384">
        <f>I46</f>
        <v>0</v>
      </c>
      <c r="W46" s="3384"/>
      <c r="X46" s="385"/>
      <c r="Y46" s="673"/>
      <c r="Z46" s="385"/>
      <c r="AA46" s="385"/>
      <c r="AB46" s="385"/>
      <c r="AC46" s="385"/>
    </row>
    <row r="47" spans="1:29" ht="14.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383" t="str">
        <f>A47</f>
        <v>比较价值（元/平方米）</v>
      </c>
      <c r="Q47" s="3383"/>
      <c r="R47" s="3442" t="e">
        <f>ROUND(PRODUCT(R46,AA7:AA45),0)</f>
        <v>#DIV/0!</v>
      </c>
      <c r="S47" s="3442"/>
      <c r="T47" s="3442" t="e">
        <f>ROUND(PRODUCT(T46,AB7:AB45),0)</f>
        <v>#DIV/0!</v>
      </c>
      <c r="U47" s="3442"/>
      <c r="V47" s="3442" t="e">
        <f>ROUND(PRODUCT(V46,AC7:AC45),0)</f>
        <v>#DIV/0!</v>
      </c>
      <c r="W47" s="3442"/>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4"/>
      <c r="M48" s="2487"/>
      <c r="N48" s="2487"/>
      <c r="O48" s="2487"/>
      <c r="P48" s="3380" t="str">
        <f>A48</f>
        <v>估价对象XX用房的比较价值（楼面单价，元/平方米）</v>
      </c>
      <c r="Q48" s="3381"/>
      <c r="R48" s="3443" t="e">
        <f>ROUND(IF(D47="简单平均",AVERAGE(R47:W47),R47*F47+T47*H47+V47*J47),0)</f>
        <v>#DIV/0!</v>
      </c>
      <c r="S48" s="3443"/>
      <c r="T48" s="3443"/>
      <c r="U48" s="3443"/>
      <c r="V48" s="3443"/>
      <c r="W48" s="3443"/>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98" t="s">
        <v>1887</v>
      </c>
      <c r="H55" s="3444"/>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2738.73</v>
      </c>
      <c r="F56" s="833" t="e">
        <f t="shared" ref="F56:F64" si="15">ROUND(B56*E56/10000,0)</f>
        <v>#DIV/0!</v>
      </c>
      <c r="G56" s="3394"/>
      <c r="H56" s="3383"/>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2738.73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7"/>
      <c r="Q67" s="2487"/>
      <c r="R67" s="2487"/>
      <c r="S67" s="2487"/>
      <c r="T67" s="2487"/>
      <c r="U67" s="2487"/>
      <c r="V67" s="2487"/>
      <c r="W67" s="2487"/>
      <c r="X67" s="2487"/>
      <c r="Y67" s="2487"/>
      <c r="Z67" s="2487"/>
      <c r="AA67" s="2487"/>
      <c r="AB67" s="2487"/>
      <c r="AC67" s="2487"/>
    </row>
    <row r="68" spans="1:29" ht="21.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29" t="s">
        <v>1904</v>
      </c>
      <c r="B69" s="1046"/>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7"/>
      <c r="P70" s="2508"/>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408" t="s">
        <v>1771</v>
      </c>
      <c r="S4" s="3409"/>
      <c r="T4" s="3408" t="s">
        <v>1772</v>
      </c>
      <c r="U4" s="3409"/>
      <c r="V4" s="3384" t="s">
        <v>1773</v>
      </c>
      <c r="W4" s="3384"/>
      <c r="X4" s="1264"/>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6"/>
      <c r="M5" s="2487"/>
      <c r="N5" s="2487"/>
      <c r="O5" s="2487"/>
      <c r="P5" s="3404"/>
      <c r="Q5" s="3405"/>
      <c r="R5" s="3410"/>
      <c r="S5" s="3411"/>
      <c r="T5" s="3410"/>
      <c r="U5" s="3411"/>
      <c r="V5" s="3384"/>
      <c r="W5" s="3384"/>
      <c r="X5" s="1264"/>
      <c r="Y5" s="3410"/>
      <c r="Z5" s="3411"/>
      <c r="AA5" s="3396"/>
      <c r="AB5" s="3396"/>
      <c r="AC5" s="3396"/>
    </row>
    <row r="6" spans="1:29" ht="15" thickBot="1">
      <c r="A6" s="350"/>
      <c r="B6" s="351"/>
      <c r="C6" s="3445" t="s">
        <v>1919</v>
      </c>
      <c r="D6" s="3446"/>
      <c r="E6" s="3447" t="s">
        <v>1919</v>
      </c>
      <c r="F6" s="3448"/>
      <c r="G6" s="3445" t="s">
        <v>1919</v>
      </c>
      <c r="H6" s="3446"/>
      <c r="I6" s="3445" t="s">
        <v>1919</v>
      </c>
      <c r="J6" s="3446"/>
      <c r="K6" s="537" t="s">
        <v>1678</v>
      </c>
      <c r="L6" s="2486"/>
      <c r="M6" s="2487"/>
      <c r="N6" s="2487"/>
      <c r="O6" s="2487"/>
      <c r="P6" s="3406"/>
      <c r="Q6" s="3407"/>
      <c r="R6" s="3410"/>
      <c r="S6" s="3411"/>
      <c r="T6" s="3412"/>
      <c r="U6" s="3413"/>
      <c r="V6" s="3384"/>
      <c r="W6" s="3384"/>
      <c r="X6" s="1264"/>
      <c r="Y6" s="3412"/>
      <c r="Z6" s="3413"/>
      <c r="AA6" s="3397"/>
      <c r="AB6" s="3397"/>
      <c r="AC6" s="3397"/>
    </row>
    <row r="7" spans="1:29" s="102" customFormat="1" ht="14.5" thickBot="1">
      <c r="A7" s="352" t="s">
        <v>1679</v>
      </c>
      <c r="B7" s="353"/>
      <c r="C7" s="354">
        <f>'数据-取费表'!B2</f>
        <v>46022</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18" t="s">
        <v>1683</v>
      </c>
      <c r="Q8" s="3419"/>
      <c r="R8" s="664" t="s">
        <v>14</v>
      </c>
      <c r="S8" s="665">
        <f t="shared" si="0"/>
        <v>0</v>
      </c>
      <c r="T8" s="664" t="s">
        <v>14</v>
      </c>
      <c r="U8" s="665">
        <f t="shared" si="1"/>
        <v>0</v>
      </c>
      <c r="V8" s="664" t="s">
        <v>14</v>
      </c>
      <c r="W8" s="665">
        <f t="shared" si="2"/>
        <v>0</v>
      </c>
      <c r="X8" s="666"/>
      <c r="Y8" s="3418" t="s">
        <v>1683</v>
      </c>
      <c r="Z8" s="3419"/>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126</v>
      </c>
      <c r="G10" s="371"/>
      <c r="H10" s="119">
        <f>ROUND(100/'数据-取费表'!G16,0)</f>
        <v>126</v>
      </c>
      <c r="I10" s="371"/>
      <c r="J10" s="119">
        <f>ROUND(100/'数据-取费表'!G16,0)</f>
        <v>126</v>
      </c>
      <c r="K10" s="592"/>
      <c r="L10" s="2489"/>
      <c r="M10" s="2490"/>
      <c r="N10" s="2490"/>
      <c r="O10" s="2541"/>
      <c r="P10" s="3383"/>
      <c r="Q10" s="530" t="str">
        <f t="shared" si="6"/>
        <v>土地使用年限（年）</v>
      </c>
      <c r="R10" s="664" t="s">
        <v>14</v>
      </c>
      <c r="S10" s="665">
        <f t="shared" si="0"/>
        <v>126</v>
      </c>
      <c r="T10" s="664" t="s">
        <v>14</v>
      </c>
      <c r="U10" s="665">
        <f t="shared" si="1"/>
        <v>126</v>
      </c>
      <c r="V10" s="664" t="s">
        <v>14</v>
      </c>
      <c r="W10" s="665">
        <f t="shared" si="2"/>
        <v>126</v>
      </c>
      <c r="X10" s="666"/>
      <c r="Y10" s="3258"/>
      <c r="Z10" s="50" t="str">
        <f t="shared" si="7"/>
        <v>土地使用年限（年）</v>
      </c>
      <c r="AA10" s="50">
        <f t="shared" si="3"/>
        <v>0.79365079365079361</v>
      </c>
      <c r="AB10" s="50">
        <f t="shared" si="4"/>
        <v>0.79365079365079361</v>
      </c>
      <c r="AC10" s="50">
        <f t="shared" si="5"/>
        <v>0.79365079365079361</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3"/>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70">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5" t="s">
        <v>1691</v>
      </c>
      <c r="Q15" s="1262" t="str">
        <f t="shared" si="6"/>
        <v>产业集聚程度</v>
      </c>
      <c r="R15" s="667" t="s">
        <v>14</v>
      </c>
      <c r="S15" s="668">
        <f t="shared" si="0"/>
        <v>100</v>
      </c>
      <c r="T15" s="667" t="s">
        <v>14</v>
      </c>
      <c r="U15" s="668">
        <f t="shared" si="1"/>
        <v>100</v>
      </c>
      <c r="V15" s="667" t="s">
        <v>14</v>
      </c>
      <c r="W15" s="668">
        <f t="shared" si="2"/>
        <v>100</v>
      </c>
      <c r="X15" s="1264"/>
      <c r="Y15" s="3385" t="s">
        <v>1691</v>
      </c>
      <c r="Z15" s="1263" t="str">
        <f t="shared" si="7"/>
        <v>产业集聚程度</v>
      </c>
      <c r="AA15" s="1263">
        <f t="shared" si="3"/>
        <v>1</v>
      </c>
      <c r="AB15" s="1263">
        <f t="shared" si="4"/>
        <v>1</v>
      </c>
      <c r="AC15" s="1263">
        <f t="shared" si="5"/>
        <v>1</v>
      </c>
    </row>
    <row r="16" spans="1:29" ht="15.5">
      <c r="A16" s="367"/>
      <c r="B16" s="555"/>
      <c r="C16" s="386"/>
      <c r="D16" s="387"/>
      <c r="E16" s="1757"/>
      <c r="F16" s="387"/>
      <c r="G16" s="1757"/>
      <c r="H16" s="389"/>
      <c r="I16" s="1757"/>
      <c r="J16" s="387"/>
      <c r="K16" s="592"/>
      <c r="L16" s="2492"/>
      <c r="M16" s="2487"/>
      <c r="N16" s="2487"/>
      <c r="O16" s="2542"/>
      <c r="P16" s="3386"/>
      <c r="Q16" s="1262"/>
      <c r="R16" s="667"/>
      <c r="S16" s="668"/>
      <c r="T16" s="667"/>
      <c r="U16" s="668"/>
      <c r="V16" s="667"/>
      <c r="W16" s="668"/>
      <c r="X16" s="1264"/>
      <c r="Y16" s="3386"/>
      <c r="Z16" s="1263"/>
      <c r="AA16" s="1263">
        <v>1</v>
      </c>
      <c r="AB16" s="1263">
        <v>1</v>
      </c>
      <c r="AC16" s="1263">
        <v>1</v>
      </c>
    </row>
    <row r="17" spans="1:29" ht="98">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6"/>
      <c r="Q17" s="1262" t="str">
        <f>B17</f>
        <v>交通便捷度</v>
      </c>
      <c r="R17" s="667" t="s">
        <v>14</v>
      </c>
      <c r="S17" s="668">
        <f>F17</f>
        <v>100</v>
      </c>
      <c r="T17" s="667" t="s">
        <v>14</v>
      </c>
      <c r="U17" s="668">
        <f>H17</f>
        <v>100</v>
      </c>
      <c r="V17" s="667" t="s">
        <v>14</v>
      </c>
      <c r="W17" s="668">
        <f>J17</f>
        <v>100</v>
      </c>
      <c r="X17" s="1264"/>
      <c r="Y17" s="3386"/>
      <c r="Z17" s="1263" t="str">
        <f>Q17</f>
        <v>交通便捷度</v>
      </c>
      <c r="AA17" s="1263">
        <f t="shared" si="3"/>
        <v>1</v>
      </c>
      <c r="AB17" s="1263">
        <f t="shared" si="4"/>
        <v>1</v>
      </c>
      <c r="AC17" s="1263">
        <f t="shared" si="5"/>
        <v>1</v>
      </c>
    </row>
    <row r="18" spans="1:29" ht="15.5">
      <c r="A18" s="367"/>
      <c r="B18" s="401"/>
      <c r="C18" s="386"/>
      <c r="D18" s="387"/>
      <c r="E18" s="1751"/>
      <c r="F18" s="387"/>
      <c r="G18" s="1751"/>
      <c r="H18" s="387"/>
      <c r="I18" s="1750"/>
      <c r="J18" s="387"/>
      <c r="K18" s="592"/>
      <c r="L18" s="2492"/>
      <c r="M18" s="2487"/>
      <c r="N18" s="2487"/>
      <c r="O18" s="2542"/>
      <c r="P18" s="3386"/>
      <c r="Q18" s="1262"/>
      <c r="R18" s="667"/>
      <c r="S18" s="668"/>
      <c r="T18" s="667"/>
      <c r="U18" s="668"/>
      <c r="V18" s="667"/>
      <c r="W18" s="668"/>
      <c r="X18" s="1264"/>
      <c r="Y18" s="3386"/>
      <c r="Z18" s="1263"/>
      <c r="AA18" s="1263">
        <v>1</v>
      </c>
      <c r="AB18" s="1263">
        <v>1</v>
      </c>
      <c r="AC18" s="1263">
        <v>1</v>
      </c>
    </row>
    <row r="19" spans="1:29" ht="2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6"/>
      <c r="Q19" s="1262" t="str">
        <f t="shared" ref="Q19:Q33" si="8">B19</f>
        <v>区域土地利用方向</v>
      </c>
      <c r="R19" s="667" t="s">
        <v>14</v>
      </c>
      <c r="S19" s="668">
        <f>F19</f>
        <v>100</v>
      </c>
      <c r="T19" s="667" t="s">
        <v>14</v>
      </c>
      <c r="U19" s="668">
        <f>H19</f>
        <v>100</v>
      </c>
      <c r="V19" s="667" t="s">
        <v>14</v>
      </c>
      <c r="W19" s="668">
        <f>J19</f>
        <v>100</v>
      </c>
      <c r="X19" s="1264"/>
      <c r="Y19" s="3386"/>
      <c r="Z19" s="1263" t="str">
        <f>Q19</f>
        <v>区域土地利用方向</v>
      </c>
      <c r="AA19" s="1263">
        <f t="shared" si="3"/>
        <v>1</v>
      </c>
      <c r="AB19" s="1263">
        <f t="shared" si="4"/>
        <v>1</v>
      </c>
      <c r="AC19" s="1263">
        <f t="shared" si="5"/>
        <v>1</v>
      </c>
    </row>
    <row r="20" spans="1:29" ht="15.5">
      <c r="A20" s="348"/>
      <c r="B20" s="401"/>
      <c r="C20" s="386"/>
      <c r="D20" s="387"/>
      <c r="E20" s="1751"/>
      <c r="F20" s="387"/>
      <c r="G20" s="1751"/>
      <c r="H20" s="387"/>
      <c r="I20" s="1751"/>
      <c r="J20" s="387"/>
      <c r="K20" s="698"/>
      <c r="L20" s="2492"/>
      <c r="M20" s="2487"/>
      <c r="N20" s="2487"/>
      <c r="O20" s="2542"/>
      <c r="P20" s="3386"/>
      <c r="Q20" s="1262"/>
      <c r="R20" s="667"/>
      <c r="S20" s="668"/>
      <c r="T20" s="667"/>
      <c r="U20" s="668"/>
      <c r="V20" s="667"/>
      <c r="W20" s="668"/>
      <c r="X20" s="1264"/>
      <c r="Y20" s="3386"/>
      <c r="Z20" s="1263"/>
      <c r="AA20" s="1263"/>
      <c r="AB20" s="1263"/>
      <c r="AC20" s="1263"/>
    </row>
    <row r="21" spans="1:29" ht="84">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6"/>
      <c r="Q21" s="1262" t="str">
        <f t="shared" si="8"/>
        <v>环境状况</v>
      </c>
      <c r="R21" s="667" t="s">
        <v>14</v>
      </c>
      <c r="S21" s="668">
        <f>F21</f>
        <v>100</v>
      </c>
      <c r="T21" s="667" t="s">
        <v>14</v>
      </c>
      <c r="U21" s="668">
        <f>H21</f>
        <v>100</v>
      </c>
      <c r="V21" s="667" t="s">
        <v>14</v>
      </c>
      <c r="W21" s="668">
        <f>J21</f>
        <v>100</v>
      </c>
      <c r="X21" s="1264"/>
      <c r="Y21" s="3386"/>
      <c r="Z21" s="1263" t="str">
        <f>Q21</f>
        <v>环境状况</v>
      </c>
      <c r="AA21" s="1263">
        <f t="shared" si="3"/>
        <v>1</v>
      </c>
      <c r="AB21" s="1263">
        <f t="shared" si="4"/>
        <v>1</v>
      </c>
      <c r="AC21" s="1263">
        <f t="shared" si="5"/>
        <v>1</v>
      </c>
    </row>
    <row r="22" spans="1:29" ht="15.5">
      <c r="A22" s="348"/>
      <c r="B22" s="401"/>
      <c r="C22" s="386"/>
      <c r="D22" s="387"/>
      <c r="E22" s="1757"/>
      <c r="F22" s="387"/>
      <c r="G22" s="1757"/>
      <c r="H22" s="387"/>
      <c r="I22" s="386"/>
      <c r="J22" s="387"/>
      <c r="K22" s="592"/>
      <c r="L22" s="2492"/>
      <c r="M22" s="2487"/>
      <c r="N22" s="2487"/>
      <c r="O22" s="2542"/>
      <c r="P22" s="3386"/>
      <c r="Q22" s="1262"/>
      <c r="R22" s="667"/>
      <c r="S22" s="668"/>
      <c r="T22" s="667"/>
      <c r="U22" s="668"/>
      <c r="V22" s="667"/>
      <c r="W22" s="668"/>
      <c r="X22" s="1264"/>
      <c r="Y22" s="3386"/>
      <c r="Z22" s="1263"/>
      <c r="AA22" s="1263">
        <v>1</v>
      </c>
      <c r="AB22" s="1263">
        <v>1</v>
      </c>
      <c r="AC22" s="1263">
        <v>1</v>
      </c>
    </row>
    <row r="23" spans="1:29" s="102" customFormat="1" ht="42">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86"/>
      <c r="Q23" s="530" t="str">
        <f t="shared" si="8"/>
        <v>公共配套设施</v>
      </c>
      <c r="R23" s="664" t="s">
        <v>14</v>
      </c>
      <c r="S23" s="665">
        <f>F23</f>
        <v>100</v>
      </c>
      <c r="T23" s="664" t="s">
        <v>14</v>
      </c>
      <c r="U23" s="665">
        <f>H23</f>
        <v>100</v>
      </c>
      <c r="V23" s="664" t="s">
        <v>14</v>
      </c>
      <c r="W23" s="665">
        <f>J23</f>
        <v>100</v>
      </c>
      <c r="X23" s="666"/>
      <c r="Y23" s="3386"/>
      <c r="Z23" s="50" t="str">
        <f>Q23</f>
        <v>公共配套设施</v>
      </c>
      <c r="AA23" s="1263">
        <f>D23/F23</f>
        <v>1</v>
      </c>
      <c r="AB23" s="1263">
        <f>D23/H23</f>
        <v>1</v>
      </c>
      <c r="AC23" s="1263">
        <f>D23/J23</f>
        <v>1</v>
      </c>
    </row>
    <row r="24" spans="1:29" s="102" customFormat="1" ht="15.5">
      <c r="A24" s="443"/>
      <c r="B24" s="401"/>
      <c r="C24" s="1825"/>
      <c r="D24" s="387"/>
      <c r="E24" s="1757"/>
      <c r="F24" s="387"/>
      <c r="G24" s="1757"/>
      <c r="H24" s="387"/>
      <c r="I24" s="386"/>
      <c r="J24" s="387"/>
      <c r="K24" s="592"/>
      <c r="L24" s="2488"/>
      <c r="M24" s="2439"/>
      <c r="N24" s="2439"/>
      <c r="O24" s="2540"/>
      <c r="P24" s="3386"/>
      <c r="Q24" s="530"/>
      <c r="R24" s="664"/>
      <c r="S24" s="665"/>
      <c r="T24" s="664"/>
      <c r="U24" s="665"/>
      <c r="V24" s="664"/>
      <c r="W24" s="665"/>
      <c r="X24" s="666"/>
      <c r="Y24" s="3386"/>
      <c r="Z24" s="50"/>
      <c r="AA24" s="50">
        <v>1</v>
      </c>
      <c r="AB24" s="50">
        <v>1</v>
      </c>
      <c r="AC24" s="50">
        <v>1</v>
      </c>
    </row>
    <row r="25" spans="1:29" s="102" customFormat="1" ht="42">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86"/>
      <c r="Q25" s="530" t="str">
        <f t="shared" ref="Q25" si="9">B25</f>
        <v>基础设施水平</v>
      </c>
      <c r="R25" s="664" t="s">
        <v>14</v>
      </c>
      <c r="S25" s="665">
        <f>F25</f>
        <v>100</v>
      </c>
      <c r="T25" s="664" t="s">
        <v>14</v>
      </c>
      <c r="U25" s="665">
        <f>H25</f>
        <v>100</v>
      </c>
      <c r="V25" s="664" t="s">
        <v>14</v>
      </c>
      <c r="W25" s="665">
        <f>J25</f>
        <v>100</v>
      </c>
      <c r="X25" s="666"/>
      <c r="Y25" s="3386"/>
      <c r="Z25" s="50" t="str">
        <f>Q25</f>
        <v>基础设施水平</v>
      </c>
      <c r="AA25" s="1263">
        <f>D25/F25</f>
        <v>1</v>
      </c>
      <c r="AB25" s="1263">
        <f>D25/H25</f>
        <v>1</v>
      </c>
      <c r="AC25" s="1263">
        <f>D25/J25</f>
        <v>1</v>
      </c>
    </row>
    <row r="26" spans="1:29" s="102" customFormat="1" ht="15.5">
      <c r="A26" s="443"/>
      <c r="B26" s="401"/>
      <c r="C26" s="1825"/>
      <c r="D26" s="387"/>
      <c r="E26" s="1826"/>
      <c r="F26" s="387"/>
      <c r="G26" s="1826"/>
      <c r="H26" s="387"/>
      <c r="I26" s="1826"/>
      <c r="J26" s="387"/>
      <c r="K26" s="592"/>
      <c r="L26" s="2488"/>
      <c r="M26" s="2439"/>
      <c r="N26" s="2439"/>
      <c r="O26" s="2540"/>
      <c r="P26" s="3386"/>
      <c r="Q26" s="530"/>
      <c r="R26" s="664"/>
      <c r="S26" s="665"/>
      <c r="T26" s="664"/>
      <c r="U26" s="665"/>
      <c r="V26" s="664"/>
      <c r="W26" s="665"/>
      <c r="X26" s="666"/>
      <c r="Y26" s="3386"/>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6"/>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86"/>
      <c r="Z27" s="1263" t="str">
        <f t="shared" ref="Z27:Z40" si="13">Q27</f>
        <v>临街状况</v>
      </c>
      <c r="AA27" s="1263">
        <f t="shared" si="3"/>
        <v>1</v>
      </c>
      <c r="AB27" s="1263">
        <f t="shared" si="4"/>
        <v>1</v>
      </c>
      <c r="AC27" s="1263">
        <f t="shared" si="5"/>
        <v>1</v>
      </c>
    </row>
    <row r="28" spans="1:29" ht="2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6"/>
      <c r="Q28" s="1262" t="str">
        <f t="shared" si="8"/>
        <v>毗邻道路的类型与等级</v>
      </c>
      <c r="R28" s="667" t="s">
        <v>14</v>
      </c>
      <c r="S28" s="668">
        <f t="shared" si="10"/>
        <v>100</v>
      </c>
      <c r="T28" s="667" t="s">
        <v>14</v>
      </c>
      <c r="U28" s="668">
        <f t="shared" si="11"/>
        <v>100</v>
      </c>
      <c r="V28" s="667" t="s">
        <v>14</v>
      </c>
      <c r="W28" s="668">
        <f t="shared" si="12"/>
        <v>100</v>
      </c>
      <c r="X28" s="1264"/>
      <c r="Y28" s="3386"/>
      <c r="Z28" s="1263" t="str">
        <f t="shared" si="13"/>
        <v>毗邻道路的类型与等级</v>
      </c>
      <c r="AA28" s="1263">
        <f t="shared" si="3"/>
        <v>1</v>
      </c>
      <c r="AB28" s="1263">
        <f t="shared" si="4"/>
        <v>1</v>
      </c>
      <c r="AC28" s="1263">
        <f t="shared" si="5"/>
        <v>1</v>
      </c>
    </row>
    <row r="29" spans="1:29" ht="15.5">
      <c r="A29" s="367"/>
      <c r="B29" s="401"/>
      <c r="C29" s="386"/>
      <c r="D29" s="387"/>
      <c r="E29" s="1757"/>
      <c r="F29" s="387"/>
      <c r="G29" s="1757"/>
      <c r="H29" s="387"/>
      <c r="I29" s="1757"/>
      <c r="J29" s="387"/>
      <c r="K29" s="539"/>
      <c r="L29" s="2492"/>
      <c r="M29" s="2487"/>
      <c r="N29" s="2487"/>
      <c r="O29" s="2542"/>
      <c r="P29" s="3386"/>
      <c r="Q29" s="1262"/>
      <c r="R29" s="667"/>
      <c r="S29" s="668"/>
      <c r="T29" s="667"/>
      <c r="U29" s="668"/>
      <c r="V29" s="667"/>
      <c r="W29" s="668"/>
      <c r="X29" s="1264"/>
      <c r="Y29" s="3386"/>
      <c r="Z29" s="1263"/>
      <c r="AA29" s="1263">
        <v>1</v>
      </c>
      <c r="AB29" s="1263">
        <v>1</v>
      </c>
      <c r="AC29" s="1263">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6"/>
      <c r="Q30" s="1262" t="str">
        <f t="shared" si="8"/>
        <v>土地级别</v>
      </c>
      <c r="R30" s="667" t="s">
        <v>14</v>
      </c>
      <c r="S30" s="668">
        <f t="shared" si="10"/>
        <v>100</v>
      </c>
      <c r="T30" s="667" t="s">
        <v>14</v>
      </c>
      <c r="U30" s="668">
        <f t="shared" si="11"/>
        <v>100</v>
      </c>
      <c r="V30" s="667" t="s">
        <v>14</v>
      </c>
      <c r="W30" s="668">
        <f t="shared" si="12"/>
        <v>100</v>
      </c>
      <c r="X30" s="1264"/>
      <c r="Y30" s="3386"/>
      <c r="Z30" s="1263" t="str">
        <f t="shared" si="13"/>
        <v>土地级别</v>
      </c>
      <c r="AA30" s="1263">
        <f t="shared" si="3"/>
        <v>1</v>
      </c>
      <c r="AB30" s="1263">
        <f t="shared" si="4"/>
        <v>1</v>
      </c>
      <c r="AC30" s="1263">
        <f t="shared" si="5"/>
        <v>1</v>
      </c>
    </row>
    <row r="31" spans="1:29" ht="15.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6"/>
      <c r="Q31" s="1262">
        <f t="shared" si="8"/>
        <v>111</v>
      </c>
      <c r="R31" s="667" t="s">
        <v>14</v>
      </c>
      <c r="S31" s="668">
        <f t="shared" si="10"/>
        <v>100</v>
      </c>
      <c r="T31" s="667" t="s">
        <v>14</v>
      </c>
      <c r="U31" s="668">
        <f t="shared" si="11"/>
        <v>100</v>
      </c>
      <c r="V31" s="667" t="s">
        <v>14</v>
      </c>
      <c r="W31" s="668">
        <f t="shared" si="12"/>
        <v>100</v>
      </c>
      <c r="X31" s="1264"/>
      <c r="Y31" s="3386"/>
      <c r="Z31" s="1263">
        <f t="shared" si="13"/>
        <v>111</v>
      </c>
      <c r="AA31" s="1263">
        <f t="shared" si="3"/>
        <v>1</v>
      </c>
      <c r="AB31" s="1263">
        <f t="shared" si="4"/>
        <v>1</v>
      </c>
      <c r="AC31" s="1263">
        <f t="shared" si="5"/>
        <v>1</v>
      </c>
    </row>
    <row r="32" spans="1:29" ht="15.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0" t="s">
        <v>1696</v>
      </c>
      <c r="Q32" s="1262">
        <f t="shared" si="8"/>
        <v>111</v>
      </c>
      <c r="R32" s="667" t="s">
        <v>14</v>
      </c>
      <c r="S32" s="668">
        <f t="shared" si="10"/>
        <v>100</v>
      </c>
      <c r="T32" s="667" t="s">
        <v>14</v>
      </c>
      <c r="U32" s="668">
        <f t="shared" si="11"/>
        <v>100</v>
      </c>
      <c r="V32" s="667" t="s">
        <v>14</v>
      </c>
      <c r="W32" s="668">
        <f t="shared" si="12"/>
        <v>100</v>
      </c>
      <c r="X32" s="1264"/>
      <c r="Y32" s="3390" t="s">
        <v>1696</v>
      </c>
      <c r="Z32" s="1263">
        <f t="shared" si="13"/>
        <v>111</v>
      </c>
      <c r="AA32" s="1263">
        <f t="shared" si="3"/>
        <v>1</v>
      </c>
      <c r="AB32" s="1263">
        <f t="shared" si="4"/>
        <v>1</v>
      </c>
      <c r="AC32" s="1263">
        <f t="shared" si="5"/>
        <v>1</v>
      </c>
    </row>
    <row r="33" spans="1:31" s="408" customFormat="1" ht="1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90"/>
      <c r="Q33" s="1262">
        <f t="shared" si="8"/>
        <v>111</v>
      </c>
      <c r="R33" s="669" t="s">
        <v>14</v>
      </c>
      <c r="S33" s="670">
        <f t="shared" si="10"/>
        <v>100</v>
      </c>
      <c r="T33" s="669" t="s">
        <v>14</v>
      </c>
      <c r="U33" s="670">
        <f t="shared" si="11"/>
        <v>100</v>
      </c>
      <c r="V33" s="669" t="s">
        <v>14</v>
      </c>
      <c r="W33" s="670">
        <f t="shared" si="12"/>
        <v>100</v>
      </c>
      <c r="X33" s="671"/>
      <c r="Y33" s="3390"/>
      <c r="Z33" s="672">
        <f t="shared" si="13"/>
        <v>111</v>
      </c>
      <c r="AA33" s="1263">
        <f t="shared" si="3"/>
        <v>1</v>
      </c>
      <c r="AB33" s="1263">
        <f t="shared" si="4"/>
        <v>1</v>
      </c>
      <c r="AC33" s="1263">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90"/>
      <c r="Q34" s="1262" t="str">
        <f>B34</f>
        <v>宗地面积</v>
      </c>
      <c r="R34" s="667" t="s">
        <v>14</v>
      </c>
      <c r="S34" s="668" t="e">
        <f t="shared" si="10"/>
        <v>#N/A</v>
      </c>
      <c r="T34" s="667" t="s">
        <v>14</v>
      </c>
      <c r="U34" s="668" t="e">
        <f t="shared" si="11"/>
        <v>#N/A</v>
      </c>
      <c r="V34" s="667" t="s">
        <v>14</v>
      </c>
      <c r="W34" s="668" t="e">
        <f t="shared" si="12"/>
        <v>#N/A</v>
      </c>
      <c r="X34" s="1264"/>
      <c r="Y34" s="3390"/>
      <c r="Z34" s="1263" t="str">
        <f t="shared" si="13"/>
        <v>宗地面积</v>
      </c>
      <c r="AA34" s="1263" t="e">
        <f t="shared" si="3"/>
        <v>#N/A</v>
      </c>
      <c r="AB34" s="1263" t="e">
        <f t="shared" si="4"/>
        <v>#N/A</v>
      </c>
      <c r="AC34" s="1263" t="e">
        <f t="shared" si="5"/>
        <v>#N/A</v>
      </c>
    </row>
    <row r="35" spans="1:31" ht="15.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90"/>
      <c r="Q35" s="1262" t="str">
        <f t="shared" ref="Q35:Q40" si="14">B35</f>
        <v>宗地形状</v>
      </c>
      <c r="R35" s="667" t="s">
        <v>14</v>
      </c>
      <c r="S35" s="668">
        <f t="shared" si="10"/>
        <v>100</v>
      </c>
      <c r="T35" s="667" t="s">
        <v>14</v>
      </c>
      <c r="U35" s="668">
        <f t="shared" si="11"/>
        <v>100</v>
      </c>
      <c r="V35" s="667" t="s">
        <v>14</v>
      </c>
      <c r="W35" s="668">
        <f t="shared" si="12"/>
        <v>100</v>
      </c>
      <c r="X35" s="1264"/>
      <c r="Y35" s="3390"/>
      <c r="Z35" s="1263" t="str">
        <f t="shared" si="13"/>
        <v>宗地形状</v>
      </c>
      <c r="AA35" s="1263">
        <f t="shared" si="3"/>
        <v>1</v>
      </c>
      <c r="AB35" s="1263">
        <f t="shared" si="4"/>
        <v>1</v>
      </c>
      <c r="AC35" s="1263">
        <f t="shared" si="5"/>
        <v>1</v>
      </c>
    </row>
    <row r="36" spans="1:31" s="102" customFormat="1" ht="15.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90"/>
      <c r="Q36" s="1262" t="str">
        <f t="shared" si="14"/>
        <v>宗地开发程度</v>
      </c>
      <c r="R36" s="664" t="s">
        <v>14</v>
      </c>
      <c r="S36" s="665">
        <f t="shared" si="10"/>
        <v>100</v>
      </c>
      <c r="T36" s="664" t="s">
        <v>14</v>
      </c>
      <c r="U36" s="665">
        <f t="shared" si="11"/>
        <v>100</v>
      </c>
      <c r="V36" s="664" t="s">
        <v>14</v>
      </c>
      <c r="W36" s="665">
        <f t="shared" si="12"/>
        <v>100</v>
      </c>
      <c r="X36" s="666"/>
      <c r="Y36" s="3390"/>
      <c r="Z36" s="50" t="str">
        <f t="shared" si="13"/>
        <v>宗地开发程度</v>
      </c>
      <c r="AA36" s="50">
        <f t="shared" si="3"/>
        <v>1</v>
      </c>
      <c r="AB36" s="50">
        <f t="shared" si="4"/>
        <v>1</v>
      </c>
      <c r="AC36" s="50">
        <f t="shared" si="5"/>
        <v>1</v>
      </c>
    </row>
    <row r="37" spans="1:31" ht="15.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90" t="s">
        <v>1696</v>
      </c>
      <c r="Q37" s="1262" t="str">
        <f t="shared" si="14"/>
        <v>工程地质条件</v>
      </c>
      <c r="R37" s="667" t="s">
        <v>14</v>
      </c>
      <c r="S37" s="668">
        <f t="shared" si="10"/>
        <v>100</v>
      </c>
      <c r="T37" s="667" t="s">
        <v>14</v>
      </c>
      <c r="U37" s="668">
        <f t="shared" si="11"/>
        <v>100</v>
      </c>
      <c r="V37" s="667" t="s">
        <v>14</v>
      </c>
      <c r="W37" s="668">
        <f t="shared" si="12"/>
        <v>100</v>
      </c>
      <c r="X37" s="1264"/>
      <c r="Y37" s="3390" t="s">
        <v>1696</v>
      </c>
      <c r="Z37" s="1263" t="str">
        <f t="shared" si="13"/>
        <v>工程地质条件</v>
      </c>
      <c r="AA37" s="1263">
        <f t="shared" si="3"/>
        <v>1</v>
      </c>
      <c r="AB37" s="1263">
        <f t="shared" si="4"/>
        <v>1</v>
      </c>
      <c r="AC37" s="1263">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90"/>
      <c r="Q38" s="1262">
        <f t="shared" si="14"/>
        <v>111</v>
      </c>
      <c r="R38" s="667" t="s">
        <v>14</v>
      </c>
      <c r="S38" s="668">
        <f t="shared" si="10"/>
        <v>100</v>
      </c>
      <c r="T38" s="667" t="s">
        <v>14</v>
      </c>
      <c r="U38" s="668">
        <f t="shared" si="11"/>
        <v>100</v>
      </c>
      <c r="V38" s="667" t="s">
        <v>14</v>
      </c>
      <c r="W38" s="668">
        <f t="shared" si="12"/>
        <v>100</v>
      </c>
      <c r="X38" s="1264"/>
      <c r="Y38" s="3390"/>
      <c r="Z38" s="1263">
        <f t="shared" si="13"/>
        <v>111</v>
      </c>
      <c r="AA38" s="1263">
        <f t="shared" si="3"/>
        <v>1</v>
      </c>
      <c r="AB38" s="1263">
        <f t="shared" si="4"/>
        <v>1</v>
      </c>
      <c r="AC38" s="1263">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90"/>
      <c r="Q39" s="1262">
        <f t="shared" si="14"/>
        <v>111</v>
      </c>
      <c r="R39" s="667" t="s">
        <v>14</v>
      </c>
      <c r="S39" s="668">
        <f t="shared" si="10"/>
        <v>100</v>
      </c>
      <c r="T39" s="667" t="s">
        <v>14</v>
      </c>
      <c r="U39" s="668">
        <f t="shared" si="11"/>
        <v>100</v>
      </c>
      <c r="V39" s="667" t="s">
        <v>14</v>
      </c>
      <c r="W39" s="668">
        <f t="shared" si="12"/>
        <v>100</v>
      </c>
      <c r="X39" s="1264"/>
      <c r="Y39" s="3390"/>
      <c r="Z39" s="1263">
        <f t="shared" si="13"/>
        <v>111</v>
      </c>
      <c r="AA39" s="1263">
        <f t="shared" si="3"/>
        <v>1</v>
      </c>
      <c r="AB39" s="1263">
        <f t="shared" si="4"/>
        <v>1</v>
      </c>
      <c r="AC39" s="1263">
        <f t="shared" si="5"/>
        <v>1</v>
      </c>
    </row>
    <row r="40" spans="1:31" s="408" customFormat="1" ht="1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90"/>
      <c r="Q40" s="1262">
        <f t="shared" si="14"/>
        <v>111</v>
      </c>
      <c r="R40" s="669" t="s">
        <v>14</v>
      </c>
      <c r="S40" s="670">
        <f t="shared" si="10"/>
        <v>100</v>
      </c>
      <c r="T40" s="669" t="s">
        <v>14</v>
      </c>
      <c r="U40" s="670">
        <f t="shared" si="11"/>
        <v>100</v>
      </c>
      <c r="V40" s="669" t="s">
        <v>14</v>
      </c>
      <c r="W40" s="670">
        <f t="shared" si="12"/>
        <v>100</v>
      </c>
      <c r="X40" s="671"/>
      <c r="Y40" s="3390"/>
      <c r="Z40" s="672">
        <f t="shared" si="13"/>
        <v>111</v>
      </c>
      <c r="AA40" s="1263">
        <f t="shared" si="3"/>
        <v>1</v>
      </c>
      <c r="AB40" s="1263">
        <f t="shared" si="4"/>
        <v>1</v>
      </c>
      <c r="AC40" s="1263">
        <f t="shared" si="5"/>
        <v>1</v>
      </c>
    </row>
    <row r="41" spans="1:31">
      <c r="A41" s="416" t="s">
        <v>1844</v>
      </c>
      <c r="B41" s="1829" t="s">
        <v>1922</v>
      </c>
      <c r="C41" s="602" t="s">
        <v>0</v>
      </c>
      <c r="D41" s="418"/>
      <c r="E41" s="419"/>
      <c r="F41" s="420"/>
      <c r="G41" s="421"/>
      <c r="H41" s="422"/>
      <c r="I41" s="419"/>
      <c r="J41" s="422"/>
      <c r="K41" s="674"/>
      <c r="L41" s="2494"/>
      <c r="M41" s="2487"/>
      <c r="N41" s="2487"/>
      <c r="O41" s="2487"/>
      <c r="P41" s="3383" t="str">
        <f>A41</f>
        <v>成交单价</v>
      </c>
      <c r="Q41" s="3383"/>
      <c r="R41" s="3384">
        <f>E41</f>
        <v>0</v>
      </c>
      <c r="S41" s="3384"/>
      <c r="T41" s="3384">
        <f>G41</f>
        <v>0</v>
      </c>
      <c r="U41" s="3384"/>
      <c r="V41" s="3384">
        <f>I41</f>
        <v>0</v>
      </c>
      <c r="W41" s="3384"/>
      <c r="X41" s="385"/>
      <c r="Y41" s="673"/>
      <c r="Z41" s="385"/>
      <c r="AA41" s="385"/>
      <c r="AB41" s="385"/>
      <c r="AC41" s="385"/>
    </row>
    <row r="42" spans="1:31" ht="14.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83" t="str">
        <f>A42</f>
        <v>比较价值（元/平方米）</v>
      </c>
      <c r="Q42" s="3383"/>
      <c r="R42" s="3442" t="e">
        <f>ROUND(PRODUCT(R41,AA7:AA40),0)</f>
        <v>#DIV/0!</v>
      </c>
      <c r="S42" s="3442"/>
      <c r="T42" s="3442" t="e">
        <f>ROUND(PRODUCT(T41,AB7:AB40),0)</f>
        <v>#DIV/0!</v>
      </c>
      <c r="U42" s="3442"/>
      <c r="V42" s="3442" t="e">
        <f>ROUND(PRODUCT(V41,AC7:AC40),0)</f>
        <v>#DIV/0!</v>
      </c>
      <c r="W42" s="3442"/>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4"/>
      <c r="M43" s="2487"/>
      <c r="N43" s="2487"/>
      <c r="O43" s="2487"/>
      <c r="P43" s="3380" t="str">
        <f>A43</f>
        <v>估价对象XX用房的比较价值（楼面单价，元/平方米）</v>
      </c>
      <c r="Q43" s="3381"/>
      <c r="R43" s="3443" t="e">
        <f>ROUND(IF(D42="简单平均",AVERAGE(R42:W42),R42*F42+T42*H42+V42*J42),0)</f>
        <v>#DIV/0!</v>
      </c>
      <c r="S43" s="3443"/>
      <c r="T43" s="3443"/>
      <c r="U43" s="3443"/>
      <c r="V43" s="3443"/>
      <c r="W43" s="3443"/>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1881</v>
      </c>
      <c r="B50" s="605" t="s">
        <v>1882</v>
      </c>
      <c r="C50" s="1830" t="s">
        <v>1883</v>
      </c>
      <c r="D50" s="1831" t="s">
        <v>1884</v>
      </c>
      <c r="E50" s="606" t="s">
        <v>1885</v>
      </c>
      <c r="F50" s="607" t="s">
        <v>1886</v>
      </c>
      <c r="G50" s="3398" t="s">
        <v>1887</v>
      </c>
      <c r="H50" s="3444"/>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2738.73</v>
      </c>
      <c r="F51" s="611" t="e">
        <f t="shared" ref="F51:F60" si="15">ROUND(B51*E51/10000,0)</f>
        <v>#DIV/0!</v>
      </c>
      <c r="G51" s="3394"/>
      <c r="H51" s="3383"/>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1903</v>
      </c>
      <c r="B61" s="616" t="s">
        <v>22</v>
      </c>
      <c r="C61" s="616" t="s">
        <v>23</v>
      </c>
      <c r="D61" s="616" t="s">
        <v>392</v>
      </c>
      <c r="E61" s="616">
        <f>IF(B41="楼面地价",SUM(E51:E60),'数据-汇总表'!D3)</f>
        <v>5038.53</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7"/>
      <c r="Q63" s="2487"/>
      <c r="R63" s="2487"/>
      <c r="S63" s="2487"/>
      <c r="T63" s="2487"/>
      <c r="U63" s="2487"/>
      <c r="V63" s="2487"/>
      <c r="W63" s="2487"/>
      <c r="X63" s="2487"/>
      <c r="Y63" s="2487"/>
      <c r="Z63" s="2487"/>
      <c r="AA63" s="2487"/>
      <c r="AB63" s="2487"/>
      <c r="AC63" s="2487"/>
      <c r="AD63" s="2487"/>
      <c r="AE63" s="2487"/>
    </row>
    <row r="64" spans="1:31" ht="21.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29" t="s">
        <v>1904</v>
      </c>
      <c r="B65" s="1046"/>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8"/>
      <c r="P66" s="2508"/>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2" t="s">
        <v>2084</v>
      </c>
      <c r="D1" s="3453"/>
      <c r="E1" s="3453"/>
      <c r="F1" s="3453"/>
      <c r="G1" s="3453"/>
      <c r="H1" s="3453"/>
      <c r="I1" s="3453"/>
      <c r="J1" s="3453"/>
      <c r="K1" s="3453"/>
      <c r="L1" s="3453"/>
      <c r="M1" s="3453"/>
      <c r="N1" s="3453"/>
      <c r="O1" s="3453"/>
      <c r="P1" s="3453"/>
      <c r="Q1" s="3453"/>
      <c r="R1" s="3453"/>
      <c r="S1" s="3454"/>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7" t="s">
        <v>2095</v>
      </c>
      <c r="E19" s="1252"/>
      <c r="F19" s="1252"/>
      <c r="G19" s="1252"/>
      <c r="H19" s="996"/>
      <c r="I19" s="151"/>
      <c r="J19" s="151"/>
      <c r="K19" s="151"/>
      <c r="L19" s="151"/>
      <c r="M19" s="151"/>
      <c r="N19" s="151"/>
      <c r="O19" s="151"/>
      <c r="P19" s="151"/>
      <c r="Q19" s="151"/>
      <c r="R19" s="151"/>
      <c r="S19" s="121"/>
    </row>
    <row r="20" spans="1:45" ht="16"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49" t="s">
        <v>27</v>
      </c>
      <c r="D22" s="3450"/>
      <c r="E22" s="3450"/>
      <c r="F22" s="3450"/>
      <c r="G22" s="3450"/>
      <c r="H22" s="3450"/>
      <c r="I22" s="3450"/>
      <c r="J22" s="3450"/>
      <c r="K22" s="3450"/>
      <c r="L22" s="3450"/>
      <c r="M22" s="3450"/>
      <c r="N22" s="3450"/>
      <c r="O22" s="3450"/>
      <c r="P22" s="3450"/>
      <c r="Q22" s="3451"/>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J47" sqref="J47:J49"/>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5">
      <c r="A2" s="1983" t="s">
        <v>2073</v>
      </c>
      <c r="B2" s="2387">
        <f ca="1">SUMIF(B6:B13,"&lt;&gt;#ref!",B6:B13)</f>
        <v>475</v>
      </c>
      <c r="C2" s="1983" t="s">
        <v>2074</v>
      </c>
      <c r="D2" s="1983" t="s">
        <v>2075</v>
      </c>
      <c r="E2" s="2397">
        <f ca="1">SUMIF(E6:E13,"&lt;&gt;#ref!",E6:E13)</f>
        <v>5038.53</v>
      </c>
      <c r="F2" s="2544"/>
      <c r="G2" s="2544"/>
      <c r="H2" s="2544"/>
      <c r="I2" s="2544"/>
      <c r="J2" s="2544"/>
      <c r="K2" s="2544"/>
      <c r="L2" s="2544"/>
      <c r="M2" s="2544"/>
      <c r="N2" s="2544"/>
      <c r="O2" s="2544"/>
      <c r="P2" s="2544"/>
    </row>
    <row r="3" spans="1:16" ht="15.5">
      <c r="A3" s="1983" t="s">
        <v>2076</v>
      </c>
      <c r="B3" s="2387">
        <f ca="1">ROUND(B2*10000/E2,0)</f>
        <v>943</v>
      </c>
      <c r="C3" s="1983" t="s">
        <v>2082</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3" t="s">
        <v>2077</v>
      </c>
      <c r="B5" s="2395" t="s">
        <v>2078</v>
      </c>
      <c r="C5" s="1984"/>
      <c r="D5" s="2544"/>
      <c r="E5" s="2396" t="s">
        <v>2079</v>
      </c>
      <c r="F5" s="2544"/>
      <c r="G5" s="2544"/>
      <c r="H5" s="2544"/>
      <c r="I5" s="2544"/>
      <c r="J5" s="2544"/>
      <c r="K5" s="2544"/>
      <c r="L5" s="2544"/>
      <c r="M5" s="2544"/>
      <c r="N5" s="2544"/>
      <c r="O5" s="2544"/>
      <c r="P5" s="2544"/>
    </row>
    <row r="6" spans="1:16" ht="15.5">
      <c r="A6" s="2394" t="s">
        <v>2080</v>
      </c>
      <c r="B6" s="2387">
        <f ca="1">SUMIF(INDIRECT("'"&amp;A6&amp;"'"&amp;"!A:A"),"总价",INDIRECT("'"&amp;A6&amp;"'"&amp;"!B:B"))</f>
        <v>475</v>
      </c>
      <c r="C6" s="1983" t="s">
        <v>2074</v>
      </c>
      <c r="D6" s="2544"/>
      <c r="E6" s="2397">
        <f ca="1">SUMIF(INDIRECT("'"&amp;A6&amp;"'"&amp;"!C:C"),"建筑面积",INDIRECT("'"&amp;A6&amp;"'"&amp;"!D:D"))</f>
        <v>5038.53</v>
      </c>
      <c r="F6" s="2544"/>
      <c r="G6" s="2544"/>
      <c r="H6" s="2544"/>
      <c r="I6" s="2544"/>
      <c r="J6" s="2544"/>
      <c r="K6" s="2544"/>
      <c r="L6" s="2544"/>
      <c r="M6" s="2544"/>
      <c r="N6" s="2544"/>
      <c r="O6" s="2544"/>
      <c r="P6" s="2544"/>
    </row>
    <row r="7" spans="1:16" ht="15.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85" t="s">
        <v>2607</v>
      </c>
      <c r="B20" s="3478" t="s">
        <v>2628</v>
      </c>
      <c r="C20" s="3168" t="s">
        <v>2439</v>
      </c>
      <c r="D20" s="3168"/>
      <c r="E20" s="2844">
        <v>1</v>
      </c>
      <c r="F20" s="2845" t="s">
        <v>2440</v>
      </c>
      <c r="G20" s="2845"/>
    </row>
    <row r="21" spans="1:13" ht="19.5" customHeight="1">
      <c r="A21" s="3486"/>
      <c r="B21" s="3474"/>
      <c r="C21" s="2857" t="s">
        <v>2441</v>
      </c>
      <c r="D21" s="2857"/>
      <c r="E21" s="2848">
        <v>1</v>
      </c>
      <c r="F21" s="2845" t="s">
        <v>2442</v>
      </c>
      <c r="G21" s="2845"/>
    </row>
    <row r="22" spans="1:13" ht="19.5" customHeight="1">
      <c r="A22" s="3486"/>
      <c r="B22" s="3474"/>
      <c r="C22" s="2857" t="s">
        <v>2443</v>
      </c>
      <c r="D22" s="2857"/>
      <c r="E22" s="2848">
        <v>0.9</v>
      </c>
      <c r="F22" s="2845" t="s">
        <v>2444</v>
      </c>
      <c r="G22" s="2845"/>
    </row>
    <row r="23" spans="1:13" ht="19.5" customHeight="1">
      <c r="A23" s="3486"/>
      <c r="B23" s="3474"/>
      <c r="C23" s="2857" t="s">
        <v>2445</v>
      </c>
      <c r="D23" s="2857"/>
      <c r="E23" s="2848">
        <v>0.9</v>
      </c>
      <c r="F23" s="2845" t="s">
        <v>2446</v>
      </c>
      <c r="G23" s="2845"/>
    </row>
    <row r="24" spans="1:13" ht="19.5" customHeight="1">
      <c r="A24" s="3486"/>
      <c r="B24" s="3474"/>
      <c r="C24" s="2857" t="s">
        <v>2447</v>
      </c>
      <c r="D24" s="2857"/>
      <c r="E24" s="2848">
        <v>0.8</v>
      </c>
      <c r="F24" s="2845" t="s">
        <v>2448</v>
      </c>
      <c r="G24" s="2845"/>
    </row>
    <row r="25" spans="1:13" ht="19.5" customHeight="1">
      <c r="A25" s="3486"/>
      <c r="B25" s="3474"/>
      <c r="C25" s="2857" t="s">
        <v>2449</v>
      </c>
      <c r="D25" s="2857"/>
      <c r="E25" s="2848">
        <v>0.8</v>
      </c>
      <c r="F25" s="2845"/>
      <c r="G25" s="2845"/>
    </row>
    <row r="26" spans="1:13" ht="19.5" customHeight="1">
      <c r="A26" s="3486"/>
      <c r="B26" s="3474"/>
      <c r="C26" s="2857" t="s">
        <v>3407</v>
      </c>
      <c r="D26" s="2857"/>
      <c r="E26" s="2848">
        <v>0.43</v>
      </c>
      <c r="F26" s="2845"/>
      <c r="G26" s="2845"/>
    </row>
    <row r="27" spans="1:13" ht="19.5" customHeight="1" thickBot="1">
      <c r="A27" s="3487"/>
      <c r="B27" s="3479"/>
      <c r="C27" s="3164" t="s">
        <v>3408</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80" t="s">
        <v>2631</v>
      </c>
      <c r="B29" s="3483" t="s">
        <v>2612</v>
      </c>
      <c r="C29" s="2842" t="s">
        <v>2452</v>
      </c>
      <c r="D29" s="2843"/>
      <c r="E29" s="2844">
        <v>1</v>
      </c>
      <c r="F29" s="2845" t="s">
        <v>2453</v>
      </c>
      <c r="G29" s="2845"/>
    </row>
    <row r="30" spans="1:13" ht="19.5" customHeight="1">
      <c r="A30" s="3481"/>
      <c r="B30" s="3477"/>
      <c r="C30" s="2846" t="s">
        <v>2454</v>
      </c>
      <c r="D30" s="2847"/>
      <c r="E30" s="2848">
        <v>1</v>
      </c>
      <c r="F30" s="2845" t="s">
        <v>2455</v>
      </c>
      <c r="G30" s="2845"/>
    </row>
    <row r="31" spans="1:13" ht="19.5" customHeight="1">
      <c r="A31" s="3481"/>
      <c r="B31" s="3477"/>
      <c r="C31" s="2846" t="s">
        <v>2456</v>
      </c>
      <c r="D31" s="2847"/>
      <c r="E31" s="2848">
        <v>0.8</v>
      </c>
      <c r="F31" s="2845" t="s">
        <v>2457</v>
      </c>
      <c r="G31" s="2845"/>
    </row>
    <row r="32" spans="1:13" ht="19.5" customHeight="1">
      <c r="A32" s="3481"/>
      <c r="B32" s="3477"/>
      <c r="C32" s="2846" t="s">
        <v>2458</v>
      </c>
      <c r="D32" s="2847"/>
      <c r="E32" s="2848">
        <v>0.8</v>
      </c>
      <c r="F32" s="2845" t="s">
        <v>2459</v>
      </c>
      <c r="G32" s="2845"/>
    </row>
    <row r="33" spans="1:7" ht="19.5" customHeight="1">
      <c r="A33" s="3481"/>
      <c r="B33" s="3477"/>
      <c r="C33" s="2846" t="s">
        <v>2460</v>
      </c>
      <c r="D33" s="2847"/>
      <c r="E33" s="2848">
        <v>0.8</v>
      </c>
      <c r="F33" s="2845" t="s">
        <v>2461</v>
      </c>
      <c r="G33" s="2845"/>
    </row>
    <row r="34" spans="1:7" ht="19.5" customHeight="1">
      <c r="A34" s="3481"/>
      <c r="B34" s="3477"/>
      <c r="C34" s="2846" t="s">
        <v>2462</v>
      </c>
      <c r="D34" s="2847"/>
      <c r="E34" s="2848">
        <v>0.7</v>
      </c>
      <c r="F34" s="2845" t="s">
        <v>2463</v>
      </c>
      <c r="G34" s="2845"/>
    </row>
    <row r="35" spans="1:7" ht="19.5" customHeight="1">
      <c r="A35" s="3481"/>
      <c r="B35" s="3477"/>
      <c r="C35" s="2846" t="s">
        <v>2464</v>
      </c>
      <c r="D35" s="2847"/>
      <c r="E35" s="2848">
        <v>0.8</v>
      </c>
      <c r="F35" s="2845" t="s">
        <v>2465</v>
      </c>
      <c r="G35" s="2845"/>
    </row>
    <row r="36" spans="1:7" ht="19.5" customHeight="1">
      <c r="A36" s="3481"/>
      <c r="B36" s="3477"/>
      <c r="C36" s="2846" t="s">
        <v>2466</v>
      </c>
      <c r="D36" s="2847"/>
      <c r="E36" s="2848">
        <v>0.6</v>
      </c>
      <c r="F36" s="2845" t="s">
        <v>2467</v>
      </c>
      <c r="G36" s="2845"/>
    </row>
    <row r="37" spans="1:7" ht="19.5" customHeight="1">
      <c r="A37" s="3481"/>
      <c r="B37" s="3477"/>
      <c r="C37" s="2846" t="s">
        <v>2468</v>
      </c>
      <c r="D37" s="2847"/>
      <c r="E37" s="2848">
        <v>0.2</v>
      </c>
      <c r="F37" s="2845" t="s">
        <v>2469</v>
      </c>
      <c r="G37" s="2845"/>
    </row>
    <row r="38" spans="1:7" ht="19.5" customHeight="1">
      <c r="A38" s="3481"/>
      <c r="B38" s="3477"/>
      <c r="C38" s="2846" t="s">
        <v>2470</v>
      </c>
      <c r="D38" s="2847"/>
      <c r="E38" s="2848">
        <v>0.2</v>
      </c>
      <c r="F38" s="2845" t="s">
        <v>2471</v>
      </c>
      <c r="G38" s="2845"/>
    </row>
    <row r="39" spans="1:7" ht="19.5" customHeight="1">
      <c r="A39" s="3481"/>
      <c r="B39" s="3475" t="s">
        <v>2632</v>
      </c>
      <c r="C39" s="2846" t="s">
        <v>2472</v>
      </c>
      <c r="D39" s="2847"/>
      <c r="E39" s="2848">
        <v>0.6</v>
      </c>
      <c r="F39" s="2845" t="s">
        <v>2473</v>
      </c>
      <c r="G39" s="2845"/>
    </row>
    <row r="40" spans="1:7" ht="19.5" customHeight="1">
      <c r="A40" s="3481"/>
      <c r="B40" s="3477"/>
      <c r="C40" s="2846" t="s">
        <v>2474</v>
      </c>
      <c r="D40" s="2847"/>
      <c r="E40" s="2848">
        <v>0.6</v>
      </c>
      <c r="F40" s="2845" t="s">
        <v>2475</v>
      </c>
      <c r="G40" s="2845"/>
    </row>
    <row r="41" spans="1:7" ht="19.5" customHeight="1" thickBot="1">
      <c r="A41" s="3482"/>
      <c r="B41" s="3484"/>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85" t="s">
        <v>2610</v>
      </c>
      <c r="B43" s="3483" t="s">
        <v>2634</v>
      </c>
      <c r="C43" s="2842" t="s">
        <v>2479</v>
      </c>
      <c r="D43" s="2843"/>
      <c r="E43" s="2844">
        <v>1</v>
      </c>
      <c r="F43" s="2845" t="s">
        <v>2480</v>
      </c>
      <c r="G43" s="2845"/>
    </row>
    <row r="44" spans="1:7" ht="19.5" customHeight="1">
      <c r="A44" s="3486"/>
      <c r="B44" s="3477"/>
      <c r="C44" s="2846" t="s">
        <v>2481</v>
      </c>
      <c r="D44" s="2847"/>
      <c r="E44" s="2848">
        <v>1</v>
      </c>
      <c r="F44" s="2845" t="s">
        <v>2482</v>
      </c>
      <c r="G44" s="2845"/>
    </row>
    <row r="45" spans="1:7" ht="19.5" customHeight="1">
      <c r="A45" s="3486"/>
      <c r="B45" s="3476"/>
      <c r="C45" s="2846" t="s">
        <v>2483</v>
      </c>
      <c r="D45" s="2847"/>
      <c r="E45" s="2848">
        <v>1.5</v>
      </c>
      <c r="F45" s="2845" t="s">
        <v>2484</v>
      </c>
      <c r="G45" s="2845"/>
    </row>
    <row r="46" spans="1:7" ht="19.5" customHeight="1">
      <c r="A46" s="3486"/>
      <c r="B46" s="2857" t="s">
        <v>2635</v>
      </c>
      <c r="C46" s="2846" t="s">
        <v>2636</v>
      </c>
      <c r="D46" s="2847"/>
      <c r="E46" s="2848">
        <v>2</v>
      </c>
      <c r="F46" s="2845" t="s">
        <v>2485</v>
      </c>
      <c r="G46" s="2845"/>
    </row>
    <row r="47" spans="1:7" ht="19.5" customHeight="1">
      <c r="A47" s="3486"/>
      <c r="B47" s="3475" t="s">
        <v>2637</v>
      </c>
      <c r="C47" s="2846" t="s">
        <v>2486</v>
      </c>
      <c r="D47" s="2847"/>
      <c r="E47" s="2848">
        <v>1</v>
      </c>
      <c r="F47" s="2845" t="s">
        <v>2487</v>
      </c>
      <c r="G47" s="2845"/>
    </row>
    <row r="48" spans="1:7" ht="19.5" customHeight="1">
      <c r="A48" s="3486"/>
      <c r="B48" s="3477"/>
      <c r="C48" s="2846" t="s">
        <v>2488</v>
      </c>
      <c r="D48" s="2847"/>
      <c r="E48" s="2848">
        <v>1</v>
      </c>
      <c r="F48" s="2845" t="s">
        <v>2489</v>
      </c>
      <c r="G48" s="2845"/>
    </row>
    <row r="49" spans="1:7" ht="19.5" customHeight="1">
      <c r="A49" s="3486"/>
      <c r="B49" s="3477"/>
      <c r="C49" s="2846" t="s">
        <v>2490</v>
      </c>
      <c r="D49" s="2847"/>
      <c r="E49" s="2848">
        <v>1</v>
      </c>
      <c r="F49" s="2845" t="s">
        <v>2491</v>
      </c>
      <c r="G49" s="2845"/>
    </row>
    <row r="50" spans="1:7" ht="19.5" customHeight="1">
      <c r="A50" s="3486"/>
      <c r="B50" s="3477"/>
      <c r="C50" s="2846" t="s">
        <v>2492</v>
      </c>
      <c r="D50" s="2847"/>
      <c r="E50" s="2848">
        <v>1</v>
      </c>
      <c r="F50" s="2845" t="s">
        <v>2493</v>
      </c>
      <c r="G50" s="2845"/>
    </row>
    <row r="51" spans="1:7" ht="19.5" customHeight="1">
      <c r="A51" s="3486"/>
      <c r="B51" s="3477"/>
      <c r="C51" s="2846" t="s">
        <v>2494</v>
      </c>
      <c r="D51" s="2847"/>
      <c r="E51" s="2848">
        <v>1</v>
      </c>
      <c r="F51" s="2845" t="s">
        <v>2495</v>
      </c>
      <c r="G51" s="2845"/>
    </row>
    <row r="52" spans="1:7" ht="19.5" customHeight="1">
      <c r="A52" s="3486"/>
      <c r="B52" s="3477"/>
      <c r="C52" s="2846" t="s">
        <v>2496</v>
      </c>
      <c r="D52" s="2847"/>
      <c r="E52" s="2848">
        <v>1</v>
      </c>
      <c r="F52" s="2845" t="s">
        <v>2497</v>
      </c>
      <c r="G52" s="2845"/>
    </row>
    <row r="53" spans="1:7" ht="19.5" customHeight="1" thickBot="1">
      <c r="A53" s="3487"/>
      <c r="B53" s="3484"/>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4">
      <c r="A74" s="2857"/>
      <c r="B74" s="2857"/>
      <c r="C74" s="2857" t="s">
        <v>2650</v>
      </c>
      <c r="D74" s="2857"/>
      <c r="E74" s="2857" t="s">
        <v>2621</v>
      </c>
      <c r="F74" s="2857" t="s">
        <v>2621</v>
      </c>
    </row>
    <row r="75" spans="1:7" ht="14">
      <c r="A75" s="2857">
        <v>1</v>
      </c>
      <c r="B75" s="3475" t="s">
        <v>2651</v>
      </c>
      <c r="C75" s="2831" t="s">
        <v>2652</v>
      </c>
      <c r="D75" s="2831" t="s">
        <v>2653</v>
      </c>
      <c r="E75" s="2857">
        <v>0.2</v>
      </c>
      <c r="F75" s="2857">
        <v>25</v>
      </c>
    </row>
    <row r="76" spans="1:7" ht="26">
      <c r="A76" s="2857">
        <v>2</v>
      </c>
      <c r="B76" s="3477"/>
      <c r="C76" s="2831" t="s">
        <v>2654</v>
      </c>
      <c r="D76" s="2831" t="s">
        <v>2655</v>
      </c>
      <c r="E76" s="2857">
        <v>0.2</v>
      </c>
      <c r="F76" s="2857">
        <v>25</v>
      </c>
    </row>
    <row r="77" spans="1:7" ht="26">
      <c r="A77" s="2857">
        <v>3</v>
      </c>
      <c r="B77" s="3477"/>
      <c r="C77" s="2831" t="s">
        <v>2656</v>
      </c>
      <c r="D77" s="2831" t="s">
        <v>2657</v>
      </c>
      <c r="E77" s="2857">
        <v>0.2</v>
      </c>
      <c r="F77" s="2857">
        <v>25</v>
      </c>
    </row>
    <row r="78" spans="1:7" ht="14">
      <c r="A78" s="2857">
        <v>4</v>
      </c>
      <c r="B78" s="3477"/>
      <c r="C78" s="2831" t="s">
        <v>2658</v>
      </c>
      <c r="D78" s="2831" t="s">
        <v>2659</v>
      </c>
      <c r="E78" s="2857">
        <v>0.15</v>
      </c>
      <c r="F78" s="2857">
        <v>20</v>
      </c>
    </row>
    <row r="79" spans="1:7" ht="26">
      <c r="A79" s="2857">
        <v>5</v>
      </c>
      <c r="B79" s="3477"/>
      <c r="C79" s="2831" t="s">
        <v>2660</v>
      </c>
      <c r="D79" s="2831" t="s">
        <v>2661</v>
      </c>
      <c r="E79" s="2857">
        <v>0.15</v>
      </c>
      <c r="F79" s="2857">
        <v>20</v>
      </c>
    </row>
    <row r="80" spans="1:7" ht="26">
      <c r="A80" s="2857">
        <v>6</v>
      </c>
      <c r="B80" s="3477"/>
      <c r="C80" s="2831" t="s">
        <v>2662</v>
      </c>
      <c r="D80" s="2831" t="s">
        <v>2663</v>
      </c>
      <c r="E80" s="2857">
        <v>0.15</v>
      </c>
      <c r="F80" s="2857">
        <v>20</v>
      </c>
    </row>
    <row r="81" spans="1:6" ht="26">
      <c r="A81" s="2857">
        <v>7</v>
      </c>
      <c r="B81" s="3477"/>
      <c r="C81" s="2831" t="s">
        <v>2664</v>
      </c>
      <c r="D81" s="2831" t="s">
        <v>2665</v>
      </c>
      <c r="E81" s="2857">
        <v>0.15</v>
      </c>
      <c r="F81" s="2857">
        <v>20</v>
      </c>
    </row>
    <row r="82" spans="1:6" ht="26">
      <c r="A82" s="2857">
        <v>8</v>
      </c>
      <c r="B82" s="3477"/>
      <c r="C82" s="2831" t="s">
        <v>2666</v>
      </c>
      <c r="D82" s="2831" t="s">
        <v>2667</v>
      </c>
      <c r="E82" s="2857">
        <v>0.1</v>
      </c>
      <c r="F82" s="2857">
        <v>15</v>
      </c>
    </row>
    <row r="83" spans="1:6" ht="26">
      <c r="A83" s="2857">
        <v>9</v>
      </c>
      <c r="B83" s="3477"/>
      <c r="C83" s="2831" t="s">
        <v>2668</v>
      </c>
      <c r="D83" s="2831" t="s">
        <v>2669</v>
      </c>
      <c r="E83" s="2857">
        <v>0.1</v>
      </c>
      <c r="F83" s="2857">
        <v>15</v>
      </c>
    </row>
    <row r="84" spans="1:6" ht="26">
      <c r="A84" s="2857">
        <v>10</v>
      </c>
      <c r="B84" s="3477"/>
      <c r="C84" s="2831" t="s">
        <v>2670</v>
      </c>
      <c r="D84" s="2831" t="s">
        <v>2671</v>
      </c>
      <c r="E84" s="2857">
        <v>0.1</v>
      </c>
      <c r="F84" s="2857">
        <v>15</v>
      </c>
    </row>
    <row r="85" spans="1:6" ht="26">
      <c r="A85" s="2857">
        <v>11</v>
      </c>
      <c r="B85" s="3477"/>
      <c r="C85" s="2831" t="s">
        <v>2672</v>
      </c>
      <c r="D85" s="2831" t="s">
        <v>2673</v>
      </c>
      <c r="E85" s="2857">
        <v>0.1</v>
      </c>
      <c r="F85" s="2857">
        <v>15</v>
      </c>
    </row>
    <row r="86" spans="1:6" ht="26">
      <c r="A86" s="2857">
        <v>12</v>
      </c>
      <c r="B86" s="3477"/>
      <c r="C86" s="2831" t="s">
        <v>2674</v>
      </c>
      <c r="D86" s="2831" t="s">
        <v>2675</v>
      </c>
      <c r="E86" s="2857">
        <v>0.1</v>
      </c>
      <c r="F86" s="2857">
        <v>15</v>
      </c>
    </row>
    <row r="87" spans="1:6" ht="14">
      <c r="A87" s="2857">
        <v>13</v>
      </c>
      <c r="B87" s="3477"/>
      <c r="C87" s="2831" t="s">
        <v>2676</v>
      </c>
      <c r="D87" s="2831" t="s">
        <v>2677</v>
      </c>
      <c r="E87" s="2857">
        <v>0.1</v>
      </c>
      <c r="F87" s="2857">
        <v>15</v>
      </c>
    </row>
    <row r="88" spans="1:6" ht="14">
      <c r="A88" s="2857">
        <v>14</v>
      </c>
      <c r="B88" s="3477"/>
      <c r="C88" s="2831" t="s">
        <v>2678</v>
      </c>
      <c r="D88" s="2831" t="s">
        <v>2679</v>
      </c>
      <c r="E88" s="2857">
        <v>0.1</v>
      </c>
      <c r="F88" s="2857">
        <v>15</v>
      </c>
    </row>
    <row r="89" spans="1:6" ht="14">
      <c r="A89" s="2857">
        <v>15</v>
      </c>
      <c r="B89" s="3477"/>
      <c r="C89" s="2831" t="s">
        <v>2680</v>
      </c>
      <c r="D89" s="2831" t="s">
        <v>2681</v>
      </c>
      <c r="E89" s="2857">
        <v>0.1</v>
      </c>
      <c r="F89" s="2857">
        <v>15</v>
      </c>
    </row>
    <row r="90" spans="1:6" ht="26">
      <c r="A90" s="2857">
        <v>16</v>
      </c>
      <c r="B90" s="3477"/>
      <c r="C90" s="2831" t="s">
        <v>2682</v>
      </c>
      <c r="D90" s="2831" t="s">
        <v>2683</v>
      </c>
      <c r="E90" s="2857">
        <v>0.1</v>
      </c>
      <c r="F90" s="2857">
        <v>15</v>
      </c>
    </row>
    <row r="91" spans="1:6" ht="26">
      <c r="A91" s="2857">
        <v>17</v>
      </c>
      <c r="B91" s="3476"/>
      <c r="C91" s="2831" t="s">
        <v>2684</v>
      </c>
      <c r="D91" s="2831" t="s">
        <v>2685</v>
      </c>
      <c r="E91" s="2857">
        <v>0.1</v>
      </c>
      <c r="F91" s="2857">
        <v>15</v>
      </c>
    </row>
    <row r="92" spans="1:6" ht="14">
      <c r="A92" s="2857">
        <v>18</v>
      </c>
      <c r="B92" s="3475" t="s">
        <v>2686</v>
      </c>
      <c r="C92" s="2831" t="s">
        <v>2687</v>
      </c>
      <c r="D92" s="2831" t="s">
        <v>2688</v>
      </c>
      <c r="E92" s="2857">
        <v>0.2</v>
      </c>
      <c r="F92" s="2857">
        <v>25</v>
      </c>
    </row>
    <row r="93" spans="1:6" ht="26">
      <c r="A93" s="2857">
        <v>19</v>
      </c>
      <c r="B93" s="3477"/>
      <c r="C93" s="2831" t="s">
        <v>2689</v>
      </c>
      <c r="D93" s="2831" t="s">
        <v>2690</v>
      </c>
      <c r="E93" s="2857">
        <v>0.2</v>
      </c>
      <c r="F93" s="2857">
        <v>25</v>
      </c>
    </row>
    <row r="94" spans="1:6" ht="14">
      <c r="A94" s="2857">
        <v>20</v>
      </c>
      <c r="B94" s="3477"/>
      <c r="C94" s="2831" t="s">
        <v>2691</v>
      </c>
      <c r="D94" s="2831" t="s">
        <v>2692</v>
      </c>
      <c r="E94" s="2857">
        <v>0.15</v>
      </c>
      <c r="F94" s="2857">
        <v>20</v>
      </c>
    </row>
    <row r="95" spans="1:6" ht="26">
      <c r="A95" s="2857">
        <v>21</v>
      </c>
      <c r="B95" s="3477"/>
      <c r="C95" s="2831" t="s">
        <v>2693</v>
      </c>
      <c r="D95" s="2831" t="s">
        <v>2694</v>
      </c>
      <c r="E95" s="2857">
        <v>0.15</v>
      </c>
      <c r="F95" s="2857">
        <v>20</v>
      </c>
    </row>
    <row r="96" spans="1:6" ht="26">
      <c r="A96" s="2857">
        <v>22</v>
      </c>
      <c r="B96" s="3477"/>
      <c r="C96" s="2831" t="s">
        <v>2695</v>
      </c>
      <c r="D96" s="2831" t="s">
        <v>2696</v>
      </c>
      <c r="E96" s="2857">
        <v>0.15</v>
      </c>
      <c r="F96" s="2857">
        <v>20</v>
      </c>
    </row>
    <row r="97" spans="1:6" ht="39">
      <c r="A97" s="2857">
        <v>23</v>
      </c>
      <c r="B97" s="3477"/>
      <c r="C97" s="2831" t="s">
        <v>2697</v>
      </c>
      <c r="D97" s="2831" t="s">
        <v>2698</v>
      </c>
      <c r="E97" s="2857">
        <v>0.15</v>
      </c>
      <c r="F97" s="2857">
        <v>20</v>
      </c>
    </row>
    <row r="98" spans="1:6" ht="14">
      <c r="A98" s="2857">
        <v>24</v>
      </c>
      <c r="B98" s="3477"/>
      <c r="C98" s="2831" t="s">
        <v>2699</v>
      </c>
      <c r="D98" s="2831" t="s">
        <v>2700</v>
      </c>
      <c r="E98" s="2857">
        <v>0.1</v>
      </c>
      <c r="F98" s="2857">
        <v>15</v>
      </c>
    </row>
    <row r="99" spans="1:6" ht="26">
      <c r="A99" s="2857">
        <v>25</v>
      </c>
      <c r="B99" s="3477"/>
      <c r="C99" s="2831" t="s">
        <v>2701</v>
      </c>
      <c r="D99" s="2831" t="s">
        <v>2702</v>
      </c>
      <c r="E99" s="2857">
        <v>0.1</v>
      </c>
      <c r="F99" s="2857">
        <v>15</v>
      </c>
    </row>
    <row r="100" spans="1:6" ht="26">
      <c r="A100" s="2857">
        <v>26</v>
      </c>
      <c r="B100" s="3477"/>
      <c r="C100" s="2831" t="s">
        <v>2703</v>
      </c>
      <c r="D100" s="2831" t="s">
        <v>2704</v>
      </c>
      <c r="E100" s="2857">
        <v>0.1</v>
      </c>
      <c r="F100" s="2857">
        <v>15</v>
      </c>
    </row>
    <row r="101" spans="1:6" ht="26">
      <c r="A101" s="2857">
        <v>27</v>
      </c>
      <c r="B101" s="3477"/>
      <c r="C101" s="2831" t="s">
        <v>2705</v>
      </c>
      <c r="D101" s="2831" t="s">
        <v>2706</v>
      </c>
      <c r="E101" s="2857">
        <v>0.1</v>
      </c>
      <c r="F101" s="2857">
        <v>15</v>
      </c>
    </row>
    <row r="102" spans="1:6" ht="26">
      <c r="A102" s="2857">
        <v>28</v>
      </c>
      <c r="B102" s="3477"/>
      <c r="C102" s="2831" t="s">
        <v>2707</v>
      </c>
      <c r="D102" s="2831" t="s">
        <v>2708</v>
      </c>
      <c r="E102" s="2857">
        <v>0.1</v>
      </c>
      <c r="F102" s="2857">
        <v>15</v>
      </c>
    </row>
    <row r="103" spans="1:6" ht="26">
      <c r="A103" s="2857">
        <v>29</v>
      </c>
      <c r="B103" s="3477"/>
      <c r="C103" s="2831" t="s">
        <v>2709</v>
      </c>
      <c r="D103" s="2831" t="s">
        <v>2710</v>
      </c>
      <c r="E103" s="2857">
        <v>0.1</v>
      </c>
      <c r="F103" s="2857">
        <v>15</v>
      </c>
    </row>
    <row r="104" spans="1:6" ht="26">
      <c r="A104" s="2857">
        <v>30</v>
      </c>
      <c r="B104" s="3477"/>
      <c r="C104" s="2831" t="s">
        <v>2711</v>
      </c>
      <c r="D104" s="2831" t="s">
        <v>2712</v>
      </c>
      <c r="E104" s="2857">
        <v>0.1</v>
      </c>
      <c r="F104" s="2857">
        <v>15</v>
      </c>
    </row>
    <row r="105" spans="1:6" ht="26">
      <c r="A105" s="2857">
        <v>31</v>
      </c>
      <c r="B105" s="3477"/>
      <c r="C105" s="2831" t="s">
        <v>2713</v>
      </c>
      <c r="D105" s="2831" t="s">
        <v>2714</v>
      </c>
      <c r="E105" s="2857">
        <v>0.1</v>
      </c>
      <c r="F105" s="2857">
        <v>15</v>
      </c>
    </row>
    <row r="106" spans="1:6" ht="26">
      <c r="A106" s="2857">
        <v>32</v>
      </c>
      <c r="B106" s="3477"/>
      <c r="C106" s="2831" t="s">
        <v>2715</v>
      </c>
      <c r="D106" s="2831" t="s">
        <v>2716</v>
      </c>
      <c r="E106" s="2857">
        <v>0.1</v>
      </c>
      <c r="F106" s="2857">
        <v>15</v>
      </c>
    </row>
    <row r="107" spans="1:6" ht="26">
      <c r="A107" s="2857">
        <v>33</v>
      </c>
      <c r="B107" s="3477"/>
      <c r="C107" s="2831" t="s">
        <v>2717</v>
      </c>
      <c r="D107" s="2831" t="s">
        <v>2718</v>
      </c>
      <c r="E107" s="2857">
        <v>0.1</v>
      </c>
      <c r="F107" s="2857">
        <v>15</v>
      </c>
    </row>
    <row r="108" spans="1:6" ht="26">
      <c r="A108" s="2857">
        <v>34</v>
      </c>
      <c r="B108" s="3476"/>
      <c r="C108" s="2831" t="s">
        <v>2719</v>
      </c>
      <c r="D108" s="2831" t="s">
        <v>2720</v>
      </c>
      <c r="E108" s="2857">
        <v>0.1</v>
      </c>
      <c r="F108" s="2857">
        <v>15</v>
      </c>
    </row>
    <row r="109" spans="1:6" ht="26">
      <c r="A109" s="2857">
        <v>35</v>
      </c>
      <c r="B109" s="3475" t="s">
        <v>2721</v>
      </c>
      <c r="C109" s="2857" t="s">
        <v>2722</v>
      </c>
      <c r="D109" s="2831" t="s">
        <v>2723</v>
      </c>
      <c r="E109" s="2857">
        <v>0.15</v>
      </c>
      <c r="F109" s="2857">
        <v>20</v>
      </c>
    </row>
    <row r="110" spans="1:6" ht="26">
      <c r="A110" s="2857">
        <v>36</v>
      </c>
      <c r="B110" s="3477"/>
      <c r="C110" s="2857" t="s">
        <v>2724</v>
      </c>
      <c r="D110" s="2831" t="s">
        <v>2725</v>
      </c>
      <c r="E110" s="2857">
        <v>0.15</v>
      </c>
      <c r="F110" s="2857">
        <v>20</v>
      </c>
    </row>
    <row r="111" spans="1:6" ht="26">
      <c r="A111" s="2857">
        <v>37</v>
      </c>
      <c r="B111" s="3477"/>
      <c r="C111" s="2857" t="s">
        <v>2726</v>
      </c>
      <c r="D111" s="2831" t="s">
        <v>2727</v>
      </c>
      <c r="E111" s="2857">
        <v>0.15</v>
      </c>
      <c r="F111" s="2857">
        <v>20</v>
      </c>
    </row>
    <row r="112" spans="1:6" ht="14">
      <c r="A112" s="2857">
        <v>38</v>
      </c>
      <c r="B112" s="3477"/>
      <c r="C112" s="2857" t="s">
        <v>2728</v>
      </c>
      <c r="D112" s="2831" t="s">
        <v>2729</v>
      </c>
      <c r="E112" s="2857">
        <v>0.1</v>
      </c>
      <c r="F112" s="2857">
        <v>15</v>
      </c>
    </row>
    <row r="113" spans="1:6" ht="26">
      <c r="A113" s="2857">
        <v>39</v>
      </c>
      <c r="B113" s="3477"/>
      <c r="C113" s="2857" t="s">
        <v>2730</v>
      </c>
      <c r="D113" s="2831" t="s">
        <v>2731</v>
      </c>
      <c r="E113" s="2857">
        <v>0.1</v>
      </c>
      <c r="F113" s="2857">
        <v>15</v>
      </c>
    </row>
    <row r="114" spans="1:6" ht="26">
      <c r="A114" s="2857">
        <v>40</v>
      </c>
      <c r="B114" s="3476"/>
      <c r="C114" s="2857" t="s">
        <v>2732</v>
      </c>
      <c r="D114" s="2831" t="s">
        <v>2733</v>
      </c>
      <c r="E114" s="2857">
        <v>0.1</v>
      </c>
      <c r="F114" s="2857">
        <v>15</v>
      </c>
    </row>
    <row r="115" spans="1:6" ht="26">
      <c r="A115" s="2857">
        <v>41</v>
      </c>
      <c r="B115" s="3474" t="s">
        <v>2734</v>
      </c>
      <c r="C115" s="2857" t="s">
        <v>2735</v>
      </c>
      <c r="D115" s="2831" t="s">
        <v>2736</v>
      </c>
      <c r="E115" s="2857">
        <v>0.1</v>
      </c>
      <c r="F115" s="2857">
        <v>15</v>
      </c>
    </row>
    <row r="116" spans="1:6" ht="14">
      <c r="A116" s="2857">
        <v>42</v>
      </c>
      <c r="B116" s="3474"/>
      <c r="C116" s="2857" t="s">
        <v>2737</v>
      </c>
      <c r="D116" s="2831" t="s">
        <v>2738</v>
      </c>
      <c r="E116" s="2857">
        <v>0.1</v>
      </c>
      <c r="F116" s="2857">
        <v>15</v>
      </c>
    </row>
    <row r="117" spans="1:6" ht="26">
      <c r="A117" s="2857">
        <v>43</v>
      </c>
      <c r="B117" s="3474"/>
      <c r="C117" s="2857" t="s">
        <v>2739</v>
      </c>
      <c r="D117" s="2831" t="s">
        <v>2740</v>
      </c>
      <c r="E117" s="2857">
        <v>0.1</v>
      </c>
      <c r="F117" s="2857">
        <v>15</v>
      </c>
    </row>
    <row r="118" spans="1:6" ht="26">
      <c r="A118" s="2857">
        <v>44</v>
      </c>
      <c r="B118" s="3475" t="s">
        <v>2741</v>
      </c>
      <c r="C118" s="2857" t="s">
        <v>2742</v>
      </c>
      <c r="D118" s="2831" t="s">
        <v>2743</v>
      </c>
      <c r="E118" s="2857">
        <v>0.1</v>
      </c>
      <c r="F118" s="2857">
        <v>15</v>
      </c>
    </row>
    <row r="119" spans="1:6" ht="26">
      <c r="A119" s="2857">
        <v>45</v>
      </c>
      <c r="B119" s="3476"/>
      <c r="C119" s="2831" t="s">
        <v>2744</v>
      </c>
      <c r="D119" s="2831" t="s">
        <v>2745</v>
      </c>
      <c r="E119" s="2857">
        <v>0.1</v>
      </c>
      <c r="F119" s="2857">
        <v>15</v>
      </c>
    </row>
    <row r="120" spans="1:6" ht="26">
      <c r="A120" s="2857">
        <v>46</v>
      </c>
      <c r="B120" s="3475" t="s">
        <v>2746</v>
      </c>
      <c r="C120" s="2857" t="s">
        <v>2747</v>
      </c>
      <c r="D120" s="2831" t="s">
        <v>2748</v>
      </c>
      <c r="E120" s="2857">
        <v>0.1</v>
      </c>
      <c r="F120" s="2857">
        <v>15</v>
      </c>
    </row>
    <row r="121" spans="1:6" ht="26">
      <c r="A121" s="2857">
        <v>47</v>
      </c>
      <c r="B121" s="3476"/>
      <c r="C121" s="2857" t="s">
        <v>2749</v>
      </c>
      <c r="D121" s="2831" t="s">
        <v>2750</v>
      </c>
      <c r="E121" s="2857">
        <v>0.1</v>
      </c>
      <c r="F121" s="2857">
        <v>15</v>
      </c>
    </row>
    <row r="122" spans="1:6" ht="26">
      <c r="A122" s="2857">
        <v>48</v>
      </c>
      <c r="B122" s="3475" t="s">
        <v>2751</v>
      </c>
      <c r="C122" s="2857" t="s">
        <v>2752</v>
      </c>
      <c r="D122" s="2831" t="s">
        <v>2753</v>
      </c>
      <c r="E122" s="2857">
        <v>0.1</v>
      </c>
      <c r="F122" s="2857">
        <v>15</v>
      </c>
    </row>
    <row r="123" spans="1:6" ht="14">
      <c r="A123" s="2857">
        <v>49</v>
      </c>
      <c r="B123" s="3476"/>
      <c r="C123" s="2857" t="s">
        <v>2754</v>
      </c>
      <c r="D123" s="2831" t="s">
        <v>2755</v>
      </c>
      <c r="E123" s="2857">
        <v>0.1</v>
      </c>
      <c r="F123" s="2857">
        <v>15</v>
      </c>
    </row>
    <row r="124" spans="1:6" ht="26">
      <c r="A124" s="2857">
        <v>50</v>
      </c>
      <c r="B124" s="3474" t="s">
        <v>2756</v>
      </c>
      <c r="C124" s="2857" t="s">
        <v>2757</v>
      </c>
      <c r="D124" s="2831" t="s">
        <v>2758</v>
      </c>
      <c r="E124" s="2857">
        <v>0.1</v>
      </c>
      <c r="F124" s="2857">
        <v>15</v>
      </c>
    </row>
    <row r="125" spans="1:6" ht="26">
      <c r="A125" s="2857">
        <v>51</v>
      </c>
      <c r="B125" s="3474"/>
      <c r="C125" s="2857" t="s">
        <v>2759</v>
      </c>
      <c r="D125" s="2831" t="s">
        <v>2760</v>
      </c>
      <c r="E125" s="2857">
        <v>0.1</v>
      </c>
      <c r="F125" s="2857">
        <v>15</v>
      </c>
    </row>
    <row r="126" spans="1:6" ht="26">
      <c r="A126" s="2857">
        <v>52</v>
      </c>
      <c r="B126" s="3474" t="s">
        <v>2761</v>
      </c>
      <c r="C126" s="2857" t="s">
        <v>2762</v>
      </c>
      <c r="D126" s="2831" t="s">
        <v>2763</v>
      </c>
      <c r="E126" s="2857">
        <v>0.1</v>
      </c>
      <c r="F126" s="2857">
        <v>15</v>
      </c>
    </row>
    <row r="127" spans="1:6" ht="26">
      <c r="A127" s="2857">
        <v>53</v>
      </c>
      <c r="B127" s="3474"/>
      <c r="C127" s="2857" t="s">
        <v>2764</v>
      </c>
      <c r="D127" s="2831" t="s">
        <v>2765</v>
      </c>
      <c r="E127" s="2857">
        <v>0.1</v>
      </c>
      <c r="F127" s="2857">
        <v>15</v>
      </c>
    </row>
    <row r="128" spans="1:6" ht="26">
      <c r="A128" s="2857">
        <v>54</v>
      </c>
      <c r="B128" s="2857" t="s">
        <v>2766</v>
      </c>
      <c r="C128" s="2857" t="s">
        <v>2767</v>
      </c>
      <c r="D128" s="2831" t="s">
        <v>2768</v>
      </c>
      <c r="E128" s="2857">
        <v>0.1</v>
      </c>
      <c r="F128" s="2857">
        <v>15</v>
      </c>
    </row>
    <row r="129" spans="1:6" ht="14">
      <c r="A129" s="2857">
        <v>55</v>
      </c>
      <c r="B129" s="3474" t="s">
        <v>2769</v>
      </c>
      <c r="C129" s="2857" t="s">
        <v>2770</v>
      </c>
      <c r="D129" s="2831" t="s">
        <v>2771</v>
      </c>
      <c r="E129" s="2857">
        <v>0.1</v>
      </c>
      <c r="F129" s="2857">
        <v>15</v>
      </c>
    </row>
    <row r="130" spans="1:6" ht="14">
      <c r="A130" s="2857">
        <v>56</v>
      </c>
      <c r="B130" s="3474"/>
      <c r="C130" s="2857" t="s">
        <v>2772</v>
      </c>
      <c r="D130" s="2831" t="s">
        <v>2773</v>
      </c>
      <c r="E130" s="2857">
        <v>0.1</v>
      </c>
      <c r="F130" s="2857">
        <v>15</v>
      </c>
    </row>
    <row r="131" spans="1:6" ht="26">
      <c r="A131" s="2857">
        <v>57</v>
      </c>
      <c r="B131" s="3474"/>
      <c r="C131" s="2857" t="s">
        <v>2774</v>
      </c>
      <c r="D131" s="2831" t="s">
        <v>2775</v>
      </c>
      <c r="E131" s="2857">
        <v>0.1</v>
      </c>
      <c r="F131" s="2857">
        <v>15</v>
      </c>
    </row>
    <row r="132" spans="1:6" ht="26">
      <c r="A132" s="2857">
        <v>58</v>
      </c>
      <c r="B132" s="3474" t="s">
        <v>2776</v>
      </c>
      <c r="C132" s="2857" t="s">
        <v>2777</v>
      </c>
      <c r="D132" s="2831" t="s">
        <v>2778</v>
      </c>
      <c r="E132" s="2857">
        <v>0.1</v>
      </c>
      <c r="F132" s="2857">
        <v>15</v>
      </c>
    </row>
    <row r="133" spans="1:6" ht="26">
      <c r="A133" s="2857">
        <v>59</v>
      </c>
      <c r="B133" s="3474"/>
      <c r="C133" s="2857" t="s">
        <v>2779</v>
      </c>
      <c r="D133" s="2831" t="s">
        <v>2780</v>
      </c>
      <c r="E133" s="2857">
        <v>0.1</v>
      </c>
      <c r="F133" s="2857">
        <v>15</v>
      </c>
    </row>
    <row r="134" spans="1:6" ht="26">
      <c r="A134" s="2857">
        <v>60</v>
      </c>
      <c r="B134" s="3475" t="s">
        <v>2781</v>
      </c>
      <c r="C134" s="2857" t="s">
        <v>2782</v>
      </c>
      <c r="D134" s="2831" t="s">
        <v>2783</v>
      </c>
      <c r="E134" s="2857">
        <v>0.1</v>
      </c>
      <c r="F134" s="2857">
        <v>15</v>
      </c>
    </row>
    <row r="135" spans="1:6" ht="26">
      <c r="A135" s="2857">
        <v>61</v>
      </c>
      <c r="B135" s="3476"/>
      <c r="C135" s="2857" t="s">
        <v>2784</v>
      </c>
      <c r="D135" s="2831" t="s">
        <v>2785</v>
      </c>
      <c r="E135" s="2857">
        <v>0.1</v>
      </c>
      <c r="F135" s="2857">
        <v>15</v>
      </c>
    </row>
    <row r="136" spans="1:6" ht="26">
      <c r="A136" s="2857">
        <v>62</v>
      </c>
      <c r="B136" s="2857" t="s">
        <v>2786</v>
      </c>
      <c r="C136" s="2857" t="s">
        <v>2787</v>
      </c>
      <c r="D136" s="2831" t="s">
        <v>2788</v>
      </c>
      <c r="E136" s="2857">
        <v>0.1</v>
      </c>
      <c r="F136" s="2857">
        <v>15</v>
      </c>
    </row>
    <row r="137" spans="1:6" ht="26">
      <c r="A137" s="2857">
        <v>63</v>
      </c>
      <c r="B137" s="3474" t="s">
        <v>2789</v>
      </c>
      <c r="C137" s="2857" t="s">
        <v>2790</v>
      </c>
      <c r="D137" s="2831" t="s">
        <v>2791</v>
      </c>
      <c r="E137" s="2857">
        <v>0.1</v>
      </c>
      <c r="F137" s="2857">
        <v>15</v>
      </c>
    </row>
    <row r="138" spans="1:6" ht="14">
      <c r="A138" s="2857">
        <v>64</v>
      </c>
      <c r="B138" s="3474"/>
      <c r="C138" s="2857" t="s">
        <v>2792</v>
      </c>
      <c r="D138" s="2831" t="s">
        <v>2793</v>
      </c>
      <c r="E138" s="2857">
        <v>0.1</v>
      </c>
      <c r="F138" s="2857">
        <v>15</v>
      </c>
    </row>
    <row r="139" spans="1:6" ht="26">
      <c r="A139" s="2857">
        <v>65</v>
      </c>
      <c r="B139" s="2857" t="s">
        <v>2794</v>
      </c>
      <c r="C139" s="2857" t="s">
        <v>2795</v>
      </c>
      <c r="D139" s="2831" t="s">
        <v>2796</v>
      </c>
      <c r="E139" s="2857">
        <v>0.1</v>
      </c>
      <c r="F139" s="2857">
        <v>15</v>
      </c>
    </row>
    <row r="140" spans="1:6" ht="14">
      <c r="A140" s="2857"/>
      <c r="B140" s="2857"/>
      <c r="C140" s="2857"/>
      <c r="D140" s="2857"/>
      <c r="E140" s="2857" t="s">
        <v>2797</v>
      </c>
      <c r="F140" s="285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1.2302</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1.1198999999999999</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25243</v>
      </c>
      <c r="C2" s="2" t="s">
        <v>106</v>
      </c>
      <c r="D2" s="191"/>
      <c r="E2" s="191"/>
      <c r="F2" s="191"/>
      <c r="G2" s="191"/>
    </row>
    <row r="3" spans="1:7" s="192" customFormat="1" ht="18" customHeight="1" thickBot="1">
      <c r="A3" s="195" t="s">
        <v>58</v>
      </c>
      <c r="B3" s="196">
        <f ca="1">ROUND(B2*10000/'数据-汇总表'!E3,0)</f>
        <v>92170</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120</v>
      </c>
      <c r="F9" s="213"/>
      <c r="G9" s="218"/>
    </row>
    <row r="10" spans="1:7" s="206" customFormat="1" ht="13.5" customHeight="1">
      <c r="A10" s="733" t="s">
        <v>356</v>
      </c>
      <c r="B10" s="216" t="s">
        <v>67</v>
      </c>
      <c r="C10" s="217">
        <f>ROUND(D10*E10/10000,0)</f>
        <v>44</v>
      </c>
      <c r="D10" s="795">
        <f>'数据-汇总表'!E6</f>
        <v>2738.73</v>
      </c>
      <c r="E10" s="217">
        <f>'数据-取费表'!B28</f>
        <v>160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55</v>
      </c>
      <c r="D19" s="204">
        <f>'数据-汇总表'!E3</f>
        <v>2738.73</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626</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6">
      <c r="A25" s="734" t="s">
        <v>348</v>
      </c>
      <c r="B25" s="207" t="s">
        <v>420</v>
      </c>
      <c r="C25" s="1042">
        <f ca="1">ROUND(IF('数据-取费表'!B22&lt;=1,C20*F22*'数据-取费表'!B23/2,C20*(POWER((1+F22),'数据-取费表'!B23/2)-1)),0)</f>
        <v>6</v>
      </c>
      <c r="D25" s="230"/>
      <c r="E25" s="233"/>
      <c r="F25" s="231"/>
      <c r="G25" s="234" t="s">
        <v>83</v>
      </c>
    </row>
    <row r="26" spans="1:7" s="206" customFormat="1" ht="13">
      <c r="A26" s="734" t="s">
        <v>350</v>
      </c>
      <c r="B26" s="207" t="s">
        <v>422</v>
      </c>
      <c r="C26" s="230">
        <f ca="1">ROUND(IF('数据-取费表'!B22&lt;=1,F21*F22*'数据-取费表'!B23/2,F21*(POWER((1+F22),'数据-取费表'!B23/2)-1)),4)</f>
        <v>2.9999999999999997E-4</v>
      </c>
      <c r="D26" s="230"/>
      <c r="E26" s="233"/>
      <c r="F26" s="231"/>
      <c r="G26" s="235"/>
    </row>
    <row r="27" spans="1:7" s="206" customFormat="1" ht="27">
      <c r="A27" s="731" t="s">
        <v>342</v>
      </c>
      <c r="B27" s="236" t="s">
        <v>85</v>
      </c>
      <c r="C27" s="237">
        <f>C28</f>
        <v>1054</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1054</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24568</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788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685</v>
      </c>
      <c r="D34" s="209"/>
      <c r="E34" s="212"/>
      <c r="F34" s="249">
        <f>IF('数据-取费表'!B24=0,1,'数据-取费表'!N16)</f>
        <v>1</v>
      </c>
      <c r="G34" s="211" t="s">
        <v>89</v>
      </c>
    </row>
    <row r="35" spans="1:7" ht="13.5" customHeight="1">
      <c r="A35" s="734" t="s">
        <v>351</v>
      </c>
      <c r="B35" s="207" t="s">
        <v>33</v>
      </c>
      <c r="C35" s="212">
        <f>ROUND(C34*F35,0)</f>
        <v>34</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55</v>
      </c>
      <c r="D37" s="209">
        <f>'数据-汇总表'!E3</f>
        <v>2738.73</v>
      </c>
      <c r="E37" s="241">
        <f>'数据-取费表'!B35</f>
        <v>200</v>
      </c>
      <c r="F37" s="251"/>
      <c r="G37" s="253" t="s">
        <v>92</v>
      </c>
    </row>
    <row r="38" spans="1:7" ht="13.5" customHeight="1">
      <c r="A38" s="734" t="s">
        <v>354</v>
      </c>
      <c r="B38" s="207" t="s">
        <v>36</v>
      </c>
      <c r="C38" s="212">
        <f>ROUND(C34*F38,0)</f>
        <v>14</v>
      </c>
      <c r="D38" s="212"/>
      <c r="E38" s="212"/>
      <c r="F38" s="251">
        <f>'数据-取费表'!B36</f>
        <v>0.02</v>
      </c>
      <c r="G38" s="211" t="s">
        <v>90</v>
      </c>
    </row>
    <row r="39" spans="1:7" s="206" customFormat="1" ht="13.5" customHeight="1">
      <c r="A39" s="731" t="s">
        <v>338</v>
      </c>
      <c r="B39" s="202" t="s">
        <v>77</v>
      </c>
      <c r="C39" s="224">
        <f>ROUND(C33*F20,0)</f>
        <v>16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12</v>
      </c>
      <c r="D42" s="230"/>
      <c r="E42" s="230"/>
      <c r="F42" s="231"/>
      <c r="G42" s="3351" t="s">
        <v>94</v>
      </c>
    </row>
    <row r="43" spans="1:7" ht="13.5" customHeight="1">
      <c r="A43" s="734" t="s">
        <v>347</v>
      </c>
      <c r="B43" s="207" t="s">
        <v>426</v>
      </c>
      <c r="C43" s="230">
        <f ca="1">ROUND(IF('数据-取费表'!B22&lt;=1,C39*F22*'数据-取费表'!B21/2,C39*(POWER((1+F22),'数据-取费表'!B21/2)-1)),0)</f>
        <v>0</v>
      </c>
      <c r="D43" s="230"/>
      <c r="E43" s="230"/>
      <c r="F43" s="231"/>
      <c r="G43" s="3352"/>
    </row>
    <row r="44" spans="1:7" ht="13.5" customHeight="1">
      <c r="A44" s="734" t="s">
        <v>348</v>
      </c>
      <c r="B44" s="207" t="s">
        <v>428</v>
      </c>
      <c r="C44" s="230">
        <f ca="1">ROUND(IF('数据-取费表'!B22&lt;=1,C40*F22*'数据-取费表'!B21/2,C40*(POWER((1+F22),'数据-取费表'!B21/2)-1)),4)</f>
        <v>2.9999999999999997E-4</v>
      </c>
      <c r="D44" s="230"/>
      <c r="E44" s="230"/>
      <c r="F44" s="231"/>
      <c r="G44" s="3353"/>
    </row>
    <row r="45" spans="1:7" s="206" customFormat="1" ht="13.5" customHeight="1">
      <c r="A45" s="731" t="s">
        <v>341</v>
      </c>
      <c r="B45" s="236" t="s">
        <v>85</v>
      </c>
      <c r="C45" s="237">
        <f>C46</f>
        <v>40</v>
      </c>
      <c r="D45" s="227">
        <f>C47</f>
        <v>1E-3</v>
      </c>
      <c r="E45" s="228" t="s">
        <v>102</v>
      </c>
      <c r="F45" s="238"/>
      <c r="G45" s="239" t="s">
        <v>434</v>
      </c>
    </row>
    <row r="46" spans="1:7" s="206" customFormat="1" ht="13.5" customHeight="1">
      <c r="A46" s="734" t="s">
        <v>349</v>
      </c>
      <c r="B46" s="240" t="s">
        <v>427</v>
      </c>
      <c r="C46" s="241">
        <f>ROUND((C33+C39)*F27,0)</f>
        <v>40</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924</v>
      </c>
      <c r="D49" s="224"/>
      <c r="E49" s="224"/>
      <c r="F49" s="256"/>
      <c r="G49" s="226" t="s">
        <v>435</v>
      </c>
    </row>
    <row r="50" spans="1:7" s="250" customFormat="1" ht="26">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675</v>
      </c>
      <c r="D51" s="224"/>
      <c r="E51" s="224"/>
      <c r="F51" s="256"/>
      <c r="G51" s="226" t="s">
        <v>37</v>
      </c>
    </row>
    <row r="52" spans="1:7" s="200" customFormat="1" ht="16.5" thickBot="1">
      <c r="A52" s="257" t="s">
        <v>38</v>
      </c>
      <c r="B52" s="258"/>
      <c r="C52" s="259">
        <f ca="1">C31+C51</f>
        <v>25243</v>
      </c>
      <c r="D52" s="258"/>
      <c r="E52" s="258"/>
      <c r="F52" s="258"/>
      <c r="G52" s="260"/>
    </row>
    <row r="55" spans="1:7" ht="15.5">
      <c r="B55" s="262" t="s">
        <v>39</v>
      </c>
      <c r="C55" s="263"/>
    </row>
    <row r="56" spans="1:7" ht="13">
      <c r="B56" s="265" t="s">
        <v>40</v>
      </c>
      <c r="C56" s="266">
        <f ca="1">ROUND(C51/C52,3)</f>
        <v>2.7E-2</v>
      </c>
    </row>
    <row r="57" spans="1:7" ht="13">
      <c r="B57" s="265" t="s">
        <v>41</v>
      </c>
      <c r="C57" s="267">
        <f ca="1">1-C56</f>
        <v>0.97299999999999998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89" customWidth="1"/>
    <col min="2" max="2" width="37.26953125" style="1389" customWidth="1"/>
    <col min="3" max="3" width="11.36328125" style="1389" customWidth="1"/>
    <col min="4" max="4" width="31.7265625" style="1389" customWidth="1"/>
    <col min="5" max="5" width="0.453125" style="1389" customWidth="1"/>
    <col min="6" max="7" width="13" style="1389" customWidth="1"/>
    <col min="8" max="16384" width="9" style="1389"/>
  </cols>
  <sheetData>
    <row r="1" spans="1:5" ht="18">
      <c r="A1" s="1388"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8.5" thickBot="1">
      <c r="A4" s="1390"/>
      <c r="B4" s="3173" t="s">
        <v>917</v>
      </c>
      <c r="C4" s="3173"/>
      <c r="D4" s="3173"/>
      <c r="E4" s="1390"/>
    </row>
    <row r="5" spans="1:5" ht="16" thickTop="1">
      <c r="B5" s="3171" t="s">
        <v>909</v>
      </c>
      <c r="C5" s="1391" t="s">
        <v>910</v>
      </c>
      <c r="D5" s="797">
        <f ca="1">结果表!H101</f>
        <v>1373</v>
      </c>
    </row>
    <row r="6" spans="1:5" ht="15.5">
      <c r="B6" s="3171"/>
      <c r="C6" s="1391" t="s">
        <v>911</v>
      </c>
      <c r="D6" s="797" t="str">
        <f ca="1">NUMBERSTRING(INT(D5*10000),2)&amp;"元整"</f>
        <v>壹仟叁佰柒拾叁万元整</v>
      </c>
    </row>
    <row r="7" spans="1:5" ht="15.5">
      <c r="B7" s="3176"/>
      <c r="C7" s="1392" t="s">
        <v>912</v>
      </c>
      <c r="D7" s="798">
        <f ca="1">结果表!H102</f>
        <v>5013</v>
      </c>
    </row>
    <row r="8" spans="1:5" ht="15.5">
      <c r="B8" s="3177" t="str">
        <f>结果表!E103</f>
        <v>2.估价师知悉的法定优先受偿款</v>
      </c>
      <c r="C8" s="1393" t="s">
        <v>913</v>
      </c>
      <c r="D8" s="798">
        <f>结果表!H103</f>
        <v>0</v>
      </c>
    </row>
    <row r="9" spans="1:5" ht="15.5">
      <c r="B9" s="3179"/>
      <c r="C9" s="1391" t="s">
        <v>911</v>
      </c>
      <c r="D9" s="797" t="str">
        <f>NUMBERSTRING(INT(D8*10000),2)&amp;"元整"</f>
        <v>零元整</v>
      </c>
    </row>
    <row r="10" spans="1:5" ht="16">
      <c r="B10" s="1394" t="s">
        <v>916</v>
      </c>
      <c r="C10" s="1395" t="s">
        <v>914</v>
      </c>
      <c r="D10" s="799">
        <f>结果表!H104</f>
        <v>0</v>
      </c>
    </row>
    <row r="11" spans="1:5" ht="16">
      <c r="B11" s="1394" t="s">
        <v>918</v>
      </c>
      <c r="C11" s="1395" t="s">
        <v>919</v>
      </c>
      <c r="D11" s="799">
        <f>结果表!H105</f>
        <v>0</v>
      </c>
    </row>
    <row r="12" spans="1:5" ht="16">
      <c r="B12" s="1394" t="s">
        <v>920</v>
      </c>
      <c r="C12" s="1395" t="s">
        <v>919</v>
      </c>
      <c r="D12" s="799">
        <f>结果表!H106</f>
        <v>0</v>
      </c>
    </row>
    <row r="13" spans="1:5" ht="15.5">
      <c r="B13" s="3170" t="str">
        <f>结果表!E107</f>
        <v>3.房地产抵押价值</v>
      </c>
      <c r="C13" s="1396" t="s">
        <v>910</v>
      </c>
      <c r="D13" s="800">
        <f ca="1">结果表!H107</f>
        <v>1373</v>
      </c>
    </row>
    <row r="14" spans="1:5" ht="15.5">
      <c r="B14" s="3171"/>
      <c r="C14" s="1391" t="s">
        <v>911</v>
      </c>
      <c r="D14" s="797" t="str">
        <f ca="1">NUMBERSTRING(INT(D13*10000),2)&amp;"元整"</f>
        <v>壹仟叁佰柒拾叁万元整</v>
      </c>
    </row>
    <row r="15" spans="1:5" ht="15.5">
      <c r="B15" s="3176"/>
      <c r="C15" s="1392" t="s">
        <v>921</v>
      </c>
      <c r="D15" s="806">
        <f ca="1">结果表!H108</f>
        <v>5013</v>
      </c>
    </row>
    <row r="16" spans="1:5" ht="15">
      <c r="B16" s="3177" t="str">
        <f>结果表!E109</f>
        <v>——</v>
      </c>
      <c r="C16" s="1396" t="s">
        <v>922</v>
      </c>
      <c r="D16" s="1397" t="str">
        <f>结果表!H109</f>
        <v>——</v>
      </c>
    </row>
    <row r="17" spans="1:5" ht="15.5">
      <c r="B17" s="3178"/>
      <c r="C17" s="1391" t="s">
        <v>923</v>
      </c>
      <c r="D17" s="797" t="e">
        <f>NUMBERSTRING(INT(D16*10000),2)&amp;"元整"</f>
        <v>#VALUE!</v>
      </c>
    </row>
    <row r="18" spans="1:5" ht="15.5">
      <c r="B18" s="3179"/>
      <c r="C18" s="1392" t="s">
        <v>912</v>
      </c>
      <c r="D18" s="806" t="str">
        <f>结果表!H110</f>
        <v>——</v>
      </c>
    </row>
    <row r="19" spans="1:5" ht="15.5">
      <c r="B19" s="3170" t="str">
        <f>结果表!E111</f>
        <v>——</v>
      </c>
      <c r="C19" s="1396" t="s">
        <v>910</v>
      </c>
      <c r="D19" s="798" t="str">
        <f>结果表!H111</f>
        <v>——</v>
      </c>
    </row>
    <row r="20" spans="1:5" ht="15.5">
      <c r="B20" s="3171"/>
      <c r="C20" s="1391" t="s">
        <v>923</v>
      </c>
      <c r="D20" s="797" t="e">
        <f>NUMBERSTRING(INT(D19*10000),2)&amp;"元整"</f>
        <v>#VALUE!</v>
      </c>
    </row>
    <row r="21" spans="1:5" ht="16" thickBot="1">
      <c r="B21" s="3172"/>
      <c r="C21" s="1398" t="s">
        <v>921</v>
      </c>
      <c r="D21" s="807" t="str">
        <f>结果表!H112</f>
        <v>——</v>
      </c>
    </row>
    <row r="22" spans="1:5" ht="14.5" thickTop="1">
      <c r="B22" s="1399" t="s">
        <v>924</v>
      </c>
    </row>
    <row r="24" spans="1:5" ht="1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488" t="s">
        <v>3181</v>
      </c>
      <c r="B1" s="3488"/>
    </row>
    <row r="2" spans="1:7" ht="14.5" thickBot="1">
      <c r="A2" s="2968"/>
      <c r="B2" s="2968"/>
    </row>
    <row r="3" spans="1:7" ht="14.5" thickBot="1">
      <c r="A3" s="2968"/>
      <c r="B3" s="2968"/>
      <c r="C3" s="2969" t="s">
        <v>2811</v>
      </c>
      <c r="D3" s="2969" t="s">
        <v>2867</v>
      </c>
      <c r="E3" s="2969" t="s">
        <v>2813</v>
      </c>
      <c r="F3" s="2969" t="s">
        <v>2868</v>
      </c>
      <c r="G3" s="2969" t="s">
        <v>2631</v>
      </c>
    </row>
    <row r="4" spans="1:7" ht="14.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489" t="s">
        <v>3232</v>
      </c>
      <c r="B1" s="3489"/>
      <c r="C1" s="3489"/>
      <c r="D1" s="3489"/>
      <c r="E1" s="3489"/>
      <c r="F1" s="3490"/>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F78DB-E1CD-4975-8E5F-C031D9665303}">
  <sheetPr>
    <tabColor rgb="FF7030A0"/>
  </sheetPr>
  <dimension ref="A1"/>
  <sheetViews>
    <sheetView workbookViewId="0"/>
  </sheetViews>
  <sheetFormatPr defaultRowHeight="1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4BC40-16A9-4FA7-826F-50B1855CB2F1}">
  <sheetPr>
    <tabColor rgb="FF7030A0"/>
  </sheetPr>
  <dimension ref="A1"/>
  <sheetViews>
    <sheetView workbookViewId="0">
      <selection activeCell="U28" sqref="U28"/>
    </sheetView>
  </sheetViews>
  <sheetFormatPr defaultRowHeight="14"/>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7">
        <f>基准地价修正!G23</f>
        <v>46022</v>
      </c>
      <c r="B1" s="2929" t="s">
        <v>3376</v>
      </c>
      <c r="C1" s="2930"/>
      <c r="D1" s="2930"/>
      <c r="E1" s="2930"/>
      <c r="F1" s="2930"/>
      <c r="G1" s="2930"/>
      <c r="H1" s="2930"/>
      <c r="I1" s="2930"/>
      <c r="J1" s="2896"/>
      <c r="K1" s="2930" t="s">
        <v>454</v>
      </c>
      <c r="L1" s="2930"/>
      <c r="M1" s="2930"/>
      <c r="N1" s="2930"/>
      <c r="O1" s="2930"/>
      <c r="P1" s="2930"/>
      <c r="Q1" s="2896"/>
      <c r="R1" s="3491" t="s">
        <v>456</v>
      </c>
      <c r="S1" s="3492"/>
      <c r="T1" s="3492"/>
      <c r="U1" s="3492"/>
      <c r="V1" s="3492"/>
      <c r="W1" s="3492"/>
      <c r="X1" s="2896"/>
      <c r="Y1" s="3491" t="s">
        <v>457</v>
      </c>
      <c r="Z1" s="3492"/>
      <c r="AA1" s="3492"/>
      <c r="AB1" s="3492"/>
      <c r="AC1" s="3492"/>
      <c r="AD1" s="3492"/>
    </row>
    <row r="2" spans="1:44" s="2009" customFormat="1" ht="14.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c r="AF2" t="s">
        <v>3401</v>
      </c>
      <c r="AG2" t="s">
        <v>673</v>
      </c>
      <c r="AH2" t="s">
        <v>21</v>
      </c>
      <c r="AI2" t="s">
        <v>3402</v>
      </c>
      <c r="AJ2" t="s">
        <v>3</v>
      </c>
      <c r="AK2" t="s">
        <v>3403</v>
      </c>
      <c r="AM2" t="s">
        <v>3401</v>
      </c>
      <c r="AN2" t="s">
        <v>673</v>
      </c>
      <c r="AO2" t="s">
        <v>21</v>
      </c>
      <c r="AP2" t="s">
        <v>3402</v>
      </c>
      <c r="AQ2" t="s">
        <v>3</v>
      </c>
      <c r="AR2" t="s">
        <v>3403</v>
      </c>
    </row>
    <row r="3" spans="1:44" s="2886" customFormat="1" ht="13">
      <c r="A3" s="2884" t="s">
        <v>2819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3">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3400</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
      <c r="A6" s="2907" t="s">
        <v>3414</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4" customFormat="1" ht="13">
      <c r="A7" s="2039" t="s">
        <v>3415</v>
      </c>
      <c r="B7" s="2030">
        <v>2025</v>
      </c>
      <c r="C7" s="2041">
        <v>2</v>
      </c>
      <c r="D7" s="2006">
        <v>0.05</v>
      </c>
      <c r="E7" s="2006">
        <v>-0.62</v>
      </c>
      <c r="F7" s="2006">
        <v>-1.05</v>
      </c>
      <c r="G7" s="2006">
        <v>0.09</v>
      </c>
      <c r="H7" s="2006">
        <v>0.17</v>
      </c>
      <c r="I7" s="2007">
        <f t="shared" ref="I7" si="37">F7</f>
        <v>-1.05</v>
      </c>
      <c r="J7" s="2906"/>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6"/>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6"/>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4" customFormat="1" ht="13">
      <c r="A8" s="2039" t="s">
        <v>3406</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4" customFormat="1" ht="13">
      <c r="A9" s="2039" t="s">
        <v>3405</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4" customFormat="1" ht="13">
      <c r="A10" s="2039" t="s">
        <v>3380</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4" customFormat="1" ht="13">
      <c r="A11" s="2905" t="s">
        <v>3374</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4" customFormat="1" ht="13">
      <c r="A12" s="2905" t="s">
        <v>3373</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4" customFormat="1" ht="13">
      <c r="A13" s="2905" t="s">
        <v>3369</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4" customFormat="1" ht="13">
      <c r="A14" s="2905" t="s">
        <v>3368</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4" customFormat="1" ht="13">
      <c r="A15" s="2905" t="s">
        <v>3366</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4" customFormat="1" ht="13">
      <c r="A16" s="2905" t="s">
        <v>3365</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4" customFormat="1" ht="13">
      <c r="A17" s="2905" t="s">
        <v>3364</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4" customFormat="1" ht="13">
      <c r="A18" s="2905" t="s">
        <v>3362</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4" customFormat="1" ht="13">
      <c r="A19" s="2905" t="s">
        <v>3353</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4" customFormat="1" ht="13">
      <c r="A20" s="2905" t="s">
        <v>2820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4" customFormat="1" ht="13">
      <c r="A21" s="2905" t="s">
        <v>2821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4" customFormat="1" ht="13">
      <c r="A22" s="2905" t="s">
        <v>2822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4" customFormat="1" ht="13">
      <c r="A23" s="2905" t="s">
        <v>2823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5" thickTop="1"/>
    <row r="26" spans="1:44">
      <c r="A26" s="3143" t="s">
        <v>3379</v>
      </c>
    </row>
    <row r="27" spans="1:44">
      <c r="I27" s="1404" t="s">
        <v>2825</v>
      </c>
    </row>
    <row r="29" spans="1:44" s="2008" customFormat="1" ht="13">
      <c r="B29" s="2929" t="s">
        <v>3377</v>
      </c>
      <c r="C29" s="2930"/>
      <c r="D29" s="2930"/>
      <c r="E29" s="2930"/>
      <c r="F29" s="2930"/>
      <c r="G29" s="2930"/>
      <c r="H29" s="2930"/>
      <c r="I29" s="2930"/>
      <c r="J29" s="2896"/>
      <c r="K29" s="2930" t="s">
        <v>2826</v>
      </c>
      <c r="L29" s="2930"/>
      <c r="M29" s="2930"/>
      <c r="N29" s="2930"/>
      <c r="O29" s="2930"/>
      <c r="P29" s="2930"/>
      <c r="Q29" s="2896"/>
      <c r="R29" s="3491" t="s">
        <v>2827</v>
      </c>
      <c r="S29" s="3492"/>
      <c r="T29" s="3492"/>
      <c r="U29" s="3492"/>
      <c r="V29" s="3492"/>
      <c r="W29" s="3492"/>
      <c r="X29" s="2896"/>
      <c r="Y29" s="3491" t="s">
        <v>2828</v>
      </c>
      <c r="Z29" s="3492"/>
      <c r="AA29" s="3492"/>
      <c r="AB29" s="3492"/>
      <c r="AC29" s="3492"/>
      <c r="AD29" s="3492"/>
    </row>
    <row r="30" spans="1:44" s="2009" customFormat="1" ht="14.5" thickBot="1">
      <c r="B30" s="2881"/>
      <c r="C30" s="2882"/>
      <c r="D30" s="2010" t="s">
        <v>2829</v>
      </c>
      <c r="E30" s="2011" t="s">
        <v>2830</v>
      </c>
      <c r="F30" s="2011" t="s">
        <v>2831</v>
      </c>
      <c r="G30" s="2011" t="s">
        <v>2832</v>
      </c>
      <c r="H30" s="2011"/>
      <c r="I30" s="2011" t="s">
        <v>2833</v>
      </c>
      <c r="J30" s="2883"/>
      <c r="K30" s="2010" t="s">
        <v>2829</v>
      </c>
      <c r="L30" s="2011" t="s">
        <v>2830</v>
      </c>
      <c r="M30" s="2011" t="s">
        <v>2831</v>
      </c>
      <c r="N30" s="2011" t="s">
        <v>2832</v>
      </c>
      <c r="O30" s="2011"/>
      <c r="P30" s="2011" t="s">
        <v>2833</v>
      </c>
      <c r="Q30" s="2883"/>
      <c r="R30" s="2010" t="s">
        <v>2829</v>
      </c>
      <c r="S30" s="2011" t="s">
        <v>2830</v>
      </c>
      <c r="T30" s="2011" t="s">
        <v>2831</v>
      </c>
      <c r="U30" s="2011" t="s">
        <v>2832</v>
      </c>
      <c r="V30" s="2011"/>
      <c r="W30" s="2011" t="s">
        <v>2833</v>
      </c>
      <c r="X30" s="2883"/>
      <c r="Y30" s="2010" t="s">
        <v>2829</v>
      </c>
      <c r="Z30" s="2011" t="s">
        <v>2830</v>
      </c>
      <c r="AA30" s="2011" t="s">
        <v>2831</v>
      </c>
      <c r="AB30" s="2011" t="s">
        <v>2832</v>
      </c>
      <c r="AC30" s="2011"/>
      <c r="AD30" s="2011" t="s">
        <v>2833</v>
      </c>
      <c r="AG30" t="s">
        <v>673</v>
      </c>
      <c r="AH30" t="s">
        <v>21</v>
      </c>
      <c r="AI30" t="s">
        <v>3402</v>
      </c>
      <c r="AJ30"/>
      <c r="AK30" t="s">
        <v>3403</v>
      </c>
      <c r="AN30" t="s">
        <v>673</v>
      </c>
      <c r="AO30" t="s">
        <v>21</v>
      </c>
      <c r="AP30" t="s">
        <v>3402</v>
      </c>
      <c r="AQ30"/>
      <c r="AR30" t="s">
        <v>3403</v>
      </c>
    </row>
    <row r="31" spans="1:44" s="2886" customFormat="1" ht="13">
      <c r="A31" s="2884" t="s">
        <v>2834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8" customFormat="1" ht="13">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3400</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
      <c r="A34" s="2907" t="s">
        <v>3416</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4" customFormat="1" ht="13">
      <c r="A35" s="2039" t="s">
        <v>3415</v>
      </c>
      <c r="B35" s="2030">
        <v>2025</v>
      </c>
      <c r="C35" s="2041">
        <v>2</v>
      </c>
      <c r="D35" s="2006"/>
      <c r="E35" s="2006">
        <v>-0.31</v>
      </c>
      <c r="F35" s="2006">
        <v>-1.03</v>
      </c>
      <c r="G35" s="2006">
        <v>0.03</v>
      </c>
      <c r="H35" s="2006"/>
      <c r="I35" s="2007">
        <f t="shared" ref="I35" si="141">F35</f>
        <v>-1.03</v>
      </c>
      <c r="J35" s="2906"/>
      <c r="K35" s="2042"/>
      <c r="L35" s="2027">
        <f t="shared" ref="L35" si="142">E35/100</f>
        <v>-3.0999999999999999E-3</v>
      </c>
      <c r="M35" s="2027">
        <f t="shared" ref="M35" si="143">F35/100</f>
        <v>-1.03E-2</v>
      </c>
      <c r="N35" s="2027">
        <f t="shared" ref="N35" si="144">G35/100</f>
        <v>2.9999999999999997E-4</v>
      </c>
      <c r="O35" s="2027"/>
      <c r="P35" s="2027">
        <f t="shared" si="123"/>
        <v>-1.03E-2</v>
      </c>
      <c r="Q35" s="2906"/>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6"/>
      <c r="Y35" s="2027"/>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7">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4" customFormat="1" ht="13">
      <c r="A36" s="2039" t="s">
        <v>3404</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4" customFormat="1" ht="13">
      <c r="A37" s="2039" t="s">
        <v>3405</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4" customFormat="1" ht="13">
      <c r="A38" s="2039" t="s">
        <v>3371</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4" customFormat="1" ht="13">
      <c r="A39" s="2905" t="s">
        <v>3375</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4" customFormat="1" ht="13">
      <c r="A40" s="2905" t="s">
        <v>3372</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4" customFormat="1" ht="13">
      <c r="A41" s="2905" t="s">
        <v>3370</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4" customFormat="1" ht="13">
      <c r="A42" s="2905" t="s">
        <v>3368</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4" customFormat="1" ht="13">
      <c r="A43" s="2905" t="s">
        <v>3367</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4" customFormat="1" ht="13">
      <c r="A44" s="2905" t="s">
        <v>3365</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4" customFormat="1" ht="13">
      <c r="A45" s="2905" t="s">
        <v>3364</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4" customFormat="1" ht="13">
      <c r="A46" s="2905" t="s">
        <v>3363</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4" customFormat="1" ht="13">
      <c r="A47" s="2905" t="s">
        <v>3353</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4" customFormat="1" ht="13">
      <c r="A48" s="2905" t="s">
        <v>2835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4" customFormat="1" ht="13">
      <c r="A49" s="2905" t="s">
        <v>2836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4" customFormat="1" ht="13">
      <c r="A50" s="2905" t="s">
        <v>2837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4" customFormat="1" ht="13">
      <c r="A51" s="2905" t="s">
        <v>2838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5" thickTop="1"/>
    <row r="54" spans="1:44">
      <c r="A54" s="3143"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6"/>
    <col min="2" max="6" width="9" style="2026" customWidth="1"/>
    <col min="7" max="7" width="9" style="2060"/>
    <col min="8" max="8" width="9" style="2026"/>
    <col min="9" max="12" width="9" style="2026" customWidth="1"/>
    <col min="13" max="13" width="2.26953125" style="2026" customWidth="1"/>
    <col min="14" max="14" width="9" style="2060" customWidth="1"/>
    <col min="15" max="17" width="9" style="2026" customWidth="1"/>
    <col min="18" max="18" width="2.36328125" style="2026" customWidth="1"/>
    <col min="19" max="19" width="7.08984375" style="2060" customWidth="1"/>
    <col min="20" max="22" width="7.08984375" style="2026" customWidth="1"/>
    <col min="23" max="23" width="24.26953125" style="2026" customWidth="1"/>
    <col min="24" max="25" width="9" style="2026"/>
    <col min="26" max="27" width="11.6328125" style="2026" customWidth="1"/>
    <col min="28" max="28" width="9" style="2026"/>
    <col min="29" max="29" width="2" style="2026" customWidth="1"/>
    <col min="30" max="16384" width="9" style="2026"/>
  </cols>
  <sheetData>
    <row r="1" spans="1:34" s="2008" customFormat="1" ht="13">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09" customFormat="1" ht="14.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ht="13">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ht="13">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ht="13">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ht="13">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ht="13">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ht="13">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ht="13">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ht="13">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ht="13">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ht="13">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ht="13">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ht="13">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ht="13">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ht="13">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ht="13">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ht="13">
      <c r="A25" s="2039" t="s">
        <v>2111</v>
      </c>
      <c r="B25" s="2048">
        <v>439</v>
      </c>
      <c r="C25" s="2048">
        <v>327</v>
      </c>
      <c r="D25" s="2048">
        <f>C25</f>
        <v>327</v>
      </c>
      <c r="E25" s="2048">
        <v>627</v>
      </c>
      <c r="F25" s="2049">
        <v>283</v>
      </c>
      <c r="G25" s="349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ht="13">
      <c r="A29" s="2039" t="s">
        <v>127</v>
      </c>
      <c r="B29" s="2048">
        <v>392</v>
      </c>
      <c r="C29" s="2048">
        <v>302</v>
      </c>
      <c r="D29" s="2048">
        <f>C29</f>
        <v>302</v>
      </c>
      <c r="E29" s="2048">
        <v>553</v>
      </c>
      <c r="F29" s="2049">
        <v>266</v>
      </c>
      <c r="G29" s="349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ht="13">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 thickBot="1">
      <c r="A48" s="2039" t="s">
        <v>472</v>
      </c>
      <c r="B48" s="2040">
        <f>B47/(1+N47)</f>
        <v>275.19025476197027</v>
      </c>
      <c r="C48" s="2084">
        <v>232</v>
      </c>
      <c r="D48" s="2084">
        <f t="shared" si="246"/>
        <v>232</v>
      </c>
      <c r="E48" s="2040">
        <f t="shared" si="257"/>
        <v>375.65990977608692</v>
      </c>
      <c r="F48" s="2040">
        <f t="shared" si="257"/>
        <v>214.12518283971252</v>
      </c>
      <c r="G48" s="349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4">
        <v>2003</v>
      </c>
      <c r="H83" s="2050">
        <v>2</v>
      </c>
      <c r="I83" s="2104"/>
      <c r="J83" s="2104"/>
      <c r="K83" s="2104"/>
      <c r="L83" s="2104"/>
      <c r="X83" s="2096"/>
      <c r="Y83" s="2096"/>
      <c r="Z83" s="2096"/>
    </row>
    <row r="84" spans="1:26" ht="13" thickBot="1">
      <c r="A84" s="2039" t="s">
        <v>508</v>
      </c>
      <c r="B84" s="2106">
        <f t="shared" si="282"/>
        <v>107.25</v>
      </c>
      <c r="C84" s="2106">
        <f t="shared" si="282"/>
        <v>108.75</v>
      </c>
      <c r="D84" s="2106">
        <f t="shared" si="246"/>
        <v>108.75</v>
      </c>
      <c r="E84" s="2106">
        <f t="shared" si="283"/>
        <v>105.75</v>
      </c>
      <c r="F84" s="2106">
        <f t="shared" si="283"/>
        <v>102.5</v>
      </c>
      <c r="G84" s="349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4">
        <v>2002</v>
      </c>
      <c r="H87" s="2050">
        <v>2</v>
      </c>
      <c r="I87" s="2104"/>
      <c r="J87" s="2104"/>
      <c r="K87" s="2104"/>
      <c r="L87" s="2104"/>
      <c r="X87" s="2096"/>
      <c r="Y87" s="2096"/>
      <c r="Z87" s="2096"/>
    </row>
    <row r="88" spans="1:26" s="2071" customFormat="1" ht="13" thickBot="1">
      <c r="A88" s="2067" t="s">
        <v>512</v>
      </c>
      <c r="B88" s="2074">
        <f t="shared" si="284"/>
        <v>103</v>
      </c>
      <c r="C88" s="2074">
        <f t="shared" si="284"/>
        <v>104</v>
      </c>
      <c r="D88" s="2074">
        <f t="shared" si="246"/>
        <v>104</v>
      </c>
      <c r="E88" s="2074">
        <f t="shared" si="285"/>
        <v>103.5</v>
      </c>
      <c r="F88" s="2074">
        <f t="shared" si="285"/>
        <v>100.5</v>
      </c>
      <c r="G88" s="349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ht="13">
      <c r="A91" s="2117" t="s">
        <v>513</v>
      </c>
      <c r="G91" s="2119"/>
      <c r="N91" s="2119"/>
      <c r="S91" s="2119"/>
    </row>
    <row r="92" spans="1:26" s="2118" customFormat="1" ht="13">
      <c r="A92" s="2118" t="s">
        <v>514</v>
      </c>
      <c r="G92" s="2119"/>
      <c r="N92" s="2119"/>
      <c r="S92" s="2119"/>
    </row>
    <row r="93" spans="1:26" s="2118" customFormat="1" ht="13">
      <c r="A93" s="2118" t="s">
        <v>515</v>
      </c>
      <c r="G93" s="2119"/>
      <c r="I93" s="2120"/>
      <c r="J93" s="2120"/>
      <c r="K93" s="2120"/>
      <c r="L93" s="2120"/>
      <c r="N93" s="2121"/>
      <c r="O93" s="2120"/>
      <c r="P93" s="2120"/>
      <c r="Q93" s="2120"/>
      <c r="S93" s="2121"/>
      <c r="T93" s="2120"/>
      <c r="U93" s="2120"/>
      <c r="V93" s="2120"/>
    </row>
    <row r="94" spans="1:26" s="2118" customFormat="1" ht="13">
      <c r="A94" s="2118" t="s">
        <v>516</v>
      </c>
      <c r="G94" s="2119"/>
      <c r="N94" s="2119"/>
      <c r="S94" s="2119"/>
    </row>
    <row r="101" spans="7:22" ht="13" thickBot="1"/>
    <row r="102" spans="7:22" ht="13">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04" t="s">
        <v>2839</v>
      </c>
      <c r="B1" s="3504"/>
      <c r="C1" s="3504"/>
      <c r="D1" s="3504"/>
      <c r="E1" s="3504"/>
      <c r="F1" s="3504"/>
      <c r="G1" s="3505"/>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5"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02"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5" thickBot="1">
      <c r="A4" s="3503"/>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5"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5"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5"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5"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8" customWidth="1"/>
    <col min="2" max="2" width="13.26953125" style="1164" customWidth="1"/>
    <col min="3" max="3" width="15.6328125" style="1164" customWidth="1"/>
    <col min="4" max="4" width="9.36328125" style="1164" bestFit="1" customWidth="1"/>
    <col min="5" max="5" width="13.453125" style="1164" customWidth="1"/>
    <col min="6" max="6" width="9" style="1164"/>
    <col min="7" max="7" width="9.36328125" style="1164" bestFit="1" customWidth="1"/>
    <col min="8" max="8" width="12.26953125" style="1164" customWidth="1"/>
    <col min="9" max="9" width="9" style="1164"/>
    <col min="10" max="10" width="9.36328125" style="1164" bestFit="1" customWidth="1"/>
    <col min="11" max="11" width="4" style="1158" customWidth="1"/>
    <col min="12" max="12" width="5.08984375" style="1164" customWidth="1"/>
    <col min="13" max="13" width="13.7265625" style="1164" customWidth="1"/>
    <col min="14" max="256" width="9" style="1164"/>
    <col min="257" max="257" width="4.90625" style="1155" customWidth="1"/>
    <col min="258" max="258" width="13.26953125" style="1155" customWidth="1"/>
    <col min="259" max="259" width="15.6328125" style="1155" customWidth="1"/>
    <col min="260" max="260" width="9.36328125" style="1155" bestFit="1" customWidth="1"/>
    <col min="261" max="261" width="13.453125" style="1155" customWidth="1"/>
    <col min="262" max="262" width="9" style="1155"/>
    <col min="263" max="263" width="9.36328125" style="1155" bestFit="1" customWidth="1"/>
    <col min="264" max="265" width="9" style="1155"/>
    <col min="266" max="266" width="9.36328125" style="1155" bestFit="1" customWidth="1"/>
    <col min="267" max="267" width="4" style="1155" customWidth="1"/>
    <col min="268" max="268" width="5.08984375" style="1155" customWidth="1"/>
    <col min="269" max="269" width="13.7265625" style="1155" customWidth="1"/>
    <col min="270" max="512" width="9" style="1155"/>
    <col min="513" max="513" width="4.90625" style="1155" customWidth="1"/>
    <col min="514" max="514" width="13.26953125" style="1155" customWidth="1"/>
    <col min="515" max="515" width="15.6328125" style="1155" customWidth="1"/>
    <col min="516" max="516" width="9.36328125" style="1155" bestFit="1" customWidth="1"/>
    <col min="517" max="517" width="13.453125" style="1155" customWidth="1"/>
    <col min="518" max="518" width="9" style="1155"/>
    <col min="519" max="519" width="9.36328125" style="1155" bestFit="1" customWidth="1"/>
    <col min="520" max="521" width="9" style="1155"/>
    <col min="522" max="522" width="9.36328125" style="1155" bestFit="1" customWidth="1"/>
    <col min="523" max="523" width="4" style="1155" customWidth="1"/>
    <col min="524" max="524" width="5.08984375" style="1155" customWidth="1"/>
    <col min="525" max="525" width="13.7265625" style="1155" customWidth="1"/>
    <col min="526" max="768" width="9" style="1155"/>
    <col min="769" max="769" width="4.90625" style="1155" customWidth="1"/>
    <col min="770" max="770" width="13.26953125" style="1155" customWidth="1"/>
    <col min="771" max="771" width="15.6328125" style="1155" customWidth="1"/>
    <col min="772" max="772" width="9.36328125" style="1155" bestFit="1" customWidth="1"/>
    <col min="773" max="773" width="13.453125" style="1155" customWidth="1"/>
    <col min="774" max="774" width="9" style="1155"/>
    <col min="775" max="775" width="9.36328125" style="1155" bestFit="1" customWidth="1"/>
    <col min="776" max="777" width="9" style="1155"/>
    <col min="778" max="778" width="9.36328125" style="1155" bestFit="1" customWidth="1"/>
    <col min="779" max="779" width="4" style="1155" customWidth="1"/>
    <col min="780" max="780" width="5.08984375" style="1155" customWidth="1"/>
    <col min="781" max="781" width="13.7265625" style="1155" customWidth="1"/>
    <col min="782" max="1024" width="9" style="1155"/>
    <col min="1025" max="1025" width="4.90625" style="1155" customWidth="1"/>
    <col min="1026" max="1026" width="13.26953125" style="1155" customWidth="1"/>
    <col min="1027" max="1027" width="15.6328125" style="1155" customWidth="1"/>
    <col min="1028" max="1028" width="9.36328125" style="1155" bestFit="1" customWidth="1"/>
    <col min="1029" max="1029" width="13.453125" style="1155" customWidth="1"/>
    <col min="1030" max="1030" width="9" style="1155"/>
    <col min="1031" max="1031" width="9.36328125" style="1155" bestFit="1" customWidth="1"/>
    <col min="1032" max="1033" width="9" style="1155"/>
    <col min="1034" max="1034" width="9.36328125" style="1155" bestFit="1" customWidth="1"/>
    <col min="1035" max="1035" width="4" style="1155" customWidth="1"/>
    <col min="1036" max="1036" width="5.08984375" style="1155" customWidth="1"/>
    <col min="1037" max="1037" width="13.7265625" style="1155" customWidth="1"/>
    <col min="1038" max="1280" width="9" style="1155"/>
    <col min="1281" max="1281" width="4.90625" style="1155" customWidth="1"/>
    <col min="1282" max="1282" width="13.26953125" style="1155" customWidth="1"/>
    <col min="1283" max="1283" width="15.6328125" style="1155" customWidth="1"/>
    <col min="1284" max="1284" width="9.36328125" style="1155" bestFit="1" customWidth="1"/>
    <col min="1285" max="1285" width="13.453125" style="1155" customWidth="1"/>
    <col min="1286" max="1286" width="9" style="1155"/>
    <col min="1287" max="1287" width="9.36328125" style="1155" bestFit="1" customWidth="1"/>
    <col min="1288" max="1289" width="9" style="1155"/>
    <col min="1290" max="1290" width="9.36328125" style="1155" bestFit="1" customWidth="1"/>
    <col min="1291" max="1291" width="4" style="1155" customWidth="1"/>
    <col min="1292" max="1292" width="5.08984375" style="1155" customWidth="1"/>
    <col min="1293" max="1293" width="13.7265625" style="1155" customWidth="1"/>
    <col min="1294" max="1536" width="9" style="1155"/>
    <col min="1537" max="1537" width="4.90625" style="1155" customWidth="1"/>
    <col min="1538" max="1538" width="13.26953125" style="1155" customWidth="1"/>
    <col min="1539" max="1539" width="15.6328125" style="1155" customWidth="1"/>
    <col min="1540" max="1540" width="9.36328125" style="1155" bestFit="1" customWidth="1"/>
    <col min="1541" max="1541" width="13.453125" style="1155" customWidth="1"/>
    <col min="1542" max="1542" width="9" style="1155"/>
    <col min="1543" max="1543" width="9.36328125" style="1155" bestFit="1" customWidth="1"/>
    <col min="1544" max="1545" width="9" style="1155"/>
    <col min="1546" max="1546" width="9.36328125" style="1155" bestFit="1" customWidth="1"/>
    <col min="1547" max="1547" width="4" style="1155" customWidth="1"/>
    <col min="1548" max="1548" width="5.08984375" style="1155" customWidth="1"/>
    <col min="1549" max="1549" width="13.7265625" style="1155" customWidth="1"/>
    <col min="1550" max="1792" width="9" style="1155"/>
    <col min="1793" max="1793" width="4.90625" style="1155" customWidth="1"/>
    <col min="1794" max="1794" width="13.26953125" style="1155" customWidth="1"/>
    <col min="1795" max="1795" width="15.6328125" style="1155" customWidth="1"/>
    <col min="1796" max="1796" width="9.36328125" style="1155" bestFit="1" customWidth="1"/>
    <col min="1797" max="1797" width="13.453125" style="1155" customWidth="1"/>
    <col min="1798" max="1798" width="9" style="1155"/>
    <col min="1799" max="1799" width="9.36328125" style="1155" bestFit="1" customWidth="1"/>
    <col min="1800" max="1801" width="9" style="1155"/>
    <col min="1802" max="1802" width="9.36328125" style="1155" bestFit="1" customWidth="1"/>
    <col min="1803" max="1803" width="4" style="1155" customWidth="1"/>
    <col min="1804" max="1804" width="5.08984375" style="1155" customWidth="1"/>
    <col min="1805" max="1805" width="13.7265625" style="1155" customWidth="1"/>
    <col min="1806" max="2048" width="9" style="1155"/>
    <col min="2049" max="2049" width="4.90625" style="1155" customWidth="1"/>
    <col min="2050" max="2050" width="13.26953125" style="1155" customWidth="1"/>
    <col min="2051" max="2051" width="15.6328125" style="1155" customWidth="1"/>
    <col min="2052" max="2052" width="9.36328125" style="1155" bestFit="1" customWidth="1"/>
    <col min="2053" max="2053" width="13.453125" style="1155" customWidth="1"/>
    <col min="2054" max="2054" width="9" style="1155"/>
    <col min="2055" max="2055" width="9.36328125" style="1155" bestFit="1" customWidth="1"/>
    <col min="2056" max="2057" width="9" style="1155"/>
    <col min="2058" max="2058" width="9.36328125" style="1155" bestFit="1" customWidth="1"/>
    <col min="2059" max="2059" width="4" style="1155" customWidth="1"/>
    <col min="2060" max="2060" width="5.08984375" style="1155" customWidth="1"/>
    <col min="2061" max="2061" width="13.7265625" style="1155" customWidth="1"/>
    <col min="2062" max="2304" width="9" style="1155"/>
    <col min="2305" max="2305" width="4.90625" style="1155" customWidth="1"/>
    <col min="2306" max="2306" width="13.26953125" style="1155" customWidth="1"/>
    <col min="2307" max="2307" width="15.6328125" style="1155" customWidth="1"/>
    <col min="2308" max="2308" width="9.36328125" style="1155" bestFit="1" customWidth="1"/>
    <col min="2309" max="2309" width="13.453125" style="1155" customWidth="1"/>
    <col min="2310" max="2310" width="9" style="1155"/>
    <col min="2311" max="2311" width="9.36328125" style="1155" bestFit="1" customWidth="1"/>
    <col min="2312" max="2313" width="9" style="1155"/>
    <col min="2314" max="2314" width="9.36328125" style="1155" bestFit="1" customWidth="1"/>
    <col min="2315" max="2315" width="4" style="1155" customWidth="1"/>
    <col min="2316" max="2316" width="5.08984375" style="1155" customWidth="1"/>
    <col min="2317" max="2317" width="13.7265625" style="1155" customWidth="1"/>
    <col min="2318" max="2560" width="9" style="1155"/>
    <col min="2561" max="2561" width="4.90625" style="1155" customWidth="1"/>
    <col min="2562" max="2562" width="13.26953125" style="1155" customWidth="1"/>
    <col min="2563" max="2563" width="15.6328125" style="1155" customWidth="1"/>
    <col min="2564" max="2564" width="9.36328125" style="1155" bestFit="1" customWidth="1"/>
    <col min="2565" max="2565" width="13.453125" style="1155" customWidth="1"/>
    <col min="2566" max="2566" width="9" style="1155"/>
    <col min="2567" max="2567" width="9.36328125" style="1155" bestFit="1" customWidth="1"/>
    <col min="2568" max="2569" width="9" style="1155"/>
    <col min="2570" max="2570" width="9.36328125" style="1155" bestFit="1" customWidth="1"/>
    <col min="2571" max="2571" width="4" style="1155" customWidth="1"/>
    <col min="2572" max="2572" width="5.08984375" style="1155" customWidth="1"/>
    <col min="2573" max="2573" width="13.7265625" style="1155" customWidth="1"/>
    <col min="2574" max="2816" width="9" style="1155"/>
    <col min="2817" max="2817" width="4.90625" style="1155" customWidth="1"/>
    <col min="2818" max="2818" width="13.26953125" style="1155" customWidth="1"/>
    <col min="2819" max="2819" width="15.6328125" style="1155" customWidth="1"/>
    <col min="2820" max="2820" width="9.36328125" style="1155" bestFit="1" customWidth="1"/>
    <col min="2821" max="2821" width="13.453125" style="1155" customWidth="1"/>
    <col min="2822" max="2822" width="9" style="1155"/>
    <col min="2823" max="2823" width="9.36328125" style="1155" bestFit="1" customWidth="1"/>
    <col min="2824" max="2825" width="9" style="1155"/>
    <col min="2826" max="2826" width="9.36328125" style="1155" bestFit="1" customWidth="1"/>
    <col min="2827" max="2827" width="4" style="1155" customWidth="1"/>
    <col min="2828" max="2828" width="5.08984375" style="1155" customWidth="1"/>
    <col min="2829" max="2829" width="13.7265625" style="1155" customWidth="1"/>
    <col min="2830" max="3072" width="9" style="1155"/>
    <col min="3073" max="3073" width="4.90625" style="1155" customWidth="1"/>
    <col min="3074" max="3074" width="13.26953125" style="1155" customWidth="1"/>
    <col min="3075" max="3075" width="15.6328125" style="1155" customWidth="1"/>
    <col min="3076" max="3076" width="9.36328125" style="1155" bestFit="1" customWidth="1"/>
    <col min="3077" max="3077" width="13.453125" style="1155" customWidth="1"/>
    <col min="3078" max="3078" width="9" style="1155"/>
    <col min="3079" max="3079" width="9.36328125" style="1155" bestFit="1" customWidth="1"/>
    <col min="3080" max="3081" width="9" style="1155"/>
    <col min="3082" max="3082" width="9.36328125" style="1155" bestFit="1" customWidth="1"/>
    <col min="3083" max="3083" width="4" style="1155" customWidth="1"/>
    <col min="3084" max="3084" width="5.08984375" style="1155" customWidth="1"/>
    <col min="3085" max="3085" width="13.7265625" style="1155" customWidth="1"/>
    <col min="3086" max="3328" width="9" style="1155"/>
    <col min="3329" max="3329" width="4.90625" style="1155" customWidth="1"/>
    <col min="3330" max="3330" width="13.26953125" style="1155" customWidth="1"/>
    <col min="3331" max="3331" width="15.6328125" style="1155" customWidth="1"/>
    <col min="3332" max="3332" width="9.36328125" style="1155" bestFit="1" customWidth="1"/>
    <col min="3333" max="3333" width="13.453125" style="1155" customWidth="1"/>
    <col min="3334" max="3334" width="9" style="1155"/>
    <col min="3335" max="3335" width="9.36328125" style="1155" bestFit="1" customWidth="1"/>
    <col min="3336" max="3337" width="9" style="1155"/>
    <col min="3338" max="3338" width="9.36328125" style="1155" bestFit="1" customWidth="1"/>
    <col min="3339" max="3339" width="4" style="1155" customWidth="1"/>
    <col min="3340" max="3340" width="5.08984375" style="1155" customWidth="1"/>
    <col min="3341" max="3341" width="13.7265625" style="1155" customWidth="1"/>
    <col min="3342" max="3584" width="9" style="1155"/>
    <col min="3585" max="3585" width="4.90625" style="1155" customWidth="1"/>
    <col min="3586" max="3586" width="13.26953125" style="1155" customWidth="1"/>
    <col min="3587" max="3587" width="15.6328125" style="1155" customWidth="1"/>
    <col min="3588" max="3588" width="9.36328125" style="1155" bestFit="1" customWidth="1"/>
    <col min="3589" max="3589" width="13.453125" style="1155" customWidth="1"/>
    <col min="3590" max="3590" width="9" style="1155"/>
    <col min="3591" max="3591" width="9.36328125" style="1155" bestFit="1" customWidth="1"/>
    <col min="3592" max="3593" width="9" style="1155"/>
    <col min="3594" max="3594" width="9.36328125" style="1155" bestFit="1" customWidth="1"/>
    <col min="3595" max="3595" width="4" style="1155" customWidth="1"/>
    <col min="3596" max="3596" width="5.08984375" style="1155" customWidth="1"/>
    <col min="3597" max="3597" width="13.7265625" style="1155" customWidth="1"/>
    <col min="3598" max="3840" width="9" style="1155"/>
    <col min="3841" max="3841" width="4.90625" style="1155" customWidth="1"/>
    <col min="3842" max="3842" width="13.26953125" style="1155" customWidth="1"/>
    <col min="3843" max="3843" width="15.6328125" style="1155" customWidth="1"/>
    <col min="3844" max="3844" width="9.36328125" style="1155" bestFit="1" customWidth="1"/>
    <col min="3845" max="3845" width="13.453125" style="1155" customWidth="1"/>
    <col min="3846" max="3846" width="9" style="1155"/>
    <col min="3847" max="3847" width="9.36328125" style="1155" bestFit="1" customWidth="1"/>
    <col min="3848" max="3849" width="9" style="1155"/>
    <col min="3850" max="3850" width="9.36328125" style="1155" bestFit="1" customWidth="1"/>
    <col min="3851" max="3851" width="4" style="1155" customWidth="1"/>
    <col min="3852" max="3852" width="5.08984375" style="1155" customWidth="1"/>
    <col min="3853" max="3853" width="13.7265625" style="1155" customWidth="1"/>
    <col min="3854" max="4096" width="9" style="1155"/>
    <col min="4097" max="4097" width="4.90625" style="1155" customWidth="1"/>
    <col min="4098" max="4098" width="13.26953125" style="1155" customWidth="1"/>
    <col min="4099" max="4099" width="15.6328125" style="1155" customWidth="1"/>
    <col min="4100" max="4100" width="9.36328125" style="1155" bestFit="1" customWidth="1"/>
    <col min="4101" max="4101" width="13.453125" style="1155" customWidth="1"/>
    <col min="4102" max="4102" width="9" style="1155"/>
    <col min="4103" max="4103" width="9.36328125" style="1155" bestFit="1" customWidth="1"/>
    <col min="4104" max="4105" width="9" style="1155"/>
    <col min="4106" max="4106" width="9.36328125" style="1155" bestFit="1" customWidth="1"/>
    <col min="4107" max="4107" width="4" style="1155" customWidth="1"/>
    <col min="4108" max="4108" width="5.08984375" style="1155" customWidth="1"/>
    <col min="4109" max="4109" width="13.7265625" style="1155" customWidth="1"/>
    <col min="4110" max="4352" width="9" style="1155"/>
    <col min="4353" max="4353" width="4.90625" style="1155" customWidth="1"/>
    <col min="4354" max="4354" width="13.26953125" style="1155" customWidth="1"/>
    <col min="4355" max="4355" width="15.6328125" style="1155" customWidth="1"/>
    <col min="4356" max="4356" width="9.36328125" style="1155" bestFit="1" customWidth="1"/>
    <col min="4357" max="4357" width="13.453125" style="1155" customWidth="1"/>
    <col min="4358" max="4358" width="9" style="1155"/>
    <col min="4359" max="4359" width="9.36328125" style="1155" bestFit="1" customWidth="1"/>
    <col min="4360" max="4361" width="9" style="1155"/>
    <col min="4362" max="4362" width="9.36328125" style="1155" bestFit="1" customWidth="1"/>
    <col min="4363" max="4363" width="4" style="1155" customWidth="1"/>
    <col min="4364" max="4364" width="5.08984375" style="1155" customWidth="1"/>
    <col min="4365" max="4365" width="13.7265625" style="1155" customWidth="1"/>
    <col min="4366" max="4608" width="9" style="1155"/>
    <col min="4609" max="4609" width="4.90625" style="1155" customWidth="1"/>
    <col min="4610" max="4610" width="13.26953125" style="1155" customWidth="1"/>
    <col min="4611" max="4611" width="15.6328125" style="1155" customWidth="1"/>
    <col min="4612" max="4612" width="9.36328125" style="1155" bestFit="1" customWidth="1"/>
    <col min="4613" max="4613" width="13.453125" style="1155" customWidth="1"/>
    <col min="4614" max="4614" width="9" style="1155"/>
    <col min="4615" max="4615" width="9.36328125" style="1155" bestFit="1" customWidth="1"/>
    <col min="4616" max="4617" width="9" style="1155"/>
    <col min="4618" max="4618" width="9.36328125" style="1155" bestFit="1" customWidth="1"/>
    <col min="4619" max="4619" width="4" style="1155" customWidth="1"/>
    <col min="4620" max="4620" width="5.08984375" style="1155" customWidth="1"/>
    <col min="4621" max="4621" width="13.7265625" style="1155" customWidth="1"/>
    <col min="4622" max="4864" width="9" style="1155"/>
    <col min="4865" max="4865" width="4.90625" style="1155" customWidth="1"/>
    <col min="4866" max="4866" width="13.26953125" style="1155" customWidth="1"/>
    <col min="4867" max="4867" width="15.6328125" style="1155" customWidth="1"/>
    <col min="4868" max="4868" width="9.36328125" style="1155" bestFit="1" customWidth="1"/>
    <col min="4869" max="4869" width="13.453125" style="1155" customWidth="1"/>
    <col min="4870" max="4870" width="9" style="1155"/>
    <col min="4871" max="4871" width="9.36328125" style="1155" bestFit="1" customWidth="1"/>
    <col min="4872" max="4873" width="9" style="1155"/>
    <col min="4874" max="4874" width="9.36328125" style="1155" bestFit="1" customWidth="1"/>
    <col min="4875" max="4875" width="4" style="1155" customWidth="1"/>
    <col min="4876" max="4876" width="5.08984375" style="1155" customWidth="1"/>
    <col min="4877" max="4877" width="13.7265625" style="1155" customWidth="1"/>
    <col min="4878" max="5120" width="9" style="1155"/>
    <col min="5121" max="5121" width="4.90625" style="1155" customWidth="1"/>
    <col min="5122" max="5122" width="13.26953125" style="1155" customWidth="1"/>
    <col min="5123" max="5123" width="15.6328125" style="1155" customWidth="1"/>
    <col min="5124" max="5124" width="9.36328125" style="1155" bestFit="1" customWidth="1"/>
    <col min="5125" max="5125" width="13.453125" style="1155" customWidth="1"/>
    <col min="5126" max="5126" width="9" style="1155"/>
    <col min="5127" max="5127" width="9.36328125" style="1155" bestFit="1" customWidth="1"/>
    <col min="5128" max="5129" width="9" style="1155"/>
    <col min="5130" max="5130" width="9.36328125" style="1155" bestFit="1" customWidth="1"/>
    <col min="5131" max="5131" width="4" style="1155" customWidth="1"/>
    <col min="5132" max="5132" width="5.08984375" style="1155" customWidth="1"/>
    <col min="5133" max="5133" width="13.7265625" style="1155" customWidth="1"/>
    <col min="5134" max="5376" width="9" style="1155"/>
    <col min="5377" max="5377" width="4.90625" style="1155" customWidth="1"/>
    <col min="5378" max="5378" width="13.26953125" style="1155" customWidth="1"/>
    <col min="5379" max="5379" width="15.6328125" style="1155" customWidth="1"/>
    <col min="5380" max="5380" width="9.36328125" style="1155" bestFit="1" customWidth="1"/>
    <col min="5381" max="5381" width="13.453125" style="1155" customWidth="1"/>
    <col min="5382" max="5382" width="9" style="1155"/>
    <col min="5383" max="5383" width="9.36328125" style="1155" bestFit="1" customWidth="1"/>
    <col min="5384" max="5385" width="9" style="1155"/>
    <col min="5386" max="5386" width="9.36328125" style="1155" bestFit="1" customWidth="1"/>
    <col min="5387" max="5387" width="4" style="1155" customWidth="1"/>
    <col min="5388" max="5388" width="5.08984375" style="1155" customWidth="1"/>
    <col min="5389" max="5389" width="13.7265625" style="1155" customWidth="1"/>
    <col min="5390" max="5632" width="9" style="1155"/>
    <col min="5633" max="5633" width="4.90625" style="1155" customWidth="1"/>
    <col min="5634" max="5634" width="13.26953125" style="1155" customWidth="1"/>
    <col min="5635" max="5635" width="15.6328125" style="1155" customWidth="1"/>
    <col min="5636" max="5636" width="9.36328125" style="1155" bestFit="1" customWidth="1"/>
    <col min="5637" max="5637" width="13.453125" style="1155" customWidth="1"/>
    <col min="5638" max="5638" width="9" style="1155"/>
    <col min="5639" max="5639" width="9.36328125" style="1155" bestFit="1" customWidth="1"/>
    <col min="5640" max="5641" width="9" style="1155"/>
    <col min="5642" max="5642" width="9.36328125" style="1155" bestFit="1" customWidth="1"/>
    <col min="5643" max="5643" width="4" style="1155" customWidth="1"/>
    <col min="5644" max="5644" width="5.08984375" style="1155" customWidth="1"/>
    <col min="5645" max="5645" width="13.7265625" style="1155" customWidth="1"/>
    <col min="5646" max="5888" width="9" style="1155"/>
    <col min="5889" max="5889" width="4.90625" style="1155" customWidth="1"/>
    <col min="5890" max="5890" width="13.26953125" style="1155" customWidth="1"/>
    <col min="5891" max="5891" width="15.6328125" style="1155" customWidth="1"/>
    <col min="5892" max="5892" width="9.36328125" style="1155" bestFit="1" customWidth="1"/>
    <col min="5893" max="5893" width="13.453125" style="1155" customWidth="1"/>
    <col min="5894" max="5894" width="9" style="1155"/>
    <col min="5895" max="5895" width="9.36328125" style="1155" bestFit="1" customWidth="1"/>
    <col min="5896" max="5897" width="9" style="1155"/>
    <col min="5898" max="5898" width="9.36328125" style="1155" bestFit="1" customWidth="1"/>
    <col min="5899" max="5899" width="4" style="1155" customWidth="1"/>
    <col min="5900" max="5900" width="5.08984375" style="1155" customWidth="1"/>
    <col min="5901" max="5901" width="13.7265625" style="1155" customWidth="1"/>
    <col min="5902" max="6144" width="9" style="1155"/>
    <col min="6145" max="6145" width="4.90625" style="1155" customWidth="1"/>
    <col min="6146" max="6146" width="13.26953125" style="1155" customWidth="1"/>
    <col min="6147" max="6147" width="15.6328125" style="1155" customWidth="1"/>
    <col min="6148" max="6148" width="9.36328125" style="1155" bestFit="1" customWidth="1"/>
    <col min="6149" max="6149" width="13.453125" style="1155" customWidth="1"/>
    <col min="6150" max="6150" width="9" style="1155"/>
    <col min="6151" max="6151" width="9.36328125" style="1155" bestFit="1" customWidth="1"/>
    <col min="6152" max="6153" width="9" style="1155"/>
    <col min="6154" max="6154" width="9.36328125" style="1155" bestFit="1" customWidth="1"/>
    <col min="6155" max="6155" width="4" style="1155" customWidth="1"/>
    <col min="6156" max="6156" width="5.08984375" style="1155" customWidth="1"/>
    <col min="6157" max="6157" width="13.7265625" style="1155" customWidth="1"/>
    <col min="6158" max="6400" width="9" style="1155"/>
    <col min="6401" max="6401" width="4.90625" style="1155" customWidth="1"/>
    <col min="6402" max="6402" width="13.26953125" style="1155" customWidth="1"/>
    <col min="6403" max="6403" width="15.6328125" style="1155" customWidth="1"/>
    <col min="6404" max="6404" width="9.36328125" style="1155" bestFit="1" customWidth="1"/>
    <col min="6405" max="6405" width="13.453125" style="1155" customWidth="1"/>
    <col min="6406" max="6406" width="9" style="1155"/>
    <col min="6407" max="6407" width="9.36328125" style="1155" bestFit="1" customWidth="1"/>
    <col min="6408" max="6409" width="9" style="1155"/>
    <col min="6410" max="6410" width="9.36328125" style="1155" bestFit="1" customWidth="1"/>
    <col min="6411" max="6411" width="4" style="1155" customWidth="1"/>
    <col min="6412" max="6412" width="5.08984375" style="1155" customWidth="1"/>
    <col min="6413" max="6413" width="13.7265625" style="1155" customWidth="1"/>
    <col min="6414" max="6656" width="9" style="1155"/>
    <col min="6657" max="6657" width="4.90625" style="1155" customWidth="1"/>
    <col min="6658" max="6658" width="13.26953125" style="1155" customWidth="1"/>
    <col min="6659" max="6659" width="15.6328125" style="1155" customWidth="1"/>
    <col min="6660" max="6660" width="9.36328125" style="1155" bestFit="1" customWidth="1"/>
    <col min="6661" max="6661" width="13.453125" style="1155" customWidth="1"/>
    <col min="6662" max="6662" width="9" style="1155"/>
    <col min="6663" max="6663" width="9.36328125" style="1155" bestFit="1" customWidth="1"/>
    <col min="6664" max="6665" width="9" style="1155"/>
    <col min="6666" max="6666" width="9.36328125" style="1155" bestFit="1" customWidth="1"/>
    <col min="6667" max="6667" width="4" style="1155" customWidth="1"/>
    <col min="6668" max="6668" width="5.08984375" style="1155" customWidth="1"/>
    <col min="6669" max="6669" width="13.7265625" style="1155" customWidth="1"/>
    <col min="6670" max="6912" width="9" style="1155"/>
    <col min="6913" max="6913" width="4.90625" style="1155" customWidth="1"/>
    <col min="6914" max="6914" width="13.26953125" style="1155" customWidth="1"/>
    <col min="6915" max="6915" width="15.6328125" style="1155" customWidth="1"/>
    <col min="6916" max="6916" width="9.36328125" style="1155" bestFit="1" customWidth="1"/>
    <col min="6917" max="6917" width="13.453125" style="1155" customWidth="1"/>
    <col min="6918" max="6918" width="9" style="1155"/>
    <col min="6919" max="6919" width="9.36328125" style="1155" bestFit="1" customWidth="1"/>
    <col min="6920" max="6921" width="9" style="1155"/>
    <col min="6922" max="6922" width="9.36328125" style="1155" bestFit="1" customWidth="1"/>
    <col min="6923" max="6923" width="4" style="1155" customWidth="1"/>
    <col min="6924" max="6924" width="5.08984375" style="1155" customWidth="1"/>
    <col min="6925" max="6925" width="13.7265625" style="1155" customWidth="1"/>
    <col min="6926" max="7168" width="9" style="1155"/>
    <col min="7169" max="7169" width="4.90625" style="1155" customWidth="1"/>
    <col min="7170" max="7170" width="13.26953125" style="1155" customWidth="1"/>
    <col min="7171" max="7171" width="15.6328125" style="1155" customWidth="1"/>
    <col min="7172" max="7172" width="9.36328125" style="1155" bestFit="1" customWidth="1"/>
    <col min="7173" max="7173" width="13.453125" style="1155" customWidth="1"/>
    <col min="7174" max="7174" width="9" style="1155"/>
    <col min="7175" max="7175" width="9.36328125" style="1155" bestFit="1" customWidth="1"/>
    <col min="7176" max="7177" width="9" style="1155"/>
    <col min="7178" max="7178" width="9.36328125" style="1155" bestFit="1" customWidth="1"/>
    <col min="7179" max="7179" width="4" style="1155" customWidth="1"/>
    <col min="7180" max="7180" width="5.08984375" style="1155" customWidth="1"/>
    <col min="7181" max="7181" width="13.7265625" style="1155" customWidth="1"/>
    <col min="7182" max="7424" width="9" style="1155"/>
    <col min="7425" max="7425" width="4.90625" style="1155" customWidth="1"/>
    <col min="7426" max="7426" width="13.26953125" style="1155" customWidth="1"/>
    <col min="7427" max="7427" width="15.6328125" style="1155" customWidth="1"/>
    <col min="7428" max="7428" width="9.36328125" style="1155" bestFit="1" customWidth="1"/>
    <col min="7429" max="7429" width="13.453125" style="1155" customWidth="1"/>
    <col min="7430" max="7430" width="9" style="1155"/>
    <col min="7431" max="7431" width="9.36328125" style="1155" bestFit="1" customWidth="1"/>
    <col min="7432" max="7433" width="9" style="1155"/>
    <col min="7434" max="7434" width="9.36328125" style="1155" bestFit="1" customWidth="1"/>
    <col min="7435" max="7435" width="4" style="1155" customWidth="1"/>
    <col min="7436" max="7436" width="5.08984375" style="1155" customWidth="1"/>
    <col min="7437" max="7437" width="13.7265625" style="1155" customWidth="1"/>
    <col min="7438" max="7680" width="9" style="1155"/>
    <col min="7681" max="7681" width="4.90625" style="1155" customWidth="1"/>
    <col min="7682" max="7682" width="13.26953125" style="1155" customWidth="1"/>
    <col min="7683" max="7683" width="15.6328125" style="1155" customWidth="1"/>
    <col min="7684" max="7684" width="9.36328125" style="1155" bestFit="1" customWidth="1"/>
    <col min="7685" max="7685" width="13.453125" style="1155" customWidth="1"/>
    <col min="7686" max="7686" width="9" style="1155"/>
    <col min="7687" max="7687" width="9.36328125" style="1155" bestFit="1" customWidth="1"/>
    <col min="7688" max="7689" width="9" style="1155"/>
    <col min="7690" max="7690" width="9.36328125" style="1155" bestFit="1" customWidth="1"/>
    <col min="7691" max="7691" width="4" style="1155" customWidth="1"/>
    <col min="7692" max="7692" width="5.08984375" style="1155" customWidth="1"/>
    <col min="7693" max="7693" width="13.7265625" style="1155" customWidth="1"/>
    <col min="7694" max="7936" width="9" style="1155"/>
    <col min="7937" max="7937" width="4.90625" style="1155" customWidth="1"/>
    <col min="7938" max="7938" width="13.26953125" style="1155" customWidth="1"/>
    <col min="7939" max="7939" width="15.6328125" style="1155" customWidth="1"/>
    <col min="7940" max="7940" width="9.36328125" style="1155" bestFit="1" customWidth="1"/>
    <col min="7941" max="7941" width="13.453125" style="1155" customWidth="1"/>
    <col min="7942" max="7942" width="9" style="1155"/>
    <col min="7943" max="7943" width="9.36328125" style="1155" bestFit="1" customWidth="1"/>
    <col min="7944" max="7945" width="9" style="1155"/>
    <col min="7946" max="7946" width="9.36328125" style="1155" bestFit="1" customWidth="1"/>
    <col min="7947" max="7947" width="4" style="1155" customWidth="1"/>
    <col min="7948" max="7948" width="5.08984375" style="1155" customWidth="1"/>
    <col min="7949" max="7949" width="13.7265625" style="1155" customWidth="1"/>
    <col min="7950" max="8192" width="9" style="1155"/>
    <col min="8193" max="8193" width="4.90625" style="1155" customWidth="1"/>
    <col min="8194" max="8194" width="13.26953125" style="1155" customWidth="1"/>
    <col min="8195" max="8195" width="15.6328125" style="1155" customWidth="1"/>
    <col min="8196" max="8196" width="9.36328125" style="1155" bestFit="1" customWidth="1"/>
    <col min="8197" max="8197" width="13.453125" style="1155" customWidth="1"/>
    <col min="8198" max="8198" width="9" style="1155"/>
    <col min="8199" max="8199" width="9.36328125" style="1155" bestFit="1" customWidth="1"/>
    <col min="8200" max="8201" width="9" style="1155"/>
    <col min="8202" max="8202" width="9.36328125" style="1155" bestFit="1" customWidth="1"/>
    <col min="8203" max="8203" width="4" style="1155" customWidth="1"/>
    <col min="8204" max="8204" width="5.08984375" style="1155" customWidth="1"/>
    <col min="8205" max="8205" width="13.7265625" style="1155" customWidth="1"/>
    <col min="8206" max="8448" width="9" style="1155"/>
    <col min="8449" max="8449" width="4.90625" style="1155" customWidth="1"/>
    <col min="8450" max="8450" width="13.26953125" style="1155" customWidth="1"/>
    <col min="8451" max="8451" width="15.6328125" style="1155" customWidth="1"/>
    <col min="8452" max="8452" width="9.36328125" style="1155" bestFit="1" customWidth="1"/>
    <col min="8453" max="8453" width="13.453125" style="1155" customWidth="1"/>
    <col min="8454" max="8454" width="9" style="1155"/>
    <col min="8455" max="8455" width="9.36328125" style="1155" bestFit="1" customWidth="1"/>
    <col min="8456" max="8457" width="9" style="1155"/>
    <col min="8458" max="8458" width="9.36328125" style="1155" bestFit="1" customWidth="1"/>
    <col min="8459" max="8459" width="4" style="1155" customWidth="1"/>
    <col min="8460" max="8460" width="5.08984375" style="1155" customWidth="1"/>
    <col min="8461" max="8461" width="13.7265625" style="1155" customWidth="1"/>
    <col min="8462" max="8704" width="9" style="1155"/>
    <col min="8705" max="8705" width="4.90625" style="1155" customWidth="1"/>
    <col min="8706" max="8706" width="13.26953125" style="1155" customWidth="1"/>
    <col min="8707" max="8707" width="15.6328125" style="1155" customWidth="1"/>
    <col min="8708" max="8708" width="9.36328125" style="1155" bestFit="1" customWidth="1"/>
    <col min="8709" max="8709" width="13.453125" style="1155" customWidth="1"/>
    <col min="8710" max="8710" width="9" style="1155"/>
    <col min="8711" max="8711" width="9.36328125" style="1155" bestFit="1" customWidth="1"/>
    <col min="8712" max="8713" width="9" style="1155"/>
    <col min="8714" max="8714" width="9.36328125" style="1155" bestFit="1" customWidth="1"/>
    <col min="8715" max="8715" width="4" style="1155" customWidth="1"/>
    <col min="8716" max="8716" width="5.08984375" style="1155" customWidth="1"/>
    <col min="8717" max="8717" width="13.7265625" style="1155" customWidth="1"/>
    <col min="8718" max="8960" width="9" style="1155"/>
    <col min="8961" max="8961" width="4.90625" style="1155" customWidth="1"/>
    <col min="8962" max="8962" width="13.26953125" style="1155" customWidth="1"/>
    <col min="8963" max="8963" width="15.6328125" style="1155" customWidth="1"/>
    <col min="8964" max="8964" width="9.36328125" style="1155" bestFit="1" customWidth="1"/>
    <col min="8965" max="8965" width="13.453125" style="1155" customWidth="1"/>
    <col min="8966" max="8966" width="9" style="1155"/>
    <col min="8967" max="8967" width="9.36328125" style="1155" bestFit="1" customWidth="1"/>
    <col min="8968" max="8969" width="9" style="1155"/>
    <col min="8970" max="8970" width="9.36328125" style="1155" bestFit="1" customWidth="1"/>
    <col min="8971" max="8971" width="4" style="1155" customWidth="1"/>
    <col min="8972" max="8972" width="5.08984375" style="1155" customWidth="1"/>
    <col min="8973" max="8973" width="13.7265625" style="1155" customWidth="1"/>
    <col min="8974" max="9216" width="9" style="1155"/>
    <col min="9217" max="9217" width="4.90625" style="1155" customWidth="1"/>
    <col min="9218" max="9218" width="13.26953125" style="1155" customWidth="1"/>
    <col min="9219" max="9219" width="15.6328125" style="1155" customWidth="1"/>
    <col min="9220" max="9220" width="9.36328125" style="1155" bestFit="1" customWidth="1"/>
    <col min="9221" max="9221" width="13.453125" style="1155" customWidth="1"/>
    <col min="9222" max="9222" width="9" style="1155"/>
    <col min="9223" max="9223" width="9.36328125" style="1155" bestFit="1" customWidth="1"/>
    <col min="9224" max="9225" width="9" style="1155"/>
    <col min="9226" max="9226" width="9.36328125" style="1155" bestFit="1" customWidth="1"/>
    <col min="9227" max="9227" width="4" style="1155" customWidth="1"/>
    <col min="9228" max="9228" width="5.08984375" style="1155" customWidth="1"/>
    <col min="9229" max="9229" width="13.7265625" style="1155" customWidth="1"/>
    <col min="9230" max="9472" width="9" style="1155"/>
    <col min="9473" max="9473" width="4.90625" style="1155" customWidth="1"/>
    <col min="9474" max="9474" width="13.26953125" style="1155" customWidth="1"/>
    <col min="9475" max="9475" width="15.6328125" style="1155" customWidth="1"/>
    <col min="9476" max="9476" width="9.36328125" style="1155" bestFit="1" customWidth="1"/>
    <col min="9477" max="9477" width="13.453125" style="1155" customWidth="1"/>
    <col min="9478" max="9478" width="9" style="1155"/>
    <col min="9479" max="9479" width="9.36328125" style="1155" bestFit="1" customWidth="1"/>
    <col min="9480" max="9481" width="9" style="1155"/>
    <col min="9482" max="9482" width="9.36328125" style="1155" bestFit="1" customWidth="1"/>
    <col min="9483" max="9483" width="4" style="1155" customWidth="1"/>
    <col min="9484" max="9484" width="5.08984375" style="1155" customWidth="1"/>
    <col min="9485" max="9485" width="13.7265625" style="1155" customWidth="1"/>
    <col min="9486" max="9728" width="9" style="1155"/>
    <col min="9729" max="9729" width="4.90625" style="1155" customWidth="1"/>
    <col min="9730" max="9730" width="13.26953125" style="1155" customWidth="1"/>
    <col min="9731" max="9731" width="15.6328125" style="1155" customWidth="1"/>
    <col min="9732" max="9732" width="9.36328125" style="1155" bestFit="1" customWidth="1"/>
    <col min="9733" max="9733" width="13.453125" style="1155" customWidth="1"/>
    <col min="9734" max="9734" width="9" style="1155"/>
    <col min="9735" max="9735" width="9.36328125" style="1155" bestFit="1" customWidth="1"/>
    <col min="9736" max="9737" width="9" style="1155"/>
    <col min="9738" max="9738" width="9.36328125" style="1155" bestFit="1" customWidth="1"/>
    <col min="9739" max="9739" width="4" style="1155" customWidth="1"/>
    <col min="9740" max="9740" width="5.08984375" style="1155" customWidth="1"/>
    <col min="9741" max="9741" width="13.7265625" style="1155" customWidth="1"/>
    <col min="9742" max="9984" width="9" style="1155"/>
    <col min="9985" max="9985" width="4.90625" style="1155" customWidth="1"/>
    <col min="9986" max="9986" width="13.26953125" style="1155" customWidth="1"/>
    <col min="9987" max="9987" width="15.6328125" style="1155" customWidth="1"/>
    <col min="9988" max="9988" width="9.36328125" style="1155" bestFit="1" customWidth="1"/>
    <col min="9989" max="9989" width="13.453125" style="1155" customWidth="1"/>
    <col min="9990" max="9990" width="9" style="1155"/>
    <col min="9991" max="9991" width="9.36328125" style="1155" bestFit="1" customWidth="1"/>
    <col min="9992" max="9993" width="9" style="1155"/>
    <col min="9994" max="9994" width="9.36328125" style="1155" bestFit="1" customWidth="1"/>
    <col min="9995" max="9995" width="4" style="1155" customWidth="1"/>
    <col min="9996" max="9996" width="5.08984375" style="1155" customWidth="1"/>
    <col min="9997" max="9997" width="13.7265625" style="1155" customWidth="1"/>
    <col min="9998" max="10240" width="9" style="1155"/>
    <col min="10241" max="10241" width="4.90625" style="1155" customWidth="1"/>
    <col min="10242" max="10242" width="13.26953125" style="1155" customWidth="1"/>
    <col min="10243" max="10243" width="15.6328125" style="1155" customWidth="1"/>
    <col min="10244" max="10244" width="9.36328125" style="1155" bestFit="1" customWidth="1"/>
    <col min="10245" max="10245" width="13.453125" style="1155" customWidth="1"/>
    <col min="10246" max="10246" width="9" style="1155"/>
    <col min="10247" max="10247" width="9.36328125" style="1155" bestFit="1" customWidth="1"/>
    <col min="10248" max="10249" width="9" style="1155"/>
    <col min="10250" max="10250" width="9.36328125" style="1155" bestFit="1" customWidth="1"/>
    <col min="10251" max="10251" width="4" style="1155" customWidth="1"/>
    <col min="10252" max="10252" width="5.08984375" style="1155" customWidth="1"/>
    <col min="10253" max="10253" width="13.7265625" style="1155" customWidth="1"/>
    <col min="10254" max="10496" width="9" style="1155"/>
    <col min="10497" max="10497" width="4.90625" style="1155" customWidth="1"/>
    <col min="10498" max="10498" width="13.26953125" style="1155" customWidth="1"/>
    <col min="10499" max="10499" width="15.6328125" style="1155" customWidth="1"/>
    <col min="10500" max="10500" width="9.36328125" style="1155" bestFit="1" customWidth="1"/>
    <col min="10501" max="10501" width="13.453125" style="1155" customWidth="1"/>
    <col min="10502" max="10502" width="9" style="1155"/>
    <col min="10503" max="10503" width="9.36328125" style="1155" bestFit="1" customWidth="1"/>
    <col min="10504" max="10505" width="9" style="1155"/>
    <col min="10506" max="10506" width="9.36328125" style="1155" bestFit="1" customWidth="1"/>
    <col min="10507" max="10507" width="4" style="1155" customWidth="1"/>
    <col min="10508" max="10508" width="5.08984375" style="1155" customWidth="1"/>
    <col min="10509" max="10509" width="13.7265625" style="1155" customWidth="1"/>
    <col min="10510" max="10752" width="9" style="1155"/>
    <col min="10753" max="10753" width="4.90625" style="1155" customWidth="1"/>
    <col min="10754" max="10754" width="13.26953125" style="1155" customWidth="1"/>
    <col min="10755" max="10755" width="15.6328125" style="1155" customWidth="1"/>
    <col min="10756" max="10756" width="9.36328125" style="1155" bestFit="1" customWidth="1"/>
    <col min="10757" max="10757" width="13.453125" style="1155" customWidth="1"/>
    <col min="10758" max="10758" width="9" style="1155"/>
    <col min="10759" max="10759" width="9.36328125" style="1155" bestFit="1" customWidth="1"/>
    <col min="10760" max="10761" width="9" style="1155"/>
    <col min="10762" max="10762" width="9.36328125" style="1155" bestFit="1" customWidth="1"/>
    <col min="10763" max="10763" width="4" style="1155" customWidth="1"/>
    <col min="10764" max="10764" width="5.08984375" style="1155" customWidth="1"/>
    <col min="10765" max="10765" width="13.7265625" style="1155" customWidth="1"/>
    <col min="10766" max="11008" width="9" style="1155"/>
    <col min="11009" max="11009" width="4.90625" style="1155" customWidth="1"/>
    <col min="11010" max="11010" width="13.26953125" style="1155" customWidth="1"/>
    <col min="11011" max="11011" width="15.6328125" style="1155" customWidth="1"/>
    <col min="11012" max="11012" width="9.36328125" style="1155" bestFit="1" customWidth="1"/>
    <col min="11013" max="11013" width="13.453125" style="1155" customWidth="1"/>
    <col min="11014" max="11014" width="9" style="1155"/>
    <col min="11015" max="11015" width="9.36328125" style="1155" bestFit="1" customWidth="1"/>
    <col min="11016" max="11017" width="9" style="1155"/>
    <col min="11018" max="11018" width="9.36328125" style="1155" bestFit="1" customWidth="1"/>
    <col min="11019" max="11019" width="4" style="1155" customWidth="1"/>
    <col min="11020" max="11020" width="5.08984375" style="1155" customWidth="1"/>
    <col min="11021" max="11021" width="13.7265625" style="1155" customWidth="1"/>
    <col min="11022" max="11264" width="9" style="1155"/>
    <col min="11265" max="11265" width="4.90625" style="1155" customWidth="1"/>
    <col min="11266" max="11266" width="13.26953125" style="1155" customWidth="1"/>
    <col min="11267" max="11267" width="15.6328125" style="1155" customWidth="1"/>
    <col min="11268" max="11268" width="9.36328125" style="1155" bestFit="1" customWidth="1"/>
    <col min="11269" max="11269" width="13.453125" style="1155" customWidth="1"/>
    <col min="11270" max="11270" width="9" style="1155"/>
    <col min="11271" max="11271" width="9.36328125" style="1155" bestFit="1" customWidth="1"/>
    <col min="11272" max="11273" width="9" style="1155"/>
    <col min="11274" max="11274" width="9.36328125" style="1155" bestFit="1" customWidth="1"/>
    <col min="11275" max="11275" width="4" style="1155" customWidth="1"/>
    <col min="11276" max="11276" width="5.08984375" style="1155" customWidth="1"/>
    <col min="11277" max="11277" width="13.7265625" style="1155" customWidth="1"/>
    <col min="11278" max="11520" width="9" style="1155"/>
    <col min="11521" max="11521" width="4.90625" style="1155" customWidth="1"/>
    <col min="11522" max="11522" width="13.26953125" style="1155" customWidth="1"/>
    <col min="11523" max="11523" width="15.6328125" style="1155" customWidth="1"/>
    <col min="11524" max="11524" width="9.36328125" style="1155" bestFit="1" customWidth="1"/>
    <col min="11525" max="11525" width="13.453125" style="1155" customWidth="1"/>
    <col min="11526" max="11526" width="9" style="1155"/>
    <col min="11527" max="11527" width="9.36328125" style="1155" bestFit="1" customWidth="1"/>
    <col min="11528" max="11529" width="9" style="1155"/>
    <col min="11530" max="11530" width="9.36328125" style="1155" bestFit="1" customWidth="1"/>
    <col min="11531" max="11531" width="4" style="1155" customWidth="1"/>
    <col min="11532" max="11532" width="5.08984375" style="1155" customWidth="1"/>
    <col min="11533" max="11533" width="13.7265625" style="1155" customWidth="1"/>
    <col min="11534" max="11776" width="9" style="1155"/>
    <col min="11777" max="11777" width="4.90625" style="1155" customWidth="1"/>
    <col min="11778" max="11778" width="13.26953125" style="1155" customWidth="1"/>
    <col min="11779" max="11779" width="15.6328125" style="1155" customWidth="1"/>
    <col min="11780" max="11780" width="9.36328125" style="1155" bestFit="1" customWidth="1"/>
    <col min="11781" max="11781" width="13.453125" style="1155" customWidth="1"/>
    <col min="11782" max="11782" width="9" style="1155"/>
    <col min="11783" max="11783" width="9.36328125" style="1155" bestFit="1" customWidth="1"/>
    <col min="11784" max="11785" width="9" style="1155"/>
    <col min="11786" max="11786" width="9.36328125" style="1155" bestFit="1" customWidth="1"/>
    <col min="11787" max="11787" width="4" style="1155" customWidth="1"/>
    <col min="11788" max="11788" width="5.08984375" style="1155" customWidth="1"/>
    <col min="11789" max="11789" width="13.7265625" style="1155" customWidth="1"/>
    <col min="11790" max="12032" width="9" style="1155"/>
    <col min="12033" max="12033" width="4.90625" style="1155" customWidth="1"/>
    <col min="12034" max="12034" width="13.26953125" style="1155" customWidth="1"/>
    <col min="12035" max="12035" width="15.6328125" style="1155" customWidth="1"/>
    <col min="12036" max="12036" width="9.36328125" style="1155" bestFit="1" customWidth="1"/>
    <col min="12037" max="12037" width="13.453125" style="1155" customWidth="1"/>
    <col min="12038" max="12038" width="9" style="1155"/>
    <col min="12039" max="12039" width="9.36328125" style="1155" bestFit="1" customWidth="1"/>
    <col min="12040" max="12041" width="9" style="1155"/>
    <col min="12042" max="12042" width="9.36328125" style="1155" bestFit="1" customWidth="1"/>
    <col min="12043" max="12043" width="4" style="1155" customWidth="1"/>
    <col min="12044" max="12044" width="5.08984375" style="1155" customWidth="1"/>
    <col min="12045" max="12045" width="13.7265625" style="1155" customWidth="1"/>
    <col min="12046" max="12288" width="9" style="1155"/>
    <col min="12289" max="12289" width="4.90625" style="1155" customWidth="1"/>
    <col min="12290" max="12290" width="13.26953125" style="1155" customWidth="1"/>
    <col min="12291" max="12291" width="15.6328125" style="1155" customWidth="1"/>
    <col min="12292" max="12292" width="9.36328125" style="1155" bestFit="1" customWidth="1"/>
    <col min="12293" max="12293" width="13.453125" style="1155" customWidth="1"/>
    <col min="12294" max="12294" width="9" style="1155"/>
    <col min="12295" max="12295" width="9.36328125" style="1155" bestFit="1" customWidth="1"/>
    <col min="12296" max="12297" width="9" style="1155"/>
    <col min="12298" max="12298" width="9.36328125" style="1155" bestFit="1" customWidth="1"/>
    <col min="12299" max="12299" width="4" style="1155" customWidth="1"/>
    <col min="12300" max="12300" width="5.08984375" style="1155" customWidth="1"/>
    <col min="12301" max="12301" width="13.7265625" style="1155" customWidth="1"/>
    <col min="12302" max="12544" width="9" style="1155"/>
    <col min="12545" max="12545" width="4.90625" style="1155" customWidth="1"/>
    <col min="12546" max="12546" width="13.26953125" style="1155" customWidth="1"/>
    <col min="12547" max="12547" width="15.6328125" style="1155" customWidth="1"/>
    <col min="12548" max="12548" width="9.36328125" style="1155" bestFit="1" customWidth="1"/>
    <col min="12549" max="12549" width="13.453125" style="1155" customWidth="1"/>
    <col min="12550" max="12550" width="9" style="1155"/>
    <col min="12551" max="12551" width="9.36328125" style="1155" bestFit="1" customWidth="1"/>
    <col min="12552" max="12553" width="9" style="1155"/>
    <col min="12554" max="12554" width="9.36328125" style="1155" bestFit="1" customWidth="1"/>
    <col min="12555" max="12555" width="4" style="1155" customWidth="1"/>
    <col min="12556" max="12556" width="5.08984375" style="1155" customWidth="1"/>
    <col min="12557" max="12557" width="13.7265625" style="1155" customWidth="1"/>
    <col min="12558" max="12800" width="9" style="1155"/>
    <col min="12801" max="12801" width="4.90625" style="1155" customWidth="1"/>
    <col min="12802" max="12802" width="13.26953125" style="1155" customWidth="1"/>
    <col min="12803" max="12803" width="15.6328125" style="1155" customWidth="1"/>
    <col min="12804" max="12804" width="9.36328125" style="1155" bestFit="1" customWidth="1"/>
    <col min="12805" max="12805" width="13.453125" style="1155" customWidth="1"/>
    <col min="12806" max="12806" width="9" style="1155"/>
    <col min="12807" max="12807" width="9.36328125" style="1155" bestFit="1" customWidth="1"/>
    <col min="12808" max="12809" width="9" style="1155"/>
    <col min="12810" max="12810" width="9.36328125" style="1155" bestFit="1" customWidth="1"/>
    <col min="12811" max="12811" width="4" style="1155" customWidth="1"/>
    <col min="12812" max="12812" width="5.08984375" style="1155" customWidth="1"/>
    <col min="12813" max="12813" width="13.7265625" style="1155" customWidth="1"/>
    <col min="12814" max="13056" width="9" style="1155"/>
    <col min="13057" max="13057" width="4.90625" style="1155" customWidth="1"/>
    <col min="13058" max="13058" width="13.26953125" style="1155" customWidth="1"/>
    <col min="13059" max="13059" width="15.6328125" style="1155" customWidth="1"/>
    <col min="13060" max="13060" width="9.36328125" style="1155" bestFit="1" customWidth="1"/>
    <col min="13061" max="13061" width="13.453125" style="1155" customWidth="1"/>
    <col min="13062" max="13062" width="9" style="1155"/>
    <col min="13063" max="13063" width="9.36328125" style="1155" bestFit="1" customWidth="1"/>
    <col min="13064" max="13065" width="9" style="1155"/>
    <col min="13066" max="13066" width="9.36328125" style="1155" bestFit="1" customWidth="1"/>
    <col min="13067" max="13067" width="4" style="1155" customWidth="1"/>
    <col min="13068" max="13068" width="5.08984375" style="1155" customWidth="1"/>
    <col min="13069" max="13069" width="13.7265625" style="1155" customWidth="1"/>
    <col min="13070" max="13312" width="9" style="1155"/>
    <col min="13313" max="13313" width="4.90625" style="1155" customWidth="1"/>
    <col min="13314" max="13314" width="13.26953125" style="1155" customWidth="1"/>
    <col min="13315" max="13315" width="15.6328125" style="1155" customWidth="1"/>
    <col min="13316" max="13316" width="9.36328125" style="1155" bestFit="1" customWidth="1"/>
    <col min="13317" max="13317" width="13.453125" style="1155" customWidth="1"/>
    <col min="13318" max="13318" width="9" style="1155"/>
    <col min="13319" max="13319" width="9.36328125" style="1155" bestFit="1" customWidth="1"/>
    <col min="13320" max="13321" width="9" style="1155"/>
    <col min="13322" max="13322" width="9.36328125" style="1155" bestFit="1" customWidth="1"/>
    <col min="13323" max="13323" width="4" style="1155" customWidth="1"/>
    <col min="13324" max="13324" width="5.08984375" style="1155" customWidth="1"/>
    <col min="13325" max="13325" width="13.7265625" style="1155" customWidth="1"/>
    <col min="13326" max="13568" width="9" style="1155"/>
    <col min="13569" max="13569" width="4.90625" style="1155" customWidth="1"/>
    <col min="13570" max="13570" width="13.26953125" style="1155" customWidth="1"/>
    <col min="13571" max="13571" width="15.6328125" style="1155" customWidth="1"/>
    <col min="13572" max="13572" width="9.36328125" style="1155" bestFit="1" customWidth="1"/>
    <col min="13573" max="13573" width="13.453125" style="1155" customWidth="1"/>
    <col min="13574" max="13574" width="9" style="1155"/>
    <col min="13575" max="13575" width="9.36328125" style="1155" bestFit="1" customWidth="1"/>
    <col min="13576" max="13577" width="9" style="1155"/>
    <col min="13578" max="13578" width="9.36328125" style="1155" bestFit="1" customWidth="1"/>
    <col min="13579" max="13579" width="4" style="1155" customWidth="1"/>
    <col min="13580" max="13580" width="5.08984375" style="1155" customWidth="1"/>
    <col min="13581" max="13581" width="13.7265625" style="1155" customWidth="1"/>
    <col min="13582" max="13824" width="9" style="1155"/>
    <col min="13825" max="13825" width="4.90625" style="1155" customWidth="1"/>
    <col min="13826" max="13826" width="13.26953125" style="1155" customWidth="1"/>
    <col min="13827" max="13827" width="15.6328125" style="1155" customWidth="1"/>
    <col min="13828" max="13828" width="9.36328125" style="1155" bestFit="1" customWidth="1"/>
    <col min="13829" max="13829" width="13.453125" style="1155" customWidth="1"/>
    <col min="13830" max="13830" width="9" style="1155"/>
    <col min="13831" max="13831" width="9.36328125" style="1155" bestFit="1" customWidth="1"/>
    <col min="13832" max="13833" width="9" style="1155"/>
    <col min="13834" max="13834" width="9.36328125" style="1155" bestFit="1" customWidth="1"/>
    <col min="13835" max="13835" width="4" style="1155" customWidth="1"/>
    <col min="13836" max="13836" width="5.08984375" style="1155" customWidth="1"/>
    <col min="13837" max="13837" width="13.7265625" style="1155" customWidth="1"/>
    <col min="13838" max="14080" width="9" style="1155"/>
    <col min="14081" max="14081" width="4.90625" style="1155" customWidth="1"/>
    <col min="14082" max="14082" width="13.26953125" style="1155" customWidth="1"/>
    <col min="14083" max="14083" width="15.6328125" style="1155" customWidth="1"/>
    <col min="14084" max="14084" width="9.36328125" style="1155" bestFit="1" customWidth="1"/>
    <col min="14085" max="14085" width="13.453125" style="1155" customWidth="1"/>
    <col min="14086" max="14086" width="9" style="1155"/>
    <col min="14087" max="14087" width="9.36328125" style="1155" bestFit="1" customWidth="1"/>
    <col min="14088" max="14089" width="9" style="1155"/>
    <col min="14090" max="14090" width="9.36328125" style="1155" bestFit="1" customWidth="1"/>
    <col min="14091" max="14091" width="4" style="1155" customWidth="1"/>
    <col min="14092" max="14092" width="5.08984375" style="1155" customWidth="1"/>
    <col min="14093" max="14093" width="13.7265625" style="1155" customWidth="1"/>
    <col min="14094" max="14336" width="9" style="1155"/>
    <col min="14337" max="14337" width="4.90625" style="1155" customWidth="1"/>
    <col min="14338" max="14338" width="13.26953125" style="1155" customWidth="1"/>
    <col min="14339" max="14339" width="15.6328125" style="1155" customWidth="1"/>
    <col min="14340" max="14340" width="9.36328125" style="1155" bestFit="1" customWidth="1"/>
    <col min="14341" max="14341" width="13.453125" style="1155" customWidth="1"/>
    <col min="14342" max="14342" width="9" style="1155"/>
    <col min="14343" max="14343" width="9.36328125" style="1155" bestFit="1" customWidth="1"/>
    <col min="14344" max="14345" width="9" style="1155"/>
    <col min="14346" max="14346" width="9.36328125" style="1155" bestFit="1" customWidth="1"/>
    <col min="14347" max="14347" width="4" style="1155" customWidth="1"/>
    <col min="14348" max="14348" width="5.08984375" style="1155" customWidth="1"/>
    <col min="14349" max="14349" width="13.7265625" style="1155" customWidth="1"/>
    <col min="14350" max="14592" width="9" style="1155"/>
    <col min="14593" max="14593" width="4.90625" style="1155" customWidth="1"/>
    <col min="14594" max="14594" width="13.26953125" style="1155" customWidth="1"/>
    <col min="14595" max="14595" width="15.6328125" style="1155" customWidth="1"/>
    <col min="14596" max="14596" width="9.36328125" style="1155" bestFit="1" customWidth="1"/>
    <col min="14597" max="14597" width="13.453125" style="1155" customWidth="1"/>
    <col min="14598" max="14598" width="9" style="1155"/>
    <col min="14599" max="14599" width="9.36328125" style="1155" bestFit="1" customWidth="1"/>
    <col min="14600" max="14601" width="9" style="1155"/>
    <col min="14602" max="14602" width="9.36328125" style="1155" bestFit="1" customWidth="1"/>
    <col min="14603" max="14603" width="4" style="1155" customWidth="1"/>
    <col min="14604" max="14604" width="5.08984375" style="1155" customWidth="1"/>
    <col min="14605" max="14605" width="13.7265625" style="1155" customWidth="1"/>
    <col min="14606" max="14848" width="9" style="1155"/>
    <col min="14849" max="14849" width="4.90625" style="1155" customWidth="1"/>
    <col min="14850" max="14850" width="13.26953125" style="1155" customWidth="1"/>
    <col min="14851" max="14851" width="15.6328125" style="1155" customWidth="1"/>
    <col min="14852" max="14852" width="9.36328125" style="1155" bestFit="1" customWidth="1"/>
    <col min="14853" max="14853" width="13.453125" style="1155" customWidth="1"/>
    <col min="14854" max="14854" width="9" style="1155"/>
    <col min="14855" max="14855" width="9.36328125" style="1155" bestFit="1" customWidth="1"/>
    <col min="14856" max="14857" width="9" style="1155"/>
    <col min="14858" max="14858" width="9.36328125" style="1155" bestFit="1" customWidth="1"/>
    <col min="14859" max="14859" width="4" style="1155" customWidth="1"/>
    <col min="14860" max="14860" width="5.08984375" style="1155" customWidth="1"/>
    <col min="14861" max="14861" width="13.7265625" style="1155" customWidth="1"/>
    <col min="14862" max="15104" width="9" style="1155"/>
    <col min="15105" max="15105" width="4.90625" style="1155" customWidth="1"/>
    <col min="15106" max="15106" width="13.26953125" style="1155" customWidth="1"/>
    <col min="15107" max="15107" width="15.6328125" style="1155" customWidth="1"/>
    <col min="15108" max="15108" width="9.36328125" style="1155" bestFit="1" customWidth="1"/>
    <col min="15109" max="15109" width="13.453125" style="1155" customWidth="1"/>
    <col min="15110" max="15110" width="9" style="1155"/>
    <col min="15111" max="15111" width="9.36328125" style="1155" bestFit="1" customWidth="1"/>
    <col min="15112" max="15113" width="9" style="1155"/>
    <col min="15114" max="15114" width="9.36328125" style="1155" bestFit="1" customWidth="1"/>
    <col min="15115" max="15115" width="4" style="1155" customWidth="1"/>
    <col min="15116" max="15116" width="5.08984375" style="1155" customWidth="1"/>
    <col min="15117" max="15117" width="13.7265625" style="1155" customWidth="1"/>
    <col min="15118" max="15360" width="9" style="1155"/>
    <col min="15361" max="15361" width="4.90625" style="1155" customWidth="1"/>
    <col min="15362" max="15362" width="13.26953125" style="1155" customWidth="1"/>
    <col min="15363" max="15363" width="15.6328125" style="1155" customWidth="1"/>
    <col min="15364" max="15364" width="9.36328125" style="1155" bestFit="1" customWidth="1"/>
    <col min="15365" max="15365" width="13.453125" style="1155" customWidth="1"/>
    <col min="15366" max="15366" width="9" style="1155"/>
    <col min="15367" max="15367" width="9.36328125" style="1155" bestFit="1" customWidth="1"/>
    <col min="15368" max="15369" width="9" style="1155"/>
    <col min="15370" max="15370" width="9.36328125" style="1155" bestFit="1" customWidth="1"/>
    <col min="15371" max="15371" width="4" style="1155" customWidth="1"/>
    <col min="15372" max="15372" width="5.08984375" style="1155" customWidth="1"/>
    <col min="15373" max="15373" width="13.7265625" style="1155" customWidth="1"/>
    <col min="15374" max="15616" width="9" style="1155"/>
    <col min="15617" max="15617" width="4.90625" style="1155" customWidth="1"/>
    <col min="15618" max="15618" width="13.26953125" style="1155" customWidth="1"/>
    <col min="15619" max="15619" width="15.6328125" style="1155" customWidth="1"/>
    <col min="15620" max="15620" width="9.36328125" style="1155" bestFit="1" customWidth="1"/>
    <col min="15621" max="15621" width="13.453125" style="1155" customWidth="1"/>
    <col min="15622" max="15622" width="9" style="1155"/>
    <col min="15623" max="15623" width="9.36328125" style="1155" bestFit="1" customWidth="1"/>
    <col min="15624" max="15625" width="9" style="1155"/>
    <col min="15626" max="15626" width="9.36328125" style="1155" bestFit="1" customWidth="1"/>
    <col min="15627" max="15627" width="4" style="1155" customWidth="1"/>
    <col min="15628" max="15628" width="5.08984375" style="1155" customWidth="1"/>
    <col min="15629" max="15629" width="13.7265625" style="1155" customWidth="1"/>
    <col min="15630" max="15872" width="9" style="1155"/>
    <col min="15873" max="15873" width="4.90625" style="1155" customWidth="1"/>
    <col min="15874" max="15874" width="13.26953125" style="1155" customWidth="1"/>
    <col min="15875" max="15875" width="15.6328125" style="1155" customWidth="1"/>
    <col min="15876" max="15876" width="9.36328125" style="1155" bestFit="1" customWidth="1"/>
    <col min="15877" max="15877" width="13.453125" style="1155" customWidth="1"/>
    <col min="15878" max="15878" width="9" style="1155"/>
    <col min="15879" max="15879" width="9.36328125" style="1155" bestFit="1" customWidth="1"/>
    <col min="15880" max="15881" width="9" style="1155"/>
    <col min="15882" max="15882" width="9.36328125" style="1155" bestFit="1" customWidth="1"/>
    <col min="15883" max="15883" width="4" style="1155" customWidth="1"/>
    <col min="15884" max="15884" width="5.08984375" style="1155" customWidth="1"/>
    <col min="15885" max="15885" width="13.7265625" style="1155" customWidth="1"/>
    <col min="15886" max="16128" width="9" style="1155"/>
    <col min="16129" max="16129" width="4.90625" style="1155" customWidth="1"/>
    <col min="16130" max="16130" width="13.26953125" style="1155" customWidth="1"/>
    <col min="16131" max="16131" width="15.6328125" style="1155" customWidth="1"/>
    <col min="16132" max="16132" width="9.36328125" style="1155" bestFit="1" customWidth="1"/>
    <col min="16133" max="16133" width="13.453125" style="1155" customWidth="1"/>
    <col min="16134" max="16134" width="9" style="1155"/>
    <col min="16135" max="16135" width="9.36328125" style="1155" bestFit="1" customWidth="1"/>
    <col min="16136" max="16137" width="9" style="1155"/>
    <col min="16138" max="16138" width="9.36328125" style="1155" bestFit="1" customWidth="1"/>
    <col min="16139" max="16139" width="4" style="1155" customWidth="1"/>
    <col min="16140" max="16140" width="5.08984375" style="1155" customWidth="1"/>
    <col min="16141" max="16141" width="13.7265625" style="1155" customWidth="1"/>
    <col min="16142" max="16384" width="9" style="1155"/>
  </cols>
  <sheetData>
    <row r="1" spans="1:257" s="1215" customFormat="1" ht="14.5" thickBot="1">
      <c r="A1" s="1209"/>
      <c r="B1" s="1216" t="s">
        <v>602</v>
      </c>
      <c r="C1" s="1210">
        <f>项目基本情况!D3</f>
        <v>46022</v>
      </c>
      <c r="D1" s="1216" t="s">
        <v>603</v>
      </c>
      <c r="E1" s="1211">
        <f>'数据-取费表'!B22</f>
        <v>1</v>
      </c>
      <c r="F1" s="1216" t="s">
        <v>604</v>
      </c>
      <c r="G1" s="1212">
        <f ca="1">IF(OR(C1&lt;C27,E1&lt;=1),INDIRECT("d"&amp;$K$1)/100,ROUND((D5+(E1-C5)*(D7-D5)/(C7-C5))/100,4))</f>
        <v>0.03</v>
      </c>
      <c r="H1" s="1216" t="s">
        <v>634</v>
      </c>
      <c r="I1" s="1212">
        <f ca="1">F4/100</f>
        <v>1.4999999999999999E-2</v>
      </c>
      <c r="J1" s="1217">
        <f>IF(C1&gt;C13,0,MATCH(C1,C$13:C$115,-1))+IF(SUMIF(C13:C115,C1,D13:D115)=0,13,12)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1">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3">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0">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
      <c r="B27" s="1199" t="s">
        <v>2309</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6">
      <c r="A3" s="3183"/>
      <c r="B3" s="3183"/>
      <c r="C3" s="3183"/>
      <c r="D3" s="801" t="s">
        <v>925</v>
      </c>
      <c r="E3" s="801" t="s">
        <v>931</v>
      </c>
      <c r="F3" s="801" t="s">
        <v>925</v>
      </c>
      <c r="G3" s="801" t="s">
        <v>926</v>
      </c>
      <c r="H3" s="801" t="s">
        <v>925</v>
      </c>
      <c r="I3" s="801" t="s">
        <v>926</v>
      </c>
    </row>
    <row r="4" spans="1:9" ht="15.5">
      <c r="A4" s="1402" t="str">
        <f>项目基本情况!S2</f>
        <v>北京市房地产</v>
      </c>
      <c r="B4" s="801">
        <f>项目基本情况!C17</f>
        <v>2738.73</v>
      </c>
      <c r="C4" s="801">
        <f>项目基本情况!C18</f>
        <v>5038.53</v>
      </c>
      <c r="D4" s="801">
        <f ca="1">结果表!D118</f>
        <v>802</v>
      </c>
      <c r="E4" s="801">
        <f ca="1">结果表!E118</f>
        <v>2928</v>
      </c>
      <c r="F4" s="801">
        <f ca="1">结果表!F118</f>
        <v>571</v>
      </c>
      <c r="G4" s="801">
        <f ca="1">结果表!G118</f>
        <v>2085</v>
      </c>
      <c r="H4" s="801">
        <f ca="1">结果表!H118</f>
        <v>1373</v>
      </c>
      <c r="I4" s="801">
        <f ca="1">结果表!I118</f>
        <v>5013</v>
      </c>
    </row>
    <row r="5" spans="1:9" ht="30" customHeight="1">
      <c r="A5" s="3183" t="s">
        <v>927</v>
      </c>
      <c r="B5" s="3183"/>
      <c r="C5" s="3183"/>
      <c r="D5" s="3183" t="str">
        <f ca="1">结果表!D119</f>
        <v>捌佰零贰万元整</v>
      </c>
      <c r="E5" s="3183"/>
      <c r="F5" s="3183" t="str">
        <f ca="1">结果表!F119</f>
        <v>伍佰柒拾壹万元整</v>
      </c>
      <c r="G5" s="3183"/>
      <c r="H5" s="3183" t="str">
        <f ca="1">结果表!H119</f>
        <v>壹仟叁佰柒拾叁万元整</v>
      </c>
      <c r="I5" s="3183"/>
    </row>
    <row r="6" spans="1:9" ht="15.5">
      <c r="A6" s="3182" t="str">
        <f>结果表!A120</f>
        <v>估价师知悉的法定优先受偿款</v>
      </c>
      <c r="B6" s="3182"/>
      <c r="C6" s="3182"/>
      <c r="D6" s="3182">
        <f>结果表!D120</f>
        <v>0</v>
      </c>
      <c r="E6" s="3182"/>
      <c r="F6" s="3182"/>
      <c r="G6" s="3182"/>
      <c r="H6" s="3182"/>
      <c r="I6" s="3182"/>
    </row>
    <row r="7" spans="1:9" ht="15.5">
      <c r="A7" s="3183" t="s">
        <v>927</v>
      </c>
      <c r="B7" s="3183"/>
      <c r="C7" s="3183"/>
      <c r="D7" s="3184" t="str">
        <f>结果表!D121</f>
        <v>零元整</v>
      </c>
      <c r="E7" s="3185"/>
      <c r="F7" s="3185"/>
      <c r="G7" s="3185"/>
      <c r="H7" s="3185"/>
      <c r="I7" s="3186"/>
    </row>
    <row r="8" spans="1:9" ht="15.5">
      <c r="A8" s="3182" t="str">
        <f>结果表!A122</f>
        <v>房地产抵押价值</v>
      </c>
      <c r="B8" s="3182"/>
      <c r="C8" s="3182"/>
      <c r="D8" s="3182">
        <f ca="1">结果表!D122</f>
        <v>1373</v>
      </c>
      <c r="E8" s="3182"/>
      <c r="F8" s="3182"/>
      <c r="G8" s="3182"/>
      <c r="H8" s="3182"/>
      <c r="I8" s="3182"/>
    </row>
    <row r="9" spans="1:9" ht="15.5">
      <c r="A9" s="3183" t="s">
        <v>927</v>
      </c>
      <c r="B9" s="3183"/>
      <c r="C9" s="3183"/>
      <c r="D9" s="3183" t="str">
        <f ca="1">结果表!D123</f>
        <v>壹仟叁佰柒拾叁万元整</v>
      </c>
      <c r="E9" s="3183"/>
      <c r="F9" s="3183"/>
      <c r="G9" s="3183"/>
      <c r="H9" s="3183"/>
      <c r="I9" s="3183"/>
    </row>
    <row r="10" spans="1:9" ht="15.5">
      <c r="A10" s="3182" t="str">
        <f>结果表!A124</f>
        <v/>
      </c>
      <c r="B10" s="3182"/>
      <c r="C10" s="3182"/>
      <c r="D10" s="3182" t="str">
        <f>结果表!D124</f>
        <v>——</v>
      </c>
      <c r="E10" s="3182"/>
      <c r="F10" s="3182"/>
      <c r="G10" s="3182"/>
      <c r="H10" s="3182"/>
      <c r="I10" s="3182"/>
    </row>
    <row r="11" spans="1:9" ht="15.5">
      <c r="A11" s="3183" t="s">
        <v>927</v>
      </c>
      <c r="B11" s="3183"/>
      <c r="C11" s="3183"/>
      <c r="D11" s="3183" t="e">
        <f>结果表!D125</f>
        <v>#VALUE!</v>
      </c>
      <c r="E11" s="3183"/>
      <c r="F11" s="3183"/>
      <c r="G11" s="3183"/>
      <c r="H11" s="3183"/>
      <c r="I11" s="3183"/>
    </row>
    <row r="12" spans="1:9" ht="15.5">
      <c r="A12" s="3182" t="str">
        <f>结果表!A126</f>
        <v/>
      </c>
      <c r="B12" s="3182"/>
      <c r="C12" s="3182"/>
      <c r="D12" s="3182" t="str">
        <f>结果表!D126</f>
        <v>——</v>
      </c>
      <c r="E12" s="3182"/>
      <c r="F12" s="3182"/>
      <c r="G12" s="3182"/>
      <c r="H12" s="3182"/>
      <c r="I12" s="3182"/>
    </row>
    <row r="13" spans="1:9" ht="16" thickBot="1">
      <c r="A13" s="3180" t="s">
        <v>927</v>
      </c>
      <c r="B13" s="3180"/>
      <c r="C13" s="3180"/>
      <c r="D13" s="3180" t="e">
        <f>结果表!D127</f>
        <v>#VALUE!</v>
      </c>
      <c r="E13" s="3180"/>
      <c r="F13" s="3180"/>
      <c r="G13" s="3180"/>
      <c r="H13" s="3180"/>
      <c r="I13" s="3180"/>
    </row>
    <row r="14" spans="1:9" ht="14.5" thickTop="1">
      <c r="A14" s="3181" t="s">
        <v>932</v>
      </c>
      <c r="B14" s="3181"/>
      <c r="C14" s="3181"/>
      <c r="D14" s="3181"/>
      <c r="E14" s="3181"/>
      <c r="F14" s="3181"/>
      <c r="G14" s="3181"/>
      <c r="H14" s="3181"/>
      <c r="I14" s="3181"/>
    </row>
    <row r="16" spans="1:9" ht="1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5" t="s">
        <v>949</v>
      </c>
      <c r="B1" s="3195"/>
      <c r="C1" s="3195"/>
      <c r="D1" s="3195"/>
    </row>
    <row r="2" spans="1:4" ht="18">
      <c r="A2" s="3196" t="s">
        <v>933</v>
      </c>
      <c r="B2" s="3196"/>
      <c r="C2" s="3196"/>
      <c r="D2" s="3196"/>
    </row>
    <row r="3" spans="1:4" ht="1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6" t="s">
        <v>939</v>
      </c>
      <c r="B6" s="3196"/>
      <c r="C6" s="3196"/>
      <c r="D6" s="3196"/>
    </row>
    <row r="7" spans="1:4" ht="17.5">
      <c r="A7" s="1406" t="s">
        <v>934</v>
      </c>
      <c r="B7" s="1408" t="s">
        <v>940</v>
      </c>
      <c r="C7" s="1406" t="s">
        <v>936</v>
      </c>
      <c r="D7" s="1406" t="s">
        <v>937</v>
      </c>
    </row>
    <row r="8" spans="1:4" ht="56.25" customHeight="1">
      <c r="A8" s="1412" t="s">
        <v>390</v>
      </c>
      <c r="B8" s="1412" t="s">
        <v>0</v>
      </c>
      <c r="C8" s="1409"/>
      <c r="D8" s="1410" t="s">
        <v>938</v>
      </c>
    </row>
    <row r="10" spans="1:4" ht="18">
      <c r="A10" s="1413" t="s">
        <v>941</v>
      </c>
    </row>
    <row r="11" spans="1:4" ht="30" customHeight="1">
      <c r="A11" s="3197" t="s">
        <v>942</v>
      </c>
      <c r="B11" s="3189"/>
      <c r="C11" s="3189"/>
      <c r="D11" s="3189"/>
    </row>
    <row r="12" spans="1:4" ht="15.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89" t="str">
        <f>IF(项目基本情况!B8="抵押","4.本次评估估价师所知悉的法定优先受偿款情况说明如下：","——")</f>
        <v>4.本次评估估价师所知悉的法定优先受偿款情况说明如下：</v>
      </c>
      <c r="B14" s="3194"/>
      <c r="C14" s="3194"/>
      <c r="D14" s="3194"/>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1" t="s">
        <v>943</v>
      </c>
      <c r="B16" s="3191"/>
      <c r="C16" s="3191"/>
      <c r="D16" s="3191"/>
    </row>
    <row r="17" spans="1:4" ht="144" customHeight="1">
      <c r="A17" s="3191" t="s">
        <v>944</v>
      </c>
      <c r="B17" s="3191"/>
      <c r="C17" s="3191"/>
      <c r="D17" s="3191"/>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2"/>
      <c r="C21" s="3192"/>
      <c r="D21" s="3192"/>
    </row>
    <row r="22" spans="1:4" ht="18.75" customHeight="1">
      <c r="A22" s="3193" t="s">
        <v>945</v>
      </c>
      <c r="B22" s="3193"/>
      <c r="C22" s="3193"/>
      <c r="D22" s="3193"/>
    </row>
    <row r="23" spans="1:4">
      <c r="A23" s="1414"/>
      <c r="B23" s="459"/>
      <c r="C23" s="459"/>
      <c r="D23" s="459"/>
    </row>
    <row r="24" spans="1:4">
      <c r="A24" s="1414"/>
      <c r="B24" s="459"/>
      <c r="C24" s="459"/>
      <c r="D24" s="459"/>
    </row>
    <row r="25" spans="1:4" ht="17.5">
      <c r="A25" s="1415" t="s">
        <v>946</v>
      </c>
    </row>
    <row r="26" spans="1:4" ht="17.5">
      <c r="A26" s="1386"/>
    </row>
    <row r="27" spans="1:4" ht="17.5">
      <c r="A27" s="1386" t="s">
        <v>947</v>
      </c>
    </row>
    <row r="30" spans="1:4" ht="17.5">
      <c r="D30" s="1415" t="s">
        <v>948</v>
      </c>
    </row>
    <row r="31" spans="1:4" ht="13.5" customHeight="1">
      <c r="C31" s="3190">
        <v>42551</v>
      </c>
      <c r="D31" s="31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8" customWidth="1"/>
    <col min="3" max="10" width="12.453125" style="1378" customWidth="1"/>
    <col min="11" max="16384" width="9" style="1378"/>
  </cols>
  <sheetData>
    <row r="1" spans="1:1" ht="17.5">
      <c r="A1" s="1405" t="s">
        <v>391</v>
      </c>
    </row>
    <row r="2" spans="1:1" ht="1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1" customWidth="1"/>
    <col min="2" max="16384" width="14.453125" style="1404"/>
  </cols>
  <sheetData>
    <row r="1" spans="1:7" s="1418" customFormat="1" ht="1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
      <c r="A15" s="3203" t="s">
        <v>956</v>
      </c>
      <c r="B15" s="3198" t="s">
        <v>109</v>
      </c>
      <c r="C15" s="3199"/>
    </row>
    <row r="16" spans="1:7" ht="14">
      <c r="A16" s="3204"/>
      <c r="B16" s="3198" t="s">
        <v>42</v>
      </c>
      <c r="C16" s="3199"/>
    </row>
    <row r="17" spans="1:3" ht="14">
      <c r="A17" s="3204"/>
      <c r="B17" s="3201" t="s">
        <v>957</v>
      </c>
      <c r="C17" s="1428" t="s">
        <v>956</v>
      </c>
    </row>
    <row r="18" spans="1:3" ht="14">
      <c r="A18" s="3204"/>
      <c r="B18" s="3201"/>
      <c r="C18" s="1428" t="s">
        <v>958</v>
      </c>
    </row>
    <row r="19" spans="1:3" ht="14">
      <c r="A19" s="3204"/>
      <c r="B19" s="3201"/>
      <c r="C19" s="1428" t="s">
        <v>959</v>
      </c>
    </row>
    <row r="20" spans="1:3" ht="14">
      <c r="A20" s="3205"/>
      <c r="B20" s="3200" t="s">
        <v>960</v>
      </c>
      <c r="C20" s="3199"/>
    </row>
    <row r="21" spans="1:3" ht="14">
      <c r="A21" s="1429" t="s">
        <v>961</v>
      </c>
      <c r="B21" s="1430"/>
      <c r="C21" s="1431"/>
    </row>
    <row r="22" spans="1:3" ht="14">
      <c r="A22" s="3202" t="s">
        <v>962</v>
      </c>
      <c r="B22" s="3200" t="s">
        <v>963</v>
      </c>
      <c r="C22" s="3199"/>
    </row>
    <row r="23" spans="1:3" ht="14">
      <c r="A23" s="3202"/>
      <c r="B23" s="3200" t="s">
        <v>964</v>
      </c>
      <c r="C23" s="3199"/>
    </row>
    <row r="24" spans="1:3" ht="14">
      <c r="A24" s="3202"/>
      <c r="B24" s="3200" t="s">
        <v>965</v>
      </c>
      <c r="C24" s="3199"/>
    </row>
    <row r="25" spans="1:3" ht="14">
      <c r="A25" s="3202"/>
      <c r="B25" s="3201" t="s">
        <v>966</v>
      </c>
      <c r="C25" s="1428" t="s">
        <v>967</v>
      </c>
    </row>
    <row r="26" spans="1:3" ht="14">
      <c r="A26" s="3202"/>
      <c r="B26" s="3201"/>
      <c r="C26" s="1428" t="s">
        <v>968</v>
      </c>
    </row>
    <row r="27" spans="1:3" ht="14">
      <c r="A27" s="3202"/>
      <c r="B27" s="3201"/>
      <c r="C27" s="1428" t="s">
        <v>969</v>
      </c>
    </row>
    <row r="28" spans="1:3" ht="14">
      <c r="A28" s="3202"/>
      <c r="B28" s="3201"/>
      <c r="C28" s="1428" t="s">
        <v>970</v>
      </c>
    </row>
    <row r="29" spans="1:3" ht="14">
      <c r="A29" s="3202"/>
      <c r="B29" s="3201"/>
      <c r="C29" s="1428" t="s">
        <v>971</v>
      </c>
    </row>
    <row r="30" spans="1:3" ht="14">
      <c r="A30" s="3202"/>
      <c r="B30" s="3201"/>
      <c r="C30" s="1428" t="s">
        <v>972</v>
      </c>
    </row>
    <row r="31" spans="1:3" ht="14">
      <c r="A31" s="3202"/>
      <c r="B31" s="3201"/>
      <c r="C31" s="1428" t="s">
        <v>973</v>
      </c>
    </row>
    <row r="32" spans="1:3" ht="14">
      <c r="A32" s="3202"/>
      <c r="B32" s="3201"/>
      <c r="C32" s="1428" t="s">
        <v>974</v>
      </c>
    </row>
    <row r="33" spans="1:3" ht="14">
      <c r="A33" s="3202"/>
      <c r="B33" s="3201"/>
      <c r="C33" s="1428" t="s">
        <v>975</v>
      </c>
    </row>
    <row r="34" spans="1:3">
      <c r="A34" s="1432" t="s">
        <v>49</v>
      </c>
    </row>
    <row r="37" spans="1:3">
      <c r="A37" s="1432" t="s">
        <v>976</v>
      </c>
    </row>
    <row r="38" spans="1:3" ht="14">
      <c r="A38" s="1433" t="s">
        <v>50</v>
      </c>
    </row>
    <row r="39" spans="1:3" ht="14">
      <c r="A39" s="1433" t="s">
        <v>51</v>
      </c>
    </row>
    <row r="40" spans="1:3" ht="14">
      <c r="A40" s="1433" t="s">
        <v>52</v>
      </c>
    </row>
    <row r="41" spans="1:3" ht="14">
      <c r="A41" s="1434" t="s">
        <v>53</v>
      </c>
    </row>
    <row r="42" spans="1:3" ht="1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4" customWidth="1"/>
    <col min="2" max="2" width="38.6328125" style="2154" customWidth="1"/>
    <col min="3" max="3" width="26" style="2154" customWidth="1"/>
    <col min="4" max="4" width="35" style="2154" hidden="1" customWidth="1"/>
    <col min="5" max="5" width="30.08984375" style="2154" customWidth="1"/>
    <col min="6" max="6" width="35.453125" style="2154" customWidth="1"/>
    <col min="7" max="7" width="31" style="2154" customWidth="1"/>
    <col min="8" max="8" width="37.453125" style="2154" hidden="1" customWidth="1"/>
    <col min="9" max="16384" width="22.6328125" style="2154"/>
  </cols>
  <sheetData>
    <row r="1" spans="1:8" ht="24" customHeight="1">
      <c r="A1" s="2153"/>
      <c r="B1" s="2153"/>
      <c r="C1" s="2153"/>
      <c r="D1" s="2153"/>
      <c r="E1" s="2153"/>
      <c r="F1" s="2153"/>
      <c r="G1" s="2153"/>
      <c r="H1" s="2153"/>
    </row>
    <row r="2" spans="1:8" ht="24" customHeight="1">
      <c r="A2" s="2155" t="s">
        <v>2139</v>
      </c>
      <c r="B2" s="2156">
        <f ca="1">TODAY()</f>
        <v>46029</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t="str">
        <f ca="1">IF(C4&lt;B2,"已过期",1119970066)</f>
        <v>已过期</v>
      </c>
      <c r="C4" s="2161">
        <v>45937</v>
      </c>
      <c r="D4" s="2162" t="str">
        <f ca="1">A4&amp;"（注册号："&amp;B4&amp;"）"</f>
        <v>梁津（注册号：已过期）</v>
      </c>
      <c r="E4" s="2163" t="s">
        <v>2148</v>
      </c>
      <c r="F4" s="1218">
        <f ca="1">IF(G4&lt;B2,"已过期",96010014)</f>
        <v>96010014</v>
      </c>
      <c r="G4" s="2164">
        <v>47118</v>
      </c>
      <c r="H4" s="2165" t="str">
        <f ca="1">E4&amp;"（注册号："&amp;F4&amp;"）"</f>
        <v>梁津（注册号：96010014）</v>
      </c>
    </row>
    <row r="5" spans="1:8" ht="24" customHeight="1">
      <c r="A5" s="1218" t="s">
        <v>2149</v>
      </c>
      <c r="B5" s="1218" t="str">
        <f ca="1">IF(C5&lt;B2,"已过期",1119970111)</f>
        <v>已过期</v>
      </c>
      <c r="C5" s="2161">
        <v>45937</v>
      </c>
      <c r="D5" s="2162" t="str">
        <f t="shared" ref="D5:D15" ca="1" si="0">A5&amp;"（注册号："&amp;B5&amp;"）"</f>
        <v>叶凌（注册号：已过期）</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t="str">
        <f ca="1">IF(C7&lt;B2,"已过期",1120000080)</f>
        <v>已过期</v>
      </c>
      <c r="C7" s="2161">
        <v>45937</v>
      </c>
      <c r="D7" s="2162" t="str">
        <f t="shared" ca="1" si="0"/>
        <v>欧红伟（注册号：已过期）</v>
      </c>
      <c r="E7" s="2163" t="s">
        <v>2151</v>
      </c>
      <c r="F7" s="1218">
        <f ca="1">IF(G7&lt;B2,"已过期",2000110082)</f>
        <v>2000110082</v>
      </c>
      <c r="G7" s="2164">
        <v>46387</v>
      </c>
      <c r="H7" s="2165" t="str">
        <f t="shared" ca="1" si="1"/>
        <v>欧红伟（注册号：2000110082）</v>
      </c>
    </row>
    <row r="8" spans="1:8" ht="24" customHeight="1">
      <c r="A8" s="1218" t="s">
        <v>2152</v>
      </c>
      <c r="B8" s="1218" t="str">
        <f ca="1">IF(C8&lt;B2,"已过期",1419970001)</f>
        <v>已过期</v>
      </c>
      <c r="C8" s="2161">
        <v>45937</v>
      </c>
      <c r="D8" s="2162" t="str">
        <f t="shared" ca="1" si="0"/>
        <v>吴薇（注册号：已过期）</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t="str">
        <f ca="1">IF(C11&lt;B2,"已过期",1120070131)</f>
        <v>已过期</v>
      </c>
      <c r="C11" s="2161">
        <v>45937</v>
      </c>
      <c r="D11" s="2162" t="str">
        <f t="shared" ca="1" si="0"/>
        <v>郑燚（注册号：已过期）</v>
      </c>
      <c r="E11" s="2163" t="s">
        <v>2155</v>
      </c>
      <c r="F11" s="1218">
        <f ca="1">IF(G11&lt;B2,"已过期",2014110011)</f>
        <v>2014110011</v>
      </c>
      <c r="G11" s="2164">
        <v>49302</v>
      </c>
      <c r="H11" s="2165" t="str">
        <f t="shared" ca="1" si="1"/>
        <v>郑燚（注册号：2014110011）</v>
      </c>
    </row>
    <row r="12" spans="1:8" ht="24" customHeight="1">
      <c r="A12" s="1218" t="s">
        <v>2156</v>
      </c>
      <c r="B12" s="1218" t="str">
        <f ca="1">IF(C12&lt;B2,"已过期",1120040230)</f>
        <v>已过期</v>
      </c>
      <c r="C12" s="2166">
        <v>45937</v>
      </c>
      <c r="D12" s="2162" t="str">
        <f t="shared" ca="1" si="0"/>
        <v>苏海（注册号：已过期）</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59"/>
      <c r="E18" s="3208" t="s">
        <v>2162</v>
      </c>
      <c r="F18" s="3207"/>
      <c r="G18" s="3207"/>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基准地价</vt:lpstr>
      <vt:lpstr>租金</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2026-01-07T05:34:11Z</dcterms:modified>
</cp:coreProperties>
</file>