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15" windowWidth="14715" windowHeight="125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E41" i="9"/>
  <c r="M17" i="1"/>
  <c r="N6" i="1"/>
  <c r="D53" i="43"/>
  <c r="E48" i="43"/>
  <c r="B46" i="43"/>
  <c r="C24" i="43"/>
  <c r="T2" i="43"/>
  <c r="V2" i="43"/>
  <c r="T3" i="43"/>
  <c r="V3" i="43"/>
  <c r="T4" i="43"/>
  <c r="V4" i="43"/>
  <c r="T5" i="43"/>
  <c r="V5" i="43"/>
  <c r="D27" i="9"/>
  <c r="D30" i="9"/>
  <c r="B30" i="9"/>
  <c r="T6" i="43"/>
  <c r="V6" i="43"/>
  <c r="T7" i="43"/>
  <c r="V7" i="43"/>
  <c r="T8" i="43"/>
  <c r="V8" i="43"/>
  <c r="T9" i="43"/>
  <c r="V9" i="43"/>
  <c r="T10" i="43"/>
  <c r="V10" i="43"/>
  <c r="T11" i="43"/>
  <c r="V11" i="43"/>
  <c r="T12" i="43"/>
  <c r="V12" i="43"/>
  <c r="T13" i="43"/>
  <c r="V13" i="43"/>
  <c r="T14" i="43"/>
  <c r="V14" i="43"/>
  <c r="T15" i="43"/>
  <c r="V15" i="43"/>
  <c r="T16" i="43"/>
  <c r="V16" i="43"/>
  <c r="C33" i="43"/>
  <c r="E33" i="43"/>
  <c r="C34" i="43"/>
  <c r="E34" i="43"/>
  <c r="C35" i="43"/>
  <c r="E35" i="43"/>
  <c r="C36" i="43"/>
  <c r="E36" i="43"/>
  <c r="C37" i="43"/>
  <c r="E37" i="43"/>
  <c r="C38" i="43"/>
  <c r="E38" i="43"/>
  <c r="C39" i="43"/>
  <c r="E39" i="43"/>
  <c r="C26" i="43"/>
  <c r="B2" i="43"/>
  <c r="C6" i="68"/>
  <c r="C7" i="68"/>
  <c r="C5" i="68"/>
  <c r="F20" i="68"/>
  <c r="C20" i="68"/>
  <c r="Q16" i="1"/>
  <c r="F21" i="68"/>
  <c r="C21" i="68"/>
  <c r="M6" i="1"/>
  <c r="M16" i="1"/>
  <c r="F35" i="68"/>
  <c r="C40" i="68"/>
  <c r="N16" i="1"/>
  <c r="F50" i="68"/>
  <c r="F15" i="15"/>
  <c r="F20" i="15"/>
  <c r="F21" i="15"/>
  <c r="Y6" i="1"/>
  <c r="C24" i="9"/>
  <c r="F35" i="9"/>
  <c r="F34" i="9"/>
  <c r="B27" i="9"/>
  <c r="H6" i="1"/>
  <c r="D29" i="43"/>
  <c r="U3" i="43"/>
  <c r="U2" i="43"/>
  <c r="B29" i="1"/>
  <c r="F19" i="6"/>
  <c r="D3" i="4"/>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K49" i="43"/>
  <c r="D49" i="43"/>
  <c r="D50" i="43"/>
  <c r="K51" i="43"/>
  <c r="D51" i="43"/>
  <c r="K52" i="43"/>
  <c r="D52" i="43"/>
  <c r="K53" i="43"/>
  <c r="K54" i="43"/>
  <c r="D54" i="43"/>
  <c r="K55" i="43"/>
  <c r="J55" i="43"/>
  <c r="D55" i="43"/>
  <c r="K56"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K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6"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C7" i="21"/>
  <c r="C58" i="21"/>
  <c r="C7" i="40"/>
  <c r="C63" i="40"/>
  <c r="M47" i="9"/>
  <c r="G19" i="43"/>
  <c r="O19" i="43"/>
  <c r="C19" i="43"/>
  <c r="G20" i="43"/>
  <c r="C20" i="43"/>
  <c r="L17" i="43"/>
  <c r="M17" i="43"/>
  <c r="N17" i="43"/>
  <c r="O17" i="43"/>
  <c r="G17" i="43"/>
  <c r="E17" i="43"/>
  <c r="C16" i="43"/>
  <c r="C5"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B13" i="76"/>
  <c r="F42" i="67"/>
  <c r="F8" i="67"/>
  <c r="B9" i="76"/>
  <c r="F7" i="73"/>
  <c r="M23" i="67"/>
  <c r="M29" i="15"/>
  <c r="J15" i="15"/>
  <c r="M6" i="67"/>
  <c r="B3" i="15"/>
  <c r="D20" i="9"/>
  <c r="L47" i="67"/>
  <c r="AO9" i="1"/>
  <c r="F38" i="67"/>
  <c r="D3" i="73"/>
  <c r="E10" i="76"/>
  <c r="M29" i="67"/>
  <c r="B7" i="76"/>
  <c r="D2" i="35"/>
  <c r="M24" i="15"/>
  <c r="D6" i="73"/>
  <c r="D7" i="73"/>
  <c r="D4" i="73"/>
  <c r="M21" i="15"/>
  <c r="F13" i="67"/>
  <c r="B10" i="76"/>
  <c r="D2" i="37"/>
  <c r="AO7" i="1"/>
  <c r="D2" i="33"/>
  <c r="E2" i="68"/>
  <c r="F36" i="67"/>
  <c r="M28" i="67"/>
  <c r="M26" i="67"/>
  <c r="AO11" i="1"/>
  <c r="E2" i="69"/>
  <c r="F9" i="67"/>
  <c r="M26" i="15"/>
  <c r="M9" i="67"/>
  <c r="E13" i="76"/>
  <c r="B3" i="68"/>
  <c r="C20" i="9"/>
  <c r="AO8" i="1"/>
  <c r="E12" i="76"/>
  <c r="L48" i="67"/>
  <c r="E8" i="76"/>
  <c r="D2" i="21"/>
  <c r="F6" i="67"/>
  <c r="F37" i="67"/>
  <c r="F40" i="67"/>
  <c r="AO13" i="1"/>
  <c r="F3" i="73"/>
  <c r="B12" i="76"/>
  <c r="B8" i="76"/>
  <c r="F16" i="67"/>
  <c r="E11" i="76"/>
  <c r="C34" i="9"/>
  <c r="D34" i="9"/>
  <c r="F41" i="67"/>
  <c r="B11" i="76"/>
  <c r="F35" i="67"/>
  <c r="F5" i="73"/>
  <c r="M22" i="15"/>
  <c r="D2" i="34"/>
  <c r="E9" i="76"/>
  <c r="F6" i="73"/>
  <c r="M24" i="67"/>
  <c r="F26" i="67"/>
  <c r="C76" i="15"/>
  <c r="F43" i="67"/>
  <c r="C76" i="67"/>
  <c r="M21" i="67"/>
  <c r="F20" i="31"/>
  <c r="L47" i="15"/>
  <c r="J57" i="15"/>
  <c r="J55" i="15"/>
  <c r="J58" i="15"/>
  <c r="J59" i="15"/>
  <c r="L51" i="15"/>
  <c r="L57" i="15"/>
  <c r="L58" i="15"/>
  <c r="L59" i="15"/>
  <c r="L60" i="15"/>
  <c r="AO6" i="1"/>
  <c r="C35" i="9"/>
  <c r="D35" i="9"/>
  <c r="AO10" i="1"/>
  <c r="M28" i="15"/>
  <c r="M8" i="67"/>
  <c r="J15" i="67"/>
  <c r="D2" i="36"/>
  <c r="M22" i="67"/>
  <c r="E7" i="76"/>
  <c r="F7" i="67"/>
  <c r="M23" i="15"/>
  <c r="M27" i="15"/>
  <c r="M27"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Y10" i="71"/>
  <c r="Z10" i="71"/>
  <c r="Y9" i="71"/>
  <c r="AA10" i="71"/>
  <c r="AB3" i="71"/>
  <c r="C19" i="68"/>
  <c r="C29" i="69"/>
  <c r="D27" i="69"/>
  <c r="B10" i="71"/>
  <c r="B9" i="71"/>
  <c r="B8" i="71"/>
  <c r="B7" i="71"/>
  <c r="B6" i="71"/>
  <c r="B5" i="71"/>
  <c r="X10" i="71"/>
  <c r="AB10" i="71"/>
  <c r="Z9" i="71"/>
  <c r="Y3" i="71"/>
  <c r="Z3" i="71"/>
  <c r="D10" i="71"/>
  <c r="F10" i="71"/>
  <c r="F9" i="71"/>
  <c r="F8" i="71"/>
  <c r="F7" i="71"/>
  <c r="F6" i="71"/>
  <c r="F5" i="71"/>
  <c r="C12" i="12"/>
  <c r="C14" i="12"/>
  <c r="AF3" i="71"/>
  <c r="P22" i="43"/>
  <c r="C18" i="12"/>
  <c r="C29" i="43"/>
  <c r="C38" i="69"/>
  <c r="C8" i="69"/>
  <c r="C5" i="69"/>
  <c r="G36" i="43"/>
  <c r="I36" i="43"/>
  <c r="R16" i="1"/>
  <c r="D19" i="69"/>
  <c r="C19" i="69"/>
  <c r="C6" i="67"/>
  <c r="C21" i="9"/>
  <c r="D22" i="9"/>
  <c r="C102" i="9"/>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G39" i="43"/>
  <c r="I39" i="43"/>
  <c r="P25" i="43"/>
  <c r="P23" i="43"/>
  <c r="B71" i="39"/>
  <c r="C30" i="43"/>
  <c r="E30" i="43"/>
  <c r="E29" i="43"/>
  <c r="G38" i="43"/>
  <c r="I38" i="43"/>
  <c r="G34" i="43"/>
  <c r="I34" i="43"/>
  <c r="G33" i="43"/>
  <c r="I33"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H119" i="9"/>
  <c r="H5" i="52"/>
  <c r="D45" i="9"/>
  <c r="C64" i="9"/>
  <c r="C63" i="9"/>
  <c r="C67" i="9"/>
  <c r="C68" i="9"/>
  <c r="D54" i="9"/>
  <c r="I118" i="9"/>
  <c r="F118" i="9"/>
  <c r="G118" i="9"/>
  <c r="D118" i="9"/>
  <c r="E118" i="9"/>
  <c r="E4" i="52"/>
  <c r="B48" i="72"/>
  <c r="D13" i="53"/>
  <c r="D14" i="53"/>
  <c r="B32" i="72"/>
  <c r="D119" i="9"/>
  <c r="D5" i="52"/>
  <c r="B49" i="72"/>
  <c r="H108" i="9"/>
  <c r="D15" i="53"/>
  <c r="B31" i="72"/>
  <c r="D5" i="53"/>
  <c r="D6" i="53"/>
  <c r="B22" i="72"/>
  <c r="F119" i="9"/>
  <c r="F5" i="52"/>
  <c r="B53" i="72"/>
  <c r="G4" i="52"/>
  <c r="B52" i="72"/>
  <c r="M48" i="9"/>
  <c r="C72" i="9"/>
  <c r="C78" i="9"/>
  <c r="C73" i="9"/>
  <c r="C79" i="9"/>
  <c r="C80" i="9"/>
  <c r="E80" i="9"/>
  <c r="E81" i="9"/>
  <c r="C85" i="9"/>
  <c r="C93" i="9"/>
  <c r="C86" i="9"/>
  <c r="C95" i="9"/>
  <c r="C96" i="9"/>
  <c r="E96" i="9"/>
  <c r="E97" i="9"/>
  <c r="C81" i="9"/>
  <c r="B20" i="72"/>
  <c r="F4" i="52"/>
  <c r="B51" i="72"/>
  <c r="D122" i="9"/>
  <c r="D123" i="9"/>
  <c r="D9" i="52"/>
  <c r="H102" i="9"/>
  <c r="D7" i="53"/>
  <c r="B21" i="72"/>
  <c r="D59" i="9"/>
  <c r="M55" i="9"/>
  <c r="D4" i="52"/>
  <c r="B47" i="72"/>
  <c r="B30" i="72"/>
  <c r="C97" i="9"/>
  <c r="D58" i="9"/>
  <c r="D56" i="9"/>
  <c r="M54" i="9"/>
  <c r="G14" i="74"/>
  <c r="B6" i="74"/>
  <c r="D6" i="74"/>
  <c r="C6" i="74"/>
  <c r="I4" i="52"/>
  <c r="C105" i="9"/>
  <c r="D14" i="74"/>
  <c r="B5" i="74"/>
  <c r="D5" i="74"/>
  <c r="C5" i="74"/>
  <c r="F14" i="74"/>
  <c r="E14" i="74"/>
  <c r="D55" i="9"/>
  <c r="M53" i="9"/>
  <c r="N57" i="9"/>
  <c r="N58" i="9"/>
  <c r="P57" i="9"/>
  <c r="N59" i="9"/>
  <c r="N60" i="9"/>
  <c r="N61" i="9"/>
  <c r="D52" i="9"/>
  <c r="D53" i="9"/>
  <c r="D8" i="52"/>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<sst xmlns="http://schemas.openxmlformats.org/spreadsheetml/2006/main" count="7330" uniqueCount="3106">
  <si>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</si>
  <si>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</si>
  <si>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</si>
  <si>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</si>
  <si>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</si>
  <si>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</si>
  <si>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</si>
  <si>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</si>
  <si>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</si>
  <si>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</si>
  <si>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</si>
  <si>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</si>
  <si>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</si>
  <si>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</si>
  <si>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</si>
  <si>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</si>
  <si>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</si>
  <si>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</si>
  <si>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</si>
  <si>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</si>
  <si>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</si>
  <si>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</si>
  <si>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</si>
  <si>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</si>
  <si>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</si>
  <si>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</si>
  <si>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</si>
  <si>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</si>
  <si>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</si>
  <si>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</si>
  <si>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</si>
  <si>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</si>
  <si>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</si>
  <si>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</si>
  <si>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</si>
  <si>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</si>
  <si>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</si>
  <si>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</si>
  <si>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</si>
  <si>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</si>
  <si>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</si>
  <si>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</si>
  <si>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</si>
  <si>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</si>
  <si>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</si>
  <si>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</si>
  <si>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</si>
  <si>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</si>
  <si>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</si>
  <si>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</si>
  <si>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</si>
  <si>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</si>
  <si>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</si>
  <si>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</si>
  <si>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</si>
  <si>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</si>
  <si>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</si>
  <si>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</si>
  <si>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</si>
  <si>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</si>
  <si>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</si>
  <si>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</si>
  <si>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</si>
  <si>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</si>
  <si>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</si>
  <si>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</si>
  <si>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</si>
  <si>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</si>
  <si>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</si>
  <si>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</si>
  <si>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</si>
  <si>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</si>
  <si>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</si>
  <si>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</si>
  <si>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</si>
  <si>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</si>
  <si>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</si>
  <si>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</si>
  <si>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</si>
  <si>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</si>
  <si>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</si>
  <si>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</si>
  <si>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</si>
  <si>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</si>
  <si>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</si>
  <si>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</si>
  <si>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</si>
  <si>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</si>
  <si>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</si>
  <si>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</si>
  <si>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</si>
  <si>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</si>
  <si>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</si>
  <si>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</si>
  <si>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</si>
  <si>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</si>
  <si>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</si>
  <si>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</si>
  <si>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</si>
  <si>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</si>
  <si>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</si>
  <si>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</si>
  <si>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</si>
  <si>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</si>
  <si>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</si>
  <si>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</si>
  <si>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</si>
  <si>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</si>
  <si>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</si>
  <si>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</si>
  <si>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</si>
  <si>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</si>
  <si>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</si>
  <si>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</si>
  <si>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</si>
  <si>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</si>
  <si>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</si>
  <si>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</si>
  <si>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</si>
  <si>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</si>
  <si>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</si>
  <si>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</si>
  <si>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</si>
  <si>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</si>
  <si>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</si>
  <si>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</si>
  <si>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</si>
  <si>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</si>
  <si>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</si>
  <si>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</si>
  <si>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</si>
  <si>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</si>
  <si>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</si>
  <si>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</si>
  <si>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</si>
  <si>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</si>
  <si>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</si>
  <si>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</si>
  <si>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</si>
  <si>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</si>
  <si>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</si>
  <si>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</si>
  <si>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</si>
  <si>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</si>
  <si>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</si>
  <si>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</si>
  <si>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</si>
  <si>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</si>
  <si>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</si>
  <si>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</si>
  <si>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</si>
  <si>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</si>
  <si>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</si>
  <si>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</si>
  <si>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</si>
  <si>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</si>
  <si>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</si>
  <si>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</si>
  <si>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</si>
  <si>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</si>
  <si>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</si>
  <si>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</si>
  <si>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</si>
  <si>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</si>
  <si>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</si>
  <si>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</si>
  <si>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</si>
  <si>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</si>
  <si>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</si>
  <si>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</si>
  <si>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</si>
  <si>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</si>
  <si>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</si>
  <si>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</si>
  <si>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</si>
  <si>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</si>
  <si>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</si>
  <si>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</si>
  <si>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</si>
  <si>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</si>
  <si>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</si>
  <si>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</si>
  <si>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</si>
  <si>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</si>
  <si>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</si>
  <si>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</si>
  <si>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</si>
  <si>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</si>
  <si>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</si>
  <si>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</si>
  <si>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</si>
  <si>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</si>
  <si>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</si>
  <si>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</si>
  <si>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</si>
  <si>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</si>
  <si>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</si>
  <si>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</si>
  <si>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</si>
  <si>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</si>
  <si>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</si>
  <si>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</si>
  <si>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</si>
  <si>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</si>
  <si>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</si>
  <si>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</si>
  <si>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</si>
  <si>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</si>
  <si>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</si>
  <si>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</si>
  <si>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</si>
  <si>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</si>
  <si>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</si>
  <si>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</si>
  <si>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</si>
  <si>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</si>
  <si>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</si>
  <si>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</si>
  <si>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</si>
  <si>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</si>
  <si>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</si>
  <si>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</si>
  <si>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</si>
  <si>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</si>
  <si>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</si>
  <si>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</si>
  <si>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</si>
  <si>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</si>
  <si>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</si>
  <si>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</si>
  <si>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</si>
  <si>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</si>
  <si>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</si>
  <si>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</si>
  <si>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</si>
  <si>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</si>
  <si>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</si>
  <si>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</si>
  <si>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</si>
  <si>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</si>
  <si>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</si>
  <si>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</si>
  <si>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</si>
  <si>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</si>
  <si>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</si>
  <si>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</si>
  <si>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</si>
  <si>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</si>
  <si>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</si>
  <si>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</si>
  <si>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</si>
  <si>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</si>
  <si>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</si>
  <si>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</si>
  <si>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</si>
  <si>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</si>
  <si>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</si>
  <si>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</si>
  <si>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</si>
  <si>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</si>
  <si>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</si>
  <si>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</si>
  <si>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</si>
  <si>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</si>
  <si>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</si>
  <si>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</si>
  <si>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</si>
  <si>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</si>
  <si>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</si>
  <si>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</si>
  <si>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</si>
  <si>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</si>
  <si>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</si>
  <si>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</si>
  <si>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</si>
  <si>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</si>
  <si>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</si>
  <si>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</si>
  <si>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</si>
  <si>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</si>
  <si>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</si>
  <si>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</si>
  <si>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</si>
  <si>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</si>
  <si>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</si>
  <si>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</si>
  <si>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</si>
  <si>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</si>
  <si>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</si>
  <si>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</si>
  <si>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</si>
  <si>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</si>
  <si>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</si>
  <si>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</si>
  <si>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</si>
  <si>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</si>
  <si>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</si>
  <si>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</si>
  <si>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</si>
  <si>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</si>
  <si>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</si>
  <si>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</si>
  <si>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</si>
  <si>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</si>
  <si>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</si>
  <si>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</si>
  <si>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</si>
  <si>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</si>
  <si>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</si>
  <si>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</si>
  <si>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</si>
  <si>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</si>
  <si>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</si>
  <si>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</si>
  <si>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</si>
  <si>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</si>
  <si>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</si>
  <si>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</si>
  <si>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</si>
  <si>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</si>
  <si>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</si>
  <si>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</si>
  <si>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</si>
  <si>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</si>
  <si>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</si>
  <si>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</si>
  <si>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</si>
  <si>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</si>
  <si>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</si>
  <si>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</si>
  <si>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</si>
  <si>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</si>
  <si>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</si>
  <si>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</si>
  <si>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</si>
  <si>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</si>
  <si>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</si>
  <si>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</si>
  <si>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</si>
  <si>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</si>
  <si>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</si>
  <si>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</si>
  <si>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</si>
  <si>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</si>
  <si>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</si>
  <si>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</si>
  <si>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</si>
  <si>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</si>
  <si>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</si>
  <si>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</si>
  <si>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</si>
  <si>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</si>
  <si>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</si>
  <si>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</si>
  <si>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</si>
  <si>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</si>
  <si>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</si>
  <si>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</si>
  <si>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</si>
  <si>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</si>
  <si>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</si>
  <si>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</si>
  <si>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</si>
  <si>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</si>
  <si>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</si>
  <si>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</si>
  <si>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</si>
  <si>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</si>
  <si>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</si>
  <si>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</si>
  <si>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</si>
  <si>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</si>
  <si>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</si>
  <si>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</si>
  <si>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</si>
  <si>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</si>
  <si>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</si>
  <si>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</si>
  <si>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</si>
  <si>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</si>
  <si>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</si>
  <si>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</si>
  <si>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</si>
  <si>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</si>
  <si>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</si>
  <si>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</si>
  <si>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</si>
  <si>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</si>
  <si>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</si>
  <si>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</si>
  <si>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</si>
  <si>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</si>
  <si>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</si>
  <si>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</si>
  <si>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</si>
  <si>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</si>
  <si>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</si>
  <si>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</si>
  <si>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</si>
  <si>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</si>
  <si>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</si>
  <si>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</si>
  <si>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</si>
  <si>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</si>
  <si>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</si>
  <si>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</si>
  <si>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</si>
  <si>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</si>
  <si>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</si>
  <si>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</si>
  <si>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</si>
  <si>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</si>
  <si>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</si>
  <si>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</si>
  <si>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</si>
  <si>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</si>
  <si>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</si>
  <si>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</si>
  <si>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</si>
  <si>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</si>
  <si>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</si>
  <si>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</si>
  <si>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</si>
  <si>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</si>
  <si>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</si>
  <si>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</si>
  <si>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</si>
  <si>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</si>
  <si>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</si>
  <si>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</si>
  <si>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</si>
  <si>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</si>
  <si>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</si>
  <si>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</si>
  <si>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</si>
  <si>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</si>
  <si>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</si>
  <si>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</si>
  <si>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</si>
  <si>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</si>
  <si>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</si>
  <si>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</si>
  <si>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</si>
  <si>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</si>
  <si>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</si>
  <si>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</si>
  <si>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</si>
  <si>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</si>
  <si>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</si>
  <si>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</si>
  <si>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</si>
  <si>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</si>
  <si>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</si>
  <si>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</si>
  <si>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</si>
  <si>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</si>
  <si>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</si>
  <si>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</si>
  <si>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</si>
  <si>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</si>
  <si>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</si>
  <si>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</si>
  <si>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</si>
  <si>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</si>
  <si>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</si>
  <si>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</si>
  <si>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</si>
  <si>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</si>
  <si>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</si>
  <si>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</si>
  <si>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</si>
  <si>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</si>
  <si>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</si>
  <si>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</si>
  <si>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</si>
  <si>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</si>
  <si>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</si>
  <si>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</si>
  <si>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</si>
  <si>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</si>
  <si>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</si>
  <si>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</si>
  <si>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</si>
  <si>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</si>
  <si>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</si>
  <si>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</si>
  <si>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</si>
  <si>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</si>
  <si>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</si>
  <si>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</si>
  <si>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</si>
  <si>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</si>
  <si>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</si>
  <si>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</si>
  <si>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</si>
  <si>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</si>
  <si>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</si>
  <si>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</si>
  <si>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</si>
  <si>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</si>
  <si>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</si>
  <si>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</si>
  <si>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</si>
  <si>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</si>
  <si>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</si>
  <si>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</si>
  <si>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</si>
  <si>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</si>
  <si>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</si>
  <si>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</si>
  <si>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</si>
  <si>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</si>
  <si>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</si>
  <si>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</si>
  <si>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</si>
  <si>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</si>
  <si>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</si>
  <si>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</si>
  <si>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</si>
  <si>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</si>
  <si>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</si>
  <si>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</si>
  <si>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</si>
  <si>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</si>
  <si>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</si>
  <si>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</si>
  <si>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</si>
  <si>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</si>
  <si>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</si>
  <si>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</si>
  <si>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</si>
  <si>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</si>
  <si>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</si>
  <si>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</si>
  <si>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</si>
  <si>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</si>
  <si>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</si>
  <si>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</si>
  <si>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</si>
  <si>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</si>
  <si>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</si>
  <si>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</si>
  <si>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</si>
  <si>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</si>
  <si>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</si>
  <si>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</si>
  <si>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</si>
  <si>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</si>
  <si>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</si>
  <si>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</si>
  <si>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</si>
  <si>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</si>
  <si>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</si>
  <si>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</si>
  <si>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</si>
  <si>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</si>
  <si>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</si>
  <si>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</si>
  <si>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</si>
  <si>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</si>
  <si>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</si>
  <si>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</si>
  <si>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</si>
  <si>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</si>
  <si>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</si>
  <si>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</si>
  <si>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</si>
  <si>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</si>
  <si>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</si>
  <si>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</si>
  <si>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</si>
  <si>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</si>
  <si>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</si>
  <si>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</si>
  <si>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</si>
  <si>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</si>
  <si>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</si>
  <si>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</si>
  <si>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</si>
  <si>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</si>
  <si>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</si>
  <si>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</si>
  <si>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</si>
  <si>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</si>
  <si>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</si>
  <si>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</si>
  <si>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</si>
  <si>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</si>
  <si>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</si>
  <si>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</si>
  <si>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</si>
  <si>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</si>
  <si>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</si>
  <si>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</si>
  <si>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</si>
  <si>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</si>
  <si>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</si>
  <si>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</si>
  <si>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</si>
  <si>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</si>
  <si>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</si>
  <si>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</si>
  <si>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</si>
  <si>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</si>
  <si>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</si>
  <si>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</si>
  <si>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</si>
  <si>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</si>
  <si>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</si>
  <si>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</si>
  <si>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</si>
  <si>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</si>
  <si>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</si>
  <si>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</si>
  <si>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</si>
  <si>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</si>
  <si>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</si>
  <si>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</si>
  <si>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</si>
  <si>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</si>
  <si>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</si>
  <si>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</si>
  <si>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</si>
  <si>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</si>
  <si>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</si>
  <si>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</si>
  <si>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</si>
  <si>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</si>
  <si>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</si>
  <si>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</si>
  <si>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</si>
  <si>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</si>
  <si>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</si>
  <si>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</si>
  <si>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</si>
  <si>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</si>
  <si>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</si>
  <si>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</si>
  <si>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</si>
  <si>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</si>
  <si>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</si>
  <si>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</si>
  <si>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</si>
  <si>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</si>
  <si>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</si>
  <si>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</si>
  <si>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</si>
  <si>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</si>
  <si>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</si>
  <si>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</si>
  <si>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</si>
  <si>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</si>
  <si>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</si>
  <si>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</si>
  <si>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</si>
  <si>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</si>
  <si>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</si>
  <si>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</si>
  <si>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</si>
  <si>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</si>
  <si>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</si>
  <si>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</si>
  <si>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</si>
  <si>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</si>
  <si>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</si>
  <si>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</si>
  <si>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</si>
  <si>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</si>
  <si>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</si>
  <si>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</si>
  <si>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</si>
  <si>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</si>
  <si>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</si>
  <si>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</si>
  <si>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</si>
  <si>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</si>
  <si>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</si>
  <si>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</si>
  <si>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</si>
  <si>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</si>
  <si>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</si>
  <si>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</si>
  <si>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</si>
  <si>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</si>
  <si>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</si>
  <si>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</si>
  <si>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</si>
  <si>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</si>
  <si>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</si>
  <si>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</si>
  <si>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</si>
  <si>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</si>
  <si>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</si>
  <si>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</si>
  <si>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</si>
  <si>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</si>
  <si>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</si>
  <si>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</si>
  <si>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</si>
  <si>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</si>
  <si>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</si>
  <si>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</si>
  <si>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</si>
  <si>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</si>
  <si>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</si>
  <si>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</si>
  <si>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</si>
  <si>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</si>
  <si>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</si>
  <si>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</si>
  <si>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</si>
  <si>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</si>
  <si>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</si>
  <si>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</si>
  <si>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</si>
  <si>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</si>
  <si>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</si>
  <si>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</si>
  <si>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</si>
  <si>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</si>
  <si>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</si>
  <si>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</si>
  <si>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</si>
  <si>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</si>
  <si>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</si>
  <si>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</si>
  <si>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</si>
  <si>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</si>
  <si>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</si>
  <si>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</si>
  <si>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</si>
  <si>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</si>
  <si>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</si>
  <si>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</si>
  <si>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</si>
  <si>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</si>
  <si>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</si>
  <si>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</si>
  <si>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</si>
  <si>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</si>
  <si>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</si>
  <si>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</si>
  <si>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</si>
  <si>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</si>
  <si>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</si>
  <si>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</si>
  <si>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</si>
  <si>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</si>
  <si>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</si>
  <si>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</si>
  <si>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</si>
  <si>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</si>
  <si>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</si>
  <si>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</si>
  <si>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</si>
  <si>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</si>
  <si>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</si>
  <si>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</si>
  <si>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</si>
  <si>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</si>
  <si>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</si>
  <si>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</si>
  <si>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</si>
  <si>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</si>
  <si>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</si>
  <si>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</si>
  <si>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</si>
  <si>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</si>
  <si>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</si>
  <si>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</si>
  <si>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</si>
  <si>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</si>
  <si>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</si>
  <si>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</si>
  <si>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</si>
  <si>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</si>
  <si>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</si>
  <si>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</si>
  <si>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</si>
  <si>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</si>
  <si>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</si>
  <si>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</si>
  <si>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</si>
  <si>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</si>
  <si>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</si>
  <si>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</si>
  <si>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</si>
  <si>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</si>
  <si>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</si>
  <si>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</si>
  <si>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</si>
  <si>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</si>
  <si>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</si>
  <si>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</si>
  <si>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</si>
  <si>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</si>
  <si>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</si>
  <si>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</si>
  <si>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</si>
  <si>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</si>
  <si>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</si>
  <si>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</si>
  <si>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</si>
  <si>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</si>
  <si>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</si>
  <si>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</si>
  <si>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</si>
  <si>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</si>
  <si>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</si>
  <si>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</si>
  <si>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</si>
  <si>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</si>
  <si>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</si>
  <si>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</si>
  <si>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</si>
  <si>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</si>
  <si>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</si>
  <si>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</si>
  <si>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</si>
  <si>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</si>
  <si>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</si>
  <si>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</si>
  <si>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</si>
  <si>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</si>
  <si>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</si>
  <si>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</si>
  <si>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</si>
  <si>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</si>
  <si>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</si>
  <si>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</si>
  <si>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</si>
  <si>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</si>
  <si>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</si>
  <si>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</si>
  <si>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</si>
  <si>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</si>
  <si>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</si>
  <si>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</si>
  <si>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</si>
  <si>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</si>
  <si>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</si>
  <si>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</si>
  <si>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</si>
  <si>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</si>
  <si>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</si>
  <si>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</si>
  <si>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</si>
  <si>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</si>
  <si>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</si>
  <si>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</si>
  <si>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</si>
  <si>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</si>
  <si>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</si>
  <si>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</si>
  <si>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</si>
  <si>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</si>
  <si>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</si>
  <si>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</si>
  <si>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</si>
  <si>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</si>
  <si>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</si>
  <si>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</si>
  <si>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</si>
  <si>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</si>
  <si>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</si>
  <si>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</si>
  <si>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</si>
  <si>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</si>
  <si>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</si>
  <si>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</si>
  <si>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</si>
  <si>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</si>
  <si>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</si>
  <si>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</si>
  <si>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</si>
  <si>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</si>
  <si>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</si>
  <si>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</si>
  <si>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</si>
  <si>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</si>
  <si>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</si>
  <si>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</si>
  <si>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</si>
  <si>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</si>
  <si>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</si>
  <si>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</si>
  <si>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</si>
  <si>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</si>
  <si>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</si>
  <si>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</si>
  <si>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</si>
  <si>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</si>
  <si>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</si>
  <si>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</si>
  <si>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</si>
  <si>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</si>
  <si>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</si>
  <si>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</si>
  <si>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</si>
  <si>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</si>
  <si>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</si>
  <si>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</si>
  <si>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</si>
  <si>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</si>
  <si>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</si>
  <si>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</si>
  <si>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</si>
  <si>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</si>
  <si>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</si>
  <si>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</si>
  <si>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</si>
  <si>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</si>
  <si>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</si>
  <si>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</si>
  <si>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</si>
  <si>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</si>
  <si>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</si>
  <si>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</si>
  <si>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</si>
  <si>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</si>
  <si>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</si>
  <si>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</si>
  <si>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</si>
  <si>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</si>
  <si>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</si>
  <si>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</si>
  <si>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</si>
  <si>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</si>
  <si>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</si>
  <si>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</si>
  <si>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</si>
  <si>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</si>
  <si>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</si>
  <si>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</si>
  <si>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</si>
  <si>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</si>
  <si>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</si>
  <si>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</si>
  <si>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</si>
  <si>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</si>
  <si>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</si>
  <si>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</si>
  <si>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</si>
  <si>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</si>
  <si>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</si>
  <si>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</si>
  <si>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</si>
  <si>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</si>
  <si>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</si>
  <si>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</si>
  <si>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</si>
  <si>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</si>
  <si>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</si>
  <si>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</si>
  <si>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</si>
  <si>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</si>
  <si>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</si>
  <si>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</si>
  <si>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</si>
  <si>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</si>
  <si>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</si>
  <si>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</si>
  <si>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</si>
  <si>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</si>
  <si>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</si>
  <si>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</si>
  <si>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</si>
  <si>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</si>
  <si>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</si>
  <si>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</si>
  <si>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</si>
  <si>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</si>
  <si>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</si>
  <si>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</si>
  <si>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</si>
  <si>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</si>
  <si>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</si>
  <si>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</si>
  <si>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</si>
  <si>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</si>
  <si>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</si>
  <si>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</si>
  <si>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</si>
  <si>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</si>
  <si>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</si>
  <si>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</si>
  <si>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</si>
  <si>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</si>
  <si>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</si>
  <si>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</si>
  <si>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</si>
  <si>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</si>
  <si>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</si>
  <si>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</si>
  <si>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</si>
  <si>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</si>
  <si>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</si>
  <si>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</si>
  <si>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</si>
  <si>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</si>
  <si>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</si>
  <si>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</si>
  <si>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</si>
  <si>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</si>
  <si>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</si>
  <si>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</si>
  <si>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</si>
  <si>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</si>
  <si>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</si>
  <si>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</si>
  <si>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</si>
  <si>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</si>
  <si>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</si>
  <si>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</si>
  <si>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</si>
  <si>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</si>
  <si>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</si>
  <si>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</si>
  <si>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</si>
  <si>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</si>
  <si>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</si>
  <si>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</si>
  <si>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</si>
  <si>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</si>
  <si>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</si>
  <si>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</si>
  <si>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</si>
  <si>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</si>
  <si>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</si>
  <si>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</si>
  <si>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</si>
  <si>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</si>
  <si>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</si>
  <si>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</si>
  <si>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</si>
  <si>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</si>
  <si>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</si>
  <si>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</si>
  <si>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</si>
  <si>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</si>
  <si>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</si>
  <si>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</si>
  <si>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</si>
  <si>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</si>
  <si>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</si>
  <si>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</si>
  <si>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</si>
  <si>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</si>
  <si>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</si>
  <si>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</si>
  <si>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</si>
  <si>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</si>
  <si>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</si>
  <si>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</si>
  <si>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</si>
  <si>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</si>
  <si>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</si>
  <si>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</si>
  <si>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</si>
  <si>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</si>
  <si>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</si>
  <si>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</si>
  <si>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</si>
  <si>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</si>
  <si>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</si>
  <si>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</si>
  <si>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</si>
  <si>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</si>
  <si>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</si>
  <si>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</si>
  <si>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</si>
  <si>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</si>
  <si>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</si>
  <si>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</si>
  <si>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</si>
  <si>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</si>
  <si>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</si>
  <si>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</si>
  <si>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</si>
  <si>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</si>
  <si>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</si>
  <si>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</si>
  <si>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</si>
  <si>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</si>
  <si>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</si>
  <si>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</si>
  <si>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</si>
  <si>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</si>
  <si>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</si>
  <si>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</si>
  <si>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</si>
  <si>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</si>
  <si>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</si>
  <si>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</si>
  <si>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</si>
  <si>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</si>
  <si>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</si>
  <si>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</si>
  <si>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</si>
  <si>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</si>
  <si>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</si>
  <si>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</si>
  <si>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</si>
  <si>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</si>
  <si>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</si>
  <si>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</si>
  <si>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</si>
  <si>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</si>
  <si>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</si>
  <si>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</si>
  <si>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</si>
  <si>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</si>
  <si>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</si>
  <si>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</si>
  <si>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</si>
  <si>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</si>
  <si>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</si>
  <si>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</si>
  <si>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</si>
  <si>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</si>
  <si>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</si>
  <si>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</si>
  <si>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</si>
  <si>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</si>
  <si>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</si>
  <si>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</si>
  <si>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</si>
  <si>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</si>
  <si>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</si>
  <si>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</si>
  <si>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</si>
  <si>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</si>
  <si>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</si>
  <si>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</si>
  <si>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</si>
  <si>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</si>
  <si>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</si>
  <si>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</si>
  <si>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</si>
  <si>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</si>
  <si>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</si>
  <si>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</si>
  <si>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</si>
  <si>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</si>
  <si>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</si>
  <si>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</si>
  <si>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</si>
  <si>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</si>
  <si>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</si>
  <si>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</si>
  <si>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</si>
  <si>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</si>
  <si>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</si>
  <si>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</si>
  <si>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</si>
  <si>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</si>
  <si>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</si>
  <si>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</si>
  <si>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</si>
  <si>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</si>
  <si>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</si>
  <si>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</si>
  <si>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</si>
  <si>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</si>
  <si>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</si>
  <si>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</si>
  <si>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</si>
  <si>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</si>
  <si>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</si>
  <si>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</si>
  <si>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</si>
  <si>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</si>
  <si>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</si>
  <si>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</si>
  <si>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</si>
  <si>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</si>
  <si>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</si>
  <si>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</si>
  <si>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</si>
  <si>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</si>
  <si>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</si>
  <si>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</si>
  <si>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</si>
  <si>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</si>
  <si>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</si>
  <si>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</si>
  <si>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</si>
  <si>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</si>
  <si>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</si>
  <si>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</si>
  <si>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</si>
  <si>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</si>
  <si>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</si>
  <si>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</si>
  <si>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</si>
  <si>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</si>
  <si>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</si>
  <si>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</si>
  <si>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</si>
  <si>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</si>
  <si>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</si>
  <si>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</si>
  <si>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</si>
  <si>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</si>
  <si>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</si>
  <si>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</si>
  <si>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</si>
  <si>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</si>
  <si>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</si>
  <si>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</si>
  <si>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</si>
  <si>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</si>
  <si>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</si>
  <si>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</si>
  <si>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</si>
  <si>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</si>
  <si>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</si>
  <si>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</si>
  <si>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</si>
  <si>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</si>
  <si>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</si>
  <si>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</si>
  <si>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</si>
  <si>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</si>
  <si>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</si>
  <si>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</si>
  <si>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</si>
  <si>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</si>
  <si>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</si>
  <si>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</si>
  <si>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</si>
  <si>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</si>
  <si>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</si>
  <si>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</si>
  <si>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</si>
  <si>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</si>
  <si>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</si>
  <si>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</si>
  <si>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</si>
  <si>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</si>
  <si>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</si>
  <si>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</si>
  <si>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</si>
  <si>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</si>
  <si>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</si>
  <si>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</si>
  <si>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</si>
  <si>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</si>
  <si>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</si>
  <si>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</si>
  <si>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</si>
  <si>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</si>
  <si>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</si>
  <si>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</si>
  <si>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</si>
  <si>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</si>
  <si>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</si>
  <si>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</si>
  <si>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</si>
  <si>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</si>
  <si>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</si>
  <si>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</si>
  <si>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</si>
  <si>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</si>
  <si>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</si>
  <si>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</si>
  <si>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</si>
  <si>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</si>
  <si>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</si>
  <si>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</si>
  <si>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</si>
  <si>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</si>
  <si>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</si>
  <si>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</si>
  <si>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</si>
  <si>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</si>
  <si>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</si>
  <si>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</si>
  <si>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</si>
  <si>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</si>
  <si>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</si>
  <si>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</si>
  <si>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</si>
  <si>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</si>
  <si>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</si>
  <si>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</si>
  <si>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</si>
  <si>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</si>
  <si>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</si>
  <si>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</si>
  <si>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</si>
  <si>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</si>
  <si>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</si>
  <si>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</si>
  <si>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</si>
  <si>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</si>
  <si>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</si>
  <si>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</si>
  <si>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</si>
  <si>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</si>
  <si>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</si>
  <si>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</si>
  <si>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</si>
  <si>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</si>
  <si>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</si>
  <si>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</si>
  <si>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</si>
  <si>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</si>
  <si>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</si>
  <si>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</si>
  <si>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</si>
  <si>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</si>
  <si>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</si>
  <si>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</si>
  <si>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</si>
  <si>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</si>
  <si>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</si>
  <si>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</si>
  <si>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</si>
  <si>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</si>
  <si>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</si>
  <si>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</si>
  <si>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</si>
  <si>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</si>
  <si>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</si>
  <si>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</si>
  <si>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</si>
  <si>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</si>
  <si>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</si>
  <si>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</si>
  <si>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</si>
  <si>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</si>
  <si>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</si>
  <si>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</si>
  <si>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</si>
  <si>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</si>
  <si>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</si>
  <si>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</si>
  <si>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</si>
  <si>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</si>
  <si>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</si>
  <si>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</si>
  <si>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</si>
  <si>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</si>
  <si>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</si>
  <si>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</si>
  <si>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</si>
  <si>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</si>
  <si>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</si>
  <si>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</si>
  <si>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</si>
  <si>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</si>
  <si>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</si>
  <si>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</si>
  <si>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</si>
  <si>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</si>
  <si>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</si>
  <si>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</si>
  <si>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</si>
  <si>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</si>
  <si>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</si>
  <si>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</si>
  <si>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</si>
  <si>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</si>
  <si>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</si>
  <si>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</si>
  <si>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</si>
  <si>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</si>
  <si>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</si>
  <si>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</si>
  <si>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</si>
  <si>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</si>
  <si>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</si>
  <si>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</si>
  <si>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</si>
  <si>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</si>
  <si>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</si>
  <si>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</si>
  <si>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</si>
  <si>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</si>
  <si>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</si>
  <si>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</si>
  <si>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</si>
  <si>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</si>
  <si>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</si>
  <si>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</si>
  <si>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</si>
  <si>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</si>
  <si>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</si>
  <si>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</si>
  <si>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</si>
  <si>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</si>
  <si>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</si>
  <si>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</si>
  <si>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</si>
  <si>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</si>
  <si>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</si>
  <si>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</si>
  <si>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</si>
  <si>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</si>
  <si>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</si>
  <si>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</si>
  <si>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</si>
  <si>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</si>
  <si>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</si>
  <si>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</si>
  <si>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</si>
  <si>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</si>
  <si>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</si>
  <si>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</si>
  <si>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</si>
  <si>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</si>
  <si>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</si>
  <si>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</si>
  <si>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</si>
  <si>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</si>
  <si>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</si>
  <si>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</si>
  <si>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</si>
  <si>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</si>
  <si>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</si>
  <si>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</si>
  <si>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</si>
  <si>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</si>
  <si>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</si>
  <si>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</si>
  <si>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</si>
  <si>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</si>
  <si>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</si>
  <si>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</si>
  <si>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</si>
  <si>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</si>
  <si>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</si>
  <si>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</si>
  <si>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</si>
  <si>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</si>
  <si>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</si>
  <si>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</si>
  <si>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</si>
  <si>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</si>
  <si>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</si>
  <si>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</si>
  <si>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</si>
  <si>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</si>
  <si>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</si>
  <si>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</si>
  <si>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</si>
  <si>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</si>
  <si>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</si>
  <si>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</si>
  <si>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</si>
  <si>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</si>
  <si>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</si>
  <si>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</si>
  <si>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</si>
  <si>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</si>
  <si>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</si>
  <si>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</si>
  <si>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</si>
  <si>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</si>
  <si>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</si>
  <si>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</si>
  <si>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</si>
  <si>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</si>
  <si>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</si>
  <si>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</si>
  <si>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</si>
  <si>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</si>
  <si>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</si>
  <si>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</si>
  <si>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</si>
  <si>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</si>
  <si>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</si>
  <si>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</si>
  <si>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</si>
  <si>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</si>
  <si>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</si>
  <si>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</si>
  <si>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</si>
  <si>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</si>
  <si>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</si>
  <si>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</si>
  <si>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</si>
  <si>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</si>
  <si>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</si>
  <si>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</si>
  <si>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</si>
  <si>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</si>
  <si>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</si>
  <si>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</si>
  <si>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</si>
  <si>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</si>
  <si>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</si>
  <si>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</si>
  <si>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</si>
  <si>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</si>
  <si>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</si>
  <si>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</si>
  <si>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</si>
  <si>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</si>
  <si>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</si>
  <si>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</si>
  <si>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</si>
  <si>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</si>
  <si>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</si>
  <si>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</si>
  <si>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</si>
  <si>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</si>
  <si>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</si>
  <si>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</si>
  <si>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</si>
  <si>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</si>
  <si>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</si>
  <si>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</si>
  <si>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</si>
  <si>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</si>
  <si>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</si>
  <si>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</si>
  <si>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</si>
  <si>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</si>
  <si>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</si>
  <si>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</si>
  <si>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</si>
  <si>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</si>
  <si>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</si>
  <si>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</si>
  <si>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</si>
  <si>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</si>
  <si>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</si>
  <si>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</si>
  <si>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</si>
  <si>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</si>
  <si>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</si>
  <si>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</si>
  <si>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</si>
  <si>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</si>
  <si>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</si>
  <si>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</si>
  <si>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</si>
  <si>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</si>
  <si>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</si>
  <si>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</si>
  <si>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</si>
  <si>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</si>
  <si>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</si>
  <si>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</si>
  <si>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</si>
  <si>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</si>
  <si>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</si>
  <si>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</si>
  <si>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</si>
  <si>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</si>
  <si>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</si>
  <si>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</si>
  <si>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</si>
  <si>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</si>
  <si>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</si>
  <si>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</si>
  <si>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</si>
  <si>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</si>
  <si>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</si>
  <si>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</si>
  <si>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</si>
  <si>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</si>
  <si>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</si>
  <si>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</si>
  <si>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</si>
  <si>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</si>
  <si>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</si>
  <si>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</si>
  <si>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</si>
  <si>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</si>
  <si>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</si>
  <si>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</si>
  <si>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</si>
  <si>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</si>
  <si>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</si>
  <si>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</si>
  <si>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</si>
  <si>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</si>
  <si>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</si>
  <si>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</si>
  <si>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</si>
  <si>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</si>
  <si>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</si>
  <si>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</si>
  <si>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</si>
  <si>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</si>
  <si>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</si>
  <si>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</si>
  <si>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</si>
  <si>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</si>
  <si>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</si>
  <si>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</si>
  <si>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</si>
  <si>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</si>
  <si>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</si>
  <si>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</si>
  <si>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</si>
  <si>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</si>
  <si>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</si>
  <si>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</si>
  <si>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</si>
  <si>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</si>
  <si>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</si>
  <si>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</si>
  <si>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</si>
  <si>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</si>
  <si>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</si>
  <si>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</si>
  <si>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</si>
  <si>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</si>
  <si>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</si>
  <si>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</si>
  <si>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</si>
  <si>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</si>
  <si>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</si>
  <si>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</si>
  <si>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</si>
  <si>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</si>
  <si>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</si>
  <si>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</si>
  <si>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</si>
  <si>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</si>
  <si>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</si>
  <si>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</si>
  <si>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</si>
  <si>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</si>
  <si>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</si>
  <si>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</si>
  <si>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</si>
  <si>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</si>
  <si>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</si>
  <si>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</si>
  <si>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</si>
  <si>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</si>
  <si>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</si>
  <si>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</si>
  <si>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</si>
  <si>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</si>
  <si>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</si>
  <si>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</si>
  <si>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</si>
  <si>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</si>
  <si>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</si>
  <si>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</si>
  <si>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</si>
  <si>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</si>
  <si>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</si>
  <si>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</si>
  <si>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</si>
  <si>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</si>
  <si>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</si>
  <si>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</si>
  <si>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</si>
  <si>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</si>
  <si>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</si>
  <si>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</si>
  <si>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</si>
  <si>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</si>
  <si>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</si>
  <si>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</si>
  <si>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</si>
  <si>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</si>
  <si>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</si>
  <si>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</si>
  <si>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</si>
  <si>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</si>
  <si>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</si>
  <si>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</si>
  <si>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</si>
  <si>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</si>
  <si>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</si>
  <si>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</si>
  <si>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</si>
  <si>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</si>
  <si>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</si>
  <si>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</si>
  <si>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</si>
  <si>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</si>
  <si>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</si>
  <si>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</si>
  <si>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</si>
  <si>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</si>
  <si>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</si>
  <si>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</si>
  <si>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</si>
  <si>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</si>
  <si>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</si>
  <si>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</si>
  <si>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</si>
  <si>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</si>
  <si>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</si>
  <si>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</si>
  <si>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</si>
  <si>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</si>
  <si>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</si>
  <si>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</si>
  <si>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</si>
  <si>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</si>
  <si>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</si>
  <si>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</si>
  <si>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</si>
  <si>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</si>
  <si>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</si>
  <si>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</si>
  <si>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</si>
  <si>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</si>
  <si>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</si>
  <si>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</si>
  <si>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</si>
  <si>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</si>
  <si>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</si>
  <si>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</si>
  <si>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</si>
  <si>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</si>
  <si>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</si>
  <si>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</si>
  <si>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</si>
  <si>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</si>
  <si>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</si>
  <si>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</si>
  <si>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</si>
  <si>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</si>
  <si>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</si>
  <si>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</si>
  <si>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</si>
  <si>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</si>
  <si>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</si>
  <si>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</si>
  <si>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</si>
  <si>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</si>
  <si>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</si>
  <si>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</si>
  <si>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</si>
  <si>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</si>
  <si>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</si>
  <si>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</si>
  <si>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</si>
  <si>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</si>
  <si>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</si>
  <si>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</si>
  <si>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</si>
  <si>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</si>
  <si>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</si>
  <si>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</si>
  <si>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</si>
  <si>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</si>
  <si>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</si>
  <si>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</si>
  <si>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</si>
  <si>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</si>
  <si>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</si>
  <si>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</si>
  <si>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</si>
  <si>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</si>
  <si>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</si>
  <si>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</si>
  <si>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</si>
  <si>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</si>
  <si>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</si>
  <si>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</si>
  <si>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</si>
  <si>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</si>
  <si>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</si>
  <si>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</si>
  <si>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</si>
  <si>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</si>
  <si>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</si>
  <si>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</si>
  <si>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</si>
  <si>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</si>
  <si>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</si>
  <si>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</si>
  <si>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</si>
  <si>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</si>
  <si>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</si>
  <si>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</si>
  <si>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</si>
  <si>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</si>
  <si>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</si>
  <si>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</si>
  <si>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</si>
  <si>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</si>
  <si>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</si>
  <si>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</si>
  <si>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</si>
  <si>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</si>
  <si>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</si>
  <si>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</si>
  <si>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</si>
  <si>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</si>
  <si>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</si>
  <si>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</si>
  <si>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</si>
  <si>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</si>
  <si>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</si>
  <si>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</si>
  <si>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</si>
  <si>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</si>
  <si>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</si>
  <si>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</si>
  <si>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</si>
  <si>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</si>
  <si>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</si>
  <si>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</si>
  <si>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</si>
  <si>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</si>
  <si>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</si>
  <si>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</si>
  <si>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</si>
  <si>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</si>
  <si>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</si>
  <si>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</si>
  <si>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</si>
  <si>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</si>
  <si>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</si>
  <si>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</si>
  <si>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</si>
  <si>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</si>
  <si>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</si>
  <si>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</si>
  <si>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</si>
  <si>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</si>
  <si>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</si>
  <si>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</si>
  <si>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</si>
  <si>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</si>
  <si>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</si>
  <si>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</si>
  <si>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</si>
  <si>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</si>
  <si>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</si>
  <si>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</si>
  <si>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</si>
  <si>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</si>
  <si>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</si>
  <si>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</si>
  <si>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</si>
  <si>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</si>
  <si>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</si>
  <si>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</si>
  <si>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</si>
  <si>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</si>
  <si>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</si>
  <si>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</si>
  <si>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</si>
  <si>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</si>
  <si>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</si>
  <si>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</si>
  <si>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</si>
  <si>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</si>
  <si>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</si>
  <si>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</si>
  <si>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</si>
  <si>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</si>
  <si>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</si>
  <si>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</si>
  <si>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</si>
  <si>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</si>
  <si>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</si>
  <si>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</si>
  <si>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</si>
  <si>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</si>
  <si>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</si>
  <si>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</si>
  <si>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</si>
  <si>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</si>
  <si>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</si>
  <si>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</si>
  <si>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</si>
  <si>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</si>
  <si>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</si>
  <si>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</si>
  <si>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</si>
  <si>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</si>
  <si>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</si>
  <si>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</si>
  <si>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</si>
  <si>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</si>
  <si>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</si>
  <si>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</si>
  <si>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</si>
  <si>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</si>
  <si>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</si>
  <si>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</si>
  <si>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</si>
  <si>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</si>
  <si>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</si>
  <si>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</si>
  <si>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</si>
  <si>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</si>
  <si>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</si>
  <si>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</si>
  <si>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</si>
  <si>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</si>
  <si>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</si>
  <si>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</si>
  <si>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</si>
  <si>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</si>
  <si>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</si>
  <si>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</si>
  <si>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</si>
  <si>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</si>
  <si>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</si>
  <si>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</si>
  <si>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</si>
  <si>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</si>
  <si>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</si>
  <si>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</si>
  <si>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</si>
  <si>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</si>
  <si>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</si>
  <si>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</si>
  <si>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</si>
  <si>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</si>
  <si>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</si>
  <si>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</si>
  <si>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</si>
  <si>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</si>
  <si>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</si>
  <si>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</si>
  <si>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</si>
  <si>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</si>
  <si>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</si>
  <si>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</si>
  <si>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</si>
  <si>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</si>
  <si>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</si>
  <si>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</si>
  <si>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</si>
  <si>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</si>
  <si>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</si>
  <si>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</si>
  <si>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</si>
  <si>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</si>
  <si>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</si>
  <si>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</si>
  <si>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</si>
  <si>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</si>
  <si>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</si>
  <si>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</si>
  <si>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</si>
  <si>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</si>
  <si>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</si>
  <si>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</si>
  <si>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</si>
  <si>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</si>
  <si>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</si>
  <si>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</si>
  <si>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</si>
  <si>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</si>
  <si>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</si>
  <si>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</si>
  <si>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</si>
  <si>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</si>
  <si>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</si>
  <si>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</si>
  <si>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</si>
  <si>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</si>
  <si>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</si>
  <si>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</si>
  <si>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</si>
  <si>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</si>
  <si>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</si>
  <si>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</si>
  <si>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</si>
  <si>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</si>
  <si>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</si>
  <si>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</si>
  <si>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</si>
  <si>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</si>
  <si>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</si>
  <si>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</si>
  <si>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</si>
  <si>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</si>
  <si>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</si>
  <si>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</si>
  <si>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</si>
  <si>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</si>
  <si>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</si>
  <si>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</si>
  <si>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</si>
  <si>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</si>
  <si>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</si>
  <si>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</si>
  <si>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</si>
  <si>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</si>
  <si>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</si>
  <si>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</si>
  <si>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</si>
  <si>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</si>
  <si>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</si>
  <si>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</si>
  <si>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</si>
  <si>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</si>
  <si>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</si>
  <si>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</si>
  <si>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</si>
  <si>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</si>
  <si>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</si>
  <si>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</si>
  <si>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</si>
  <si>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</si>
  <si>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</si>
  <si>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</si>
  <si>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</si>
  <si>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</si>
  <si>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</si>
  <si>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</si>
  <si>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</si>
  <si>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</si>
  <si>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</si>
  <si>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</si>
  <si>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</si>
  <si>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</si>
  <si>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</si>
  <si>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</si>
  <si>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</si>
  <si>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</si>
  <si>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</si>
  <si>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</si>
  <si>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</si>
  <si>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</si>
  <si>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</si>
  <si>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</si>
  <si>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</si>
  <si>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</si>
  <si>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</si>
  <si>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</si>
  <si>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</si>
  <si>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</si>
  <si>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</si>
  <si>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</si>
  <si>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</si>
  <si>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</si>
  <si>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</si>
  <si>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</si>
  <si>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</si>
  <si>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</si>
  <si>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</si>
  <si>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</si>
  <si>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</si>
  <si>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</si>
  <si>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</si>
  <si>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</si>
  <si>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</si>
  <si>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</si>
  <si>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</si>
  <si>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</si>
  <si>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</si>
  <si>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</si>
  <si>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</si>
  <si>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</si>
  <si>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</si>
  <si>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</si>
  <si>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</si>
  <si>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</si>
  <si>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</si>
  <si>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</si>
  <si>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</si>
  <si>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</si>
  <si>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</si>
  <si>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</si>
  <si>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</si>
  <si>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</si>
  <si>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</si>
  <si>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</si>
  <si>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</si>
  <si>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</si>
  <si>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</si>
  <si>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</si>
  <si>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</si>
  <si>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</si>
  <si>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</si>
  <si>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</si>
  <si>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</si>
  <si>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</si>
  <si>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</si>
  <si>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</si>
  <si>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</si>
  <si>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</si>
  <si>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</si>
  <si>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</si>
  <si>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</si>
  <si>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</si>
  <si>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</si>
  <si>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</si>
  <si>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</si>
  <si>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</si>
  <si>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</si>
  <si>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</si>
  <si>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</si>
  <si>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</si>
  <si>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</si>
  <si>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</si>
  <si>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</si>
  <si>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</si>
  <si>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</si>
  <si>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</si>
  <si>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</si>
  <si>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</si>
  <si>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</si>
  <si>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</si>
  <si>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</si>
  <si>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</si>
  <si>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</si>
  <si>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</si>
  <si>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</si>
  <si>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</si>
  <si>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</si>
  <si>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</si>
  <si>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</si>
  <si>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</si>
  <si>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</si>
  <si>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</si>
  <si>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</si>
  <si>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</si>
  <si>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</si>
  <si>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</si>
  <si>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</si>
  <si>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</si>
  <si>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</si>
  <si>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</si>
  <si>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</si>
  <si>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</si>
  <si>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</si>
  <si>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</si>
  <si>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</si>
  <si>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</si>
  <si>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</si>
  <si>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</si>
  <si>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</si>
  <si>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</si>
  <si>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</si>
  <si>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</si>
  <si>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</si>
  <si>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</si>
  <si>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</si>
  <si>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</si>
  <si>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</si>
  <si>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</si>
  <si>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</si>
  <si>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</si>
  <si>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</si>
  <si>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</si>
  <si>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</si>
  <si>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</si>
  <si>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</si>
  <si>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</si>
  <si>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</si>
  <si>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</si>
  <si>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</si>
  <si>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</si>
  <si>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</si>
  <si>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</si>
  <si>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</si>
  <si>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</si>
  <si>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</si>
  <si>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</si>
  <si>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</si>
  <si>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</si>
  <si>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</si>
  <si>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</si>
  <si>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</si>
  <si>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</si>
  <si>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</si>
  <si>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</si>
  <si>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</si>
  <si>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</si>
  <si>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</si>
  <si>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</si>
  <si>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</si>
  <si>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</si>
  <si>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</si>
  <si>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</si>
  <si>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</si>
  <si>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</si>
  <si>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</si>
  <si>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</si>
  <si>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</si>
  <si>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</si>
  <si>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</si>
  <si>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</si>
  <si>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</si>
  <si>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</si>
  <si>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</si>
  <si>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</si>
  <si>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</si>
  <si>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</si>
  <si>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</si>
  <si>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</si>
  <si>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</si>
  <si>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</si>
  <si>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</si>
  <si>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</si>
  <si>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</si>
  <si>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</si>
  <si>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</si>
  <si>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</si>
  <si>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</si>
  <si>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</si>
  <si>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</si>
  <si>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</si>
  <si>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</si>
  <si>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</si>
  <si>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</si>
  <si>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</si>
  <si>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</si>
  <si>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</si>
  <si>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</si>
  <si>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</si>
  <si>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</si>
  <si>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</si>
  <si>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</si>
  <si>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</si>
  <si>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</si>
  <si>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</si>
  <si>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</si>
  <si>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</si>
  <si>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</si>
  <si>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</si>
  <si>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</si>
  <si>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</si>
  <si>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</si>
  <si>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</si>
  <si>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</si>
  <si>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</si>
  <si>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</si>
  <si>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</si>
  <si>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</si>
  <si>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</si>
  <si>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</si>
  <si>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</si>
  <si>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</si>
  <si>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</si>
  <si>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</si>
  <si>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</si>
  <si>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</si>
  <si>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</si>
  <si>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</si>
  <si>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</si>
  <si>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</si>
  <si>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</si>
  <si>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</si>
  <si>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</si>
  <si>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</si>
  <si>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</si>
  <si>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</si>
  <si>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</si>
  <si>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</si>
  <si>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</si>
  <si>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</si>
  <si>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</si>
  <si>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</si>
  <si>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</si>
  <si>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</si>
  <si>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</si>
  <si>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</si>
  <si>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</si>
  <si>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</si>
  <si>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</si>
  <si>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</si>
  <si>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</si>
  <si>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</si>
  <si>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</si>
  <si>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</si>
  <si>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</si>
  <si>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</si>
  <si>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</si>
  <si>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</si>
  <si>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</si>
  <si>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</si>
  <si>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</si>
  <si>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</si>
  <si>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</si>
  <si>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</si>
  <si>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</si>
  <si>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</si>
  <si>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</si>
  <si>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</si>
  <si>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</si>
  <si>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</si>
  <si>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</si>
  <si>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</si>
  <si>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</si>
  <si>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</si>
  <si>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</si>
  <si>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</si>
  <si>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</si>
  <si>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</si>
  <si>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</si>
  <si>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</si>
  <si>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</si>
  <si>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</si>
  <si>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</si>
  <si>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</si>
  <si>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</si>
  <si>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</si>
  <si>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</si>
  <si>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</si>
  <si>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</si>
  <si>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</si>
  <si>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</si>
  <si>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</si>
  <si>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</si>
  <si>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</si>
  <si>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</si>
  <si>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</si>
  <si>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</si>
  <si>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</si>
  <si>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</si>
  <si>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</si>
  <si>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</si>
  <si>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</si>
  <si>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</si>
  <si>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</si>
  <si>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</si>
  <si>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</si>
  <si>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</si>
  <si>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</si>
  <si>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</si>
  <si>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</si>
  <si>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</si>
  <si>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</si>
  <si>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</si>
  <si>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</si>
  <si>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</si>
  <si>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</si>
  <si>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</si>
  <si>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</si>
  <si>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</si>
  <si>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</si>
  <si>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</si>
  <si>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</si>
  <si>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</si>
  <si>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</si>
  <si>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</si>
  <si>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</si>
  <si>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</si>
  <si>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</si>
  <si>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</si>
  <si>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</si>
  <si>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</si>
  <si>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</si>
  <si>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</si>
  <si>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</si>
  <si>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</si>
  <si>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</si>
  <si>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</si>
  <si>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</si>
  <si>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</si>
  <si>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</si>
  <si>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</si>
  <si>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</si>
  <si>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</si>
  <si>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</si>
  <si>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</si>
  <si>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</si>
  <si>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</si>
  <si>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</si>
  <si>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</si>
  <si>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</si>
  <si>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</si>
  <si>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</si>
  <si>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</si>
  <si>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</si>
  <si>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</si>
  <si>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</si>
  <si>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</si>
  <si>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</si>
  <si>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</si>
  <si>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</si>
  <si>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</si>
  <si>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</si>
  <si>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</si>
  <si>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</si>
  <si>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</si>
  <si>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</si>
  <si>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</si>
  <si>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</si>
  <si>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</si>
  <si>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</si>
  <si>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</si>
  <si>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</si>
  <si>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</si>
  <si>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</si>
  <si>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</si>
  <si>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</si>
  <si>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</si>
  <si>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</si>
  <si>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</si>
  <si>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</si>
  <si>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</si>
  <si>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</si>
  <si>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</si>
  <si>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</si>
  <si>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</si>
  <si>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</si>
  <si>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</si>
  <si>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</si>
  <si>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</si>
  <si>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</si>
  <si>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</si>
  <si>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</si>
  <si>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</si>
  <si>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</si>
  <si>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</si>
  <si>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</si>
  <si>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</si>
  <si>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</si>
  <si>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</si>
  <si>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</si>
  <si>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</si>
  <si>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</si>
  <si>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</si>
  <si>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</si>
  <si>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</si>
  <si>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</si>
  <si>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</si>
  <si>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</si>
  <si>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</si>
  <si>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</si>
  <si>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</si>
  <si>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</si>
  <si>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</si>
  <si>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</si>
  <si>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</si>
  <si>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</si>
  <si>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</si>
  <si>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</si>
  <si>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</si>
  <si>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</si>
  <si>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</si>
  <si>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</si>
  <si>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</si>
  <si>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</si>
  <si>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</si>
  <si>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</si>
  <si>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</si>
  <si>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</si>
  <si>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</si>
  <si>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</si>
  <si>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</si>
  <si>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</si>
  <si>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</si>
  <si>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</si>
  <si>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</si>
  <si>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</si>
  <si>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</si>
  <si>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</si>
  <si>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</si>
  <si>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</si>
  <si>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</si>
  <si>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</si>
  <si>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</si>
  <si>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</si>
  <si>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</si>
  <si>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</si>
  <si>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</si>
  <si>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</si>
  <si>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</si>
  <si>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</si>
  <si>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</si>
  <si>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</si>
  <si>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</si>
  <si>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</si>
  <si>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</si>
  <si>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</si>
  <si>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</si>
  <si>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</si>
  <si>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</si>
  <si>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</si>
  <si>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</si>
  <si>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</si>
  <si>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</si>
  <si>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</si>
  <si>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</si>
  <si>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</si>
  <si>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</si>
  <si>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</si>
  <si>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</si>
  <si>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</si>
  <si>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</si>
  <si>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</si>
  <si>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</si>
  <si>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</si>
  <si>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</si>
  <si>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</si>
  <si>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</si>
  <si>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</si>
  <si>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</si>
  <si>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</si>
  <si>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</si>
  <si>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</si>
  <si>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</si>
  <si>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</si>
  <si>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</si>
  <si>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</si>
  <si>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</si>
  <si>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</si>
  <si>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</si>
  <si>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</si>
  <si>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</si>
  <si>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</si>
  <si>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</si>
  <si>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</si>
  <si>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</si>
  <si>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</si>
  <si>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</si>
  <si>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</si>
  <si>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</si>
  <si>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</si>
  <si>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</si>
  <si>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</si>
  <si>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</si>
  <si>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</si>
  <si>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</si>
  <si>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</si>
  <si>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</si>
  <si>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</si>
  <si>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</si>
  <si>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</si>
  <si>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</si>
  <si>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</si>
  <si>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</si>
  <si>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</si>
  <si>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</si>
  <si>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</si>
  <si>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</si>
  <si>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</si>
  <si>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</si>
  <si>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</si>
  <si>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</si>
  <si>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</si>
  <si>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</si>
  <si>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</si>
  <si>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</si>
  <si>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</si>
  <si>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</si>
  <si>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</si>
  <si>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</si>
  <si>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</si>
  <si>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</si>
  <si>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</si>
  <si>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</si>
  <si>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</si>
  <si>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</si>
  <si>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</si>
  <si>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</si>
  <si>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</si>
  <si>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</si>
  <si>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</si>
  <si>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</si>
  <si>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</si>
  <si>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</si>
  <si>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</si>
  <si>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</si>
  <si>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</si>
  <si>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</si>
  <si>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</si>
  <si>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</si>
  <si>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</si>
  <si>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</si>
  <si>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</si>
  <si>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</si>
  <si>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</si>
  <si>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</si>
  <si>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</si>
  <si>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</si>
  <si>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</si>
  <si>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</si>
  <si>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</si>
  <si>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</si>
  <si>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</si>
  <si>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</si>
  <si>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</si>
  <si>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</si>
  <si>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</si>
  <si>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</si>
  <si>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</si>
  <si>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</si>
  <si>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</si>
  <si>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</si>
  <si>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</si>
  <si>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</si>
  <si>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</si>
  <si>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</si>
  <si>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</si>
  <si>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</si>
  <si>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</si>
  <si>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</si>
  <si>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</si>
  <si>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</si>
  <si>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</si>
  <si>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</si>
  <si>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</si>
  <si>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</si>
  <si>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</si>
  <si>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</si>
  <si>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</si>
  <si>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</si>
  <si>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</si>
  <si>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</si>
  <si>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</si>
  <si>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</si>
  <si>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</si>
  <si>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</si>
  <si>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</si>
  <si>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</si>
  <si>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</si>
  <si>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</si>
  <si>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</si>
  <si>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</si>
  <si>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</si>
  <si>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</si>
  <si>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</si>
  <si>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</si>
  <si>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</si>
  <si>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</si>
  <si>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</si>
  <si>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</si>
  <si>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</si>
  <si>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</si>
  <si>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</si>
  <si>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</si>
  <si>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</si>
  <si>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</si>
  <si>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</si>
  <si>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</si>
  <si>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</si>
  <si>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</si>
  <si>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</si>
  <si>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</si>
  <si>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</si>
  <si>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</si>
  <si>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</si>
  <si>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</si>
  <si>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</si>
  <si>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</si>
  <si>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</si>
  <si>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</si>
  <si>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</si>
  <si>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</si>
  <si>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</si>
  <si>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</si>
  <si>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</si>
  <si>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</si>
  <si>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</si>
  <si>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</si>
  <si>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</si>
  <si>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</si>
  <si>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</si>
  <si>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</si>
  <si>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</si>
  <si>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</si>
  <si>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</si>
  <si>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</si>
  <si>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</si>
  <si>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</si>
  <si>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</si>
  <si>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</si>
  <si>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</si>
  <si>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</si>
  <si>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</si>
  <si>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</si>
  <si>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</si>
  <si>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</si>
  <si>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</si>
  <si>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</si>
  <si>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</si>
  <si>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</si>
  <si>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</si>
  <si>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</si>
  <si>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</si>
  <si>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</si>
  <si>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</si>
  <si>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</si>
  <si>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</si>
  <si>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</si>
  <si>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</si>
  <si>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</si>
  <si>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</si>
  <si>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</si>
  <si>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</si>
  <si>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</si>
  <si>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</si>
  <si>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</si>
  <si>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</si>
  <si>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</si>
  <si>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</si>
  <si>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</si>
  <si>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</si>
  <si>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</si>
  <si>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</si>
  <si>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</si>
  <si>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</si>
  <si>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</si>
  <si>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</si>
  <si>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</si>
  <si>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</si>
  <si>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</si>
  <si>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</si>
  <si>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</si>
  <si>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</si>
  <si>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</si>
  <si>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</si>
  <si>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</si>
  <si>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</si>
  <si>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</si>
  <si>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</si>
  <si>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</si>
  <si>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</si>
  <si>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</si>
  <si>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</si>
  <si>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</si>
  <si>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</si>
  <si>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</si>
  <si>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</si>
  <si>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</si>
  <si>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</si>
  <si>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</si>
  <si>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</si>
  <si>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</si>
  <si>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</si>
  <si>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</si>
  <si>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</si>
  <si>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</si>
  <si>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</si>
  <si>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</si>
  <si>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</si>
  <si>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</si>
  <si>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</si>
  <si>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</si>
  <si>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</si>
  <si>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</si>
  <si>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</si>
  <si>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</si>
  <si>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</si>
  <si>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</si>
  <si>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</si>
  <si>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</si>
  <si>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</si>
  <si>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</si>
  <si>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</si>
  <si>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</si>
  <si>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</si>
  <si>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</si>
  <si>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</si>
  <si>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</si>
  <si>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</si>
  <si>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</si>
  <si>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</si>
  <si>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</si>
  <si>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</si>
  <si>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</si>
  <si>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</si>
  <si>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</si>
  <si>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</si>
  <si>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</si>
  <si>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</si>
  <si>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</si>
  <si>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</si>
  <si>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</si>
  <si>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</si>
  <si>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</si>
  <si>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</si>
  <si>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</si>
  <si>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</si>
  <si>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</si>
  <si>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</si>
  <si>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</si>
  <si>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</si>
  <si>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</si>
  <si>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</si>
  <si>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</si>
  <si>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</si>
  <si>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</si>
  <si>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</si>
  <si>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</si>
  <si>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</si>
  <si>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</si>
  <si>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</si>
  <si>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</si>
  <si>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</si>
  <si>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</si>
  <si>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</si>
  <si>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</si>
  <si>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</si>
  <si>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</si>
  <si>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</si>
  <si>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</si>
  <si>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</si>
  <si>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</si>
  <si>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</si>
  <si>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</si>
  <si>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</si>
  <si>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</si>
  <si>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</si>
  <si>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</si>
  <si>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</si>
  <si>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</si>
  <si>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</si>
  <si>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</si>
  <si>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</si>
  <si>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</si>
  <si>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</si>
  <si>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</si>
  <si>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</si>
  <si>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</si>
  <si>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</si>
  <si>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</si>
  <si>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</si>
  <si>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</si>
  <si>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</si>
  <si>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</si>
  <si>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</si>
  <si>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</si>
  <si>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</si>
  <si>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</si>
  <si>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</si>
  <si>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</si>
  <si>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</si>
  <si>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</si>
  <si>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</si>
  <si>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</si>
  <si>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</si>
  <si>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</si>
  <si>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</si>
  <si>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</si>
  <si>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</si>
  <si>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</si>
  <si>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</si>
  <si>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</si>
  <si>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</si>
  <si>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</si>
  <si>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</si>
  <si>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</si>
  <si>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</si>
  <si>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</si>
  <si>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</si>
  <si>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</si>
  <si>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</si>
  <si>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</si>
  <si>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</si>
  <si>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</si>
  <si>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</si>
  <si>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</si>
  <si>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</si>
  <si>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</si>
  <si>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</si>
  <si>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</si>
  <si>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</si>
  <si>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</si>
  <si>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</si>
  <si>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</si>
  <si>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</si>
  <si>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</si>
  <si>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</si>
  <si>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</si>
  <si>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</si>
  <si>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</si>
  <si>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</si>
  <si>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</si>
  <si>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</si>
  <si>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</si>
  <si>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</si>
  <si>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</si>
  <si>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</si>
  <si>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</si>
  <si>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</si>
  <si>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</si>
  <si>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</si>
  <si>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</si>
  <si>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</si>
  <si>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</si>
  <si>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</si>
  <si>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</si>
  <si>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</si>
  <si>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</si>
  <si>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</si>
  <si>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</si>
  <si>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</si>
  <si>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</si>
  <si>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</si>
  <si>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</si>
  <si>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</si>
  <si>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</si>
  <si>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</si>
  <si>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</si>
  <si>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</si>
  <si>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</si>
  <si>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</si>
  <si>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</si>
  <si>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</si>
  <si>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</si>
  <si>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</si>
  <si>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</si>
  <si>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</si>
  <si>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</si>
  <si>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</si>
  <si>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</si>
  <si>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</si>
  <si>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</si>
  <si>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</si>
  <si>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</si>
  <si>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</si>
  <si>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</si>
  <si>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</si>
  <si>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</si>
  <si>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</si>
  <si>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</si>
  <si>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</si>
  <si>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</si>
  <si>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</si>
  <si>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</si>
  <si>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</si>
  <si>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</si>
  <si>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</si>
  <si>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</si>
  <si>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</si>
  <si>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</si>
  <si>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</si>
  <si>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</si>
  <si>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</si>
  <si>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</si>
  <si>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</si>
  <si>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</si>
  <si>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</si>
  <si>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</si>
  <si>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</si>
  <si>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</si>
  <si>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</si>
  <si>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</si>
  <si>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</si>
  <si>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</si>
  <si>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</si>
  <si>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</si>
  <si>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</si>
  <si>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</si>
  <si>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</si>
  <si>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</si>
  <si>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</si>
  <si>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</si>
  <si>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</si>
  <si>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</si>
  <si>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</si>
  <si>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</si>
  <si>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</si>
  <si>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</si>
  <si>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</si>
  <si>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</si>
  <si>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</si>
  <si>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</si>
  <si>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</si>
  <si>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</si>
  <si>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</si>
  <si>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</si>
  <si>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</si>
  <si>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</si>
  <si>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</si>
  <si>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</si>
  <si>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</si>
  <si>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</si>
  <si>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</si>
  <si>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</si>
  <si>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</si>
  <si>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</si>
  <si>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</si>
  <si>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</si>
  <si>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</si>
  <si>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</si>
  <si>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</si>
  <si>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</si>
  <si>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</si>
  <si>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</si>
  <si>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</si>
  <si>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</si>
  <si>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</si>
  <si>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</si>
  <si>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</si>
  <si>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</si>
  <si>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</si>
  <si>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</si>
  <si>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</si>
  <si>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</si>
  <si>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</si>
  <si>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</si>
  <si>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</si>
  <si>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</si>
  <si>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</si>
  <si>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</si>
  <si>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</si>
  <si>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</si>
  <si>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</si>
  <si>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</si>
  <si>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</si>
  <si>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</si>
  <si>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</si>
  <si>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</si>
  <si>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</si>
  <si>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</si>
  <si>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</si>
  <si>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</si>
  <si>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</si>
  <si>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</si>
  <si>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</si>
  <si>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</si>
  <si>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</si>
  <si>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</si>
  <si>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</si>
  <si>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</si>
  <si>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</si>
  <si>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</si>
  <si>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</si>
  <si>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</si>
  <si>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</si>
  <si>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</si>
  <si>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</si>
  <si>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</si>
  <si>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</si>
  <si>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</si>
  <si>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</si>
  <si>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</si>
  <si>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</si>
  <si>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</si>
  <si>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</si>
  <si>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</si>
  <si>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</si>
  <si>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</si>
  <si>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</si>
  <si>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</si>
  <si>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</si>
  <si>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</si>
  <si>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</si>
  <si>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</si>
  <si>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</si>
  <si>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</si>
  <si>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</si>
  <si>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</si>
  <si>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</si>
  <si>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</si>
  <si>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</si>
  <si>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</si>
  <si>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</si>
  <si>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</si>
  <si>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</si>
  <si>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</si>
  <si>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</si>
  <si>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</si>
  <si>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</si>
  <si>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</si>
  <si>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</si>
  <si>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</si>
  <si>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</si>
  <si>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</si>
  <si>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</si>
  <si>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</si>
  <si>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</si>
  <si>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</si>
  <si>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</si>
  <si>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</si>
  <si>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</si>
  <si>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</si>
  <si>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</si>
  <si>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</si>
  <si>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</si>
  <si>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北京市</t>
  </si>
  <si>
    <t>企业</t>
  </si>
  <si>
    <t>划拨</t>
  </si>
  <si>
    <t>是</t>
  </si>
  <si>
    <t>商业项目</t>
  </si>
  <si>
    <t>无</t>
  </si>
  <si>
    <t>否</t>
  </si>
  <si>
    <t>现房</t>
  </si>
  <si>
    <t>通路</t>
  </si>
  <si>
    <t>通电</t>
  </si>
  <si>
    <t>通讯</t>
  </si>
  <si>
    <t>通下水</t>
  </si>
  <si>
    <t>通上水</t>
  </si>
  <si>
    <t>地上</t>
  </si>
  <si>
    <t>办公楼</t>
  </si>
  <si>
    <t>办公</t>
    <phoneticPr fontId="7" type="noConversion"/>
  </si>
  <si>
    <t>成新度</t>
  </si>
  <si>
    <t>收益法</t>
  </si>
  <si>
    <t>其他商服用地</t>
  </si>
  <si>
    <t>宗地容积率</t>
  </si>
  <si>
    <t>不临58条商业街</t>
  </si>
  <si>
    <t>通热</t>
  </si>
  <si>
    <t>平整</t>
  </si>
  <si>
    <t>与级别开发程度不一致</t>
  </si>
  <si>
    <t>按公示增长率计算</t>
  </si>
  <si>
    <t>一般</t>
  </si>
  <si>
    <t>较好</t>
  </si>
  <si>
    <t>好</t>
  </si>
  <si>
    <t>未包含在土地购买价格中</t>
  </si>
  <si>
    <t>全部缴纳</t>
  </si>
  <si>
    <t>已包含在土地取得成本中</t>
  </si>
  <si>
    <t>押一</t>
  </si>
  <si>
    <t>按租金收入计税</t>
  </si>
  <si>
    <t>钢混</t>
  </si>
  <si>
    <t>非生产用房</t>
  </si>
  <si>
    <t>利息：取LPR加浮动点数</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</si>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</sst>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0" fontId="60" fillId="0" borderId="1" xfId="8"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估价对象为北京市房地产，为所有。根据《国有土地使用证》[]，估价对象（分摊）出让国有建设用地使用权面积为2957.47平方米，建筑面积为4704.86平方米。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估价对象为北京市房地产,属开发建设的商业项目，该项目尚在开发建设中。根据《国有土地使用证》[]，估价对象（分摊）出让国有建设用地使用权面积为2957.47平方米，规划建筑面积为4704.86平方米。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11075</v>
      </c>
    </row>
    <row r="21" spans="1:2" s="1365" customFormat="1">
      <c r="A21" s="1363" t="s">
        <v>1202</v>
      </c>
      <c r="B21" s="1364">
        <f ca="1">'预评函-2'!D7</f>
        <v>23539</v>
      </c>
    </row>
    <row r="22" spans="1:2" s="1365" customFormat="1">
      <c r="A22" s="1363" t="s">
        <v>1203</v>
      </c>
      <c r="B22" s="1364" t="str">
        <f ca="1">'预评函-2'!D6</f>
        <v>壹亿壹仟零柒拾伍万元整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11075</v>
      </c>
    </row>
    <row r="31" spans="1:2" s="1365" customFormat="1">
      <c r="A31" s="1363" t="s">
        <v>1241</v>
      </c>
      <c r="B31" s="1364">
        <f ca="1">'预评函-2'!D15</f>
        <v>23539</v>
      </c>
    </row>
    <row r="32" spans="1:2" s="1365" customFormat="1">
      <c r="A32" s="1363" t="s">
        <v>1208</v>
      </c>
      <c r="B32" s="1364" t="str">
        <f ca="1">'预评函-2'!D14</f>
        <v>壹亿壹仟零柒拾伍万元整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4704.8599999999997</v>
      </c>
    </row>
    <row r="44" spans="1:2" s="1365" customFormat="1">
      <c r="A44" s="1363" t="s">
        <v>1240</v>
      </c>
      <c r="B44" s="1364" t="str">
        <f>'预评函-3'!C2</f>
        <v>(分摊)土地面积</v>
      </c>
    </row>
    <row r="45" spans="1:2" s="1365" customFormat="1">
      <c r="A45" s="1363" t="s">
        <v>1212</v>
      </c>
      <c r="B45" s="1364">
        <f>'预评函-3'!C4</f>
        <v>2957.47</v>
      </c>
    </row>
    <row r="46" spans="1:2" s="1365" customFormat="1">
      <c r="A46" s="1363" t="s">
        <v>1238</v>
      </c>
      <c r="B46" s="1364" t="str">
        <f>'预评函-3'!D2</f>
        <v>出让国有建设用地使用权价值</v>
      </c>
    </row>
    <row r="47" spans="1:2" s="1365" customFormat="1">
      <c r="A47" s="1363" t="s">
        <v>1213</v>
      </c>
      <c r="B47" s="1364">
        <f ca="1">'预评函-3'!D4</f>
        <v>9365</v>
      </c>
    </row>
    <row r="48" spans="1:2" s="1365" customFormat="1">
      <c r="A48" s="1363" t="s">
        <v>1214</v>
      </c>
      <c r="B48" s="1364">
        <f ca="1">'预评函-3'!E4</f>
        <v>19905</v>
      </c>
    </row>
    <row r="49" spans="1:2" s="1365" customFormat="1">
      <c r="A49" s="1363" t="s">
        <v>1215</v>
      </c>
      <c r="B49" s="1364" t="str">
        <f ca="1">'预评函-3'!D5</f>
        <v>玖仟叁佰陆拾伍万元整</v>
      </c>
    </row>
    <row r="50" spans="1:2" s="1365" customFormat="1">
      <c r="A50" s="1363" t="s">
        <v>1239</v>
      </c>
      <c r="B50" s="1364" t="str">
        <f>'预评函-3'!F2</f>
        <v>在建建筑物价值</v>
      </c>
    </row>
    <row r="51" spans="1:2" s="1365" customFormat="1">
      <c r="A51" s="1363" t="s">
        <v>1216</v>
      </c>
      <c r="B51" s="1364">
        <f ca="1">'预评函-3'!F4</f>
        <v>1710</v>
      </c>
    </row>
    <row r="52" spans="1:2" s="1365" customFormat="1">
      <c r="A52" s="1363" t="s">
        <v>1217</v>
      </c>
      <c r="B52" s="1364">
        <f ca="1">'预评函-3'!G4</f>
        <v>3635</v>
      </c>
    </row>
    <row r="53" spans="1:2" s="1365" customFormat="1">
      <c r="A53" s="1363" t="s">
        <v>1245</v>
      </c>
      <c r="B53" s="1364" t="str">
        <f ca="1">'预评函-3'!F5</f>
        <v>壹仟柒佰壹拾万元整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4" sqref="B44"/>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9" t="s">
        <v>832</v>
      </c>
      <c r="C54" s="1736" t="s">
        <v>1248</v>
      </c>
    </row>
    <row r="55" spans="1:4">
      <c r="A55" s="3105"/>
      <c r="B55" s="1739" t="s">
        <v>833</v>
      </c>
      <c r="C55" s="1736" t="s">
        <v>1249</v>
      </c>
    </row>
    <row r="56" spans="1:4">
      <c r="A56" s="3105"/>
      <c r="B56" s="1739" t="s">
        <v>834</v>
      </c>
      <c r="C56" s="1736" t="s">
        <v>1253</v>
      </c>
    </row>
    <row r="57" spans="1:4">
      <c r="A57" s="310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9" sqref="F1:F104857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6" t="str">
        <f>IF(B10="北京市","北京市",C10)&amp;F10&amp;IF(结果表!G1="在建","出让国有建设用地使用权及在建建筑物",IF(结果表!G1="土地","出让国有建设用地使用权",))&amp;B9&amp;"预评估"</f>
        <v>北京市房地产抵押价值预评估</v>
      </c>
      <c r="C1" s="3107"/>
      <c r="D1" s="3107"/>
      <c r="E1" s="3107"/>
      <c r="F1" s="3107"/>
      <c r="G1" s="3107"/>
      <c r="H1" s="3107"/>
      <c r="I1" s="310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44306</v>
      </c>
      <c r="C3" s="2598" t="s">
        <v>2917</v>
      </c>
      <c r="D3" s="2597">
        <f>B3</f>
        <v>44306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1120100036</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09"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10"/>
      <c r="E9" s="2618" t="s">
        <v>70</v>
      </c>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58200</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4"/>
      <c r="L15" s="2677"/>
      <c r="M15" s="2677"/>
      <c r="N15" s="2735"/>
      <c r="O15" s="2677"/>
      <c r="P15" s="2735"/>
      <c r="Q15" s="2665"/>
      <c r="R15" s="2665"/>
    </row>
    <row r="16" spans="1:28">
      <c r="A16" s="2624" t="s">
        <v>2939</v>
      </c>
      <c r="B16" s="3116"/>
      <c r="C16" s="3117"/>
      <c r="D16" s="3118"/>
      <c r="E16" s="2639" t="s">
        <v>2940</v>
      </c>
      <c r="F16" s="3119"/>
      <c r="G16" s="3120"/>
      <c r="H16" s="3120"/>
      <c r="I16" s="3121"/>
      <c r="J16" s="2665"/>
      <c r="K16" s="2844"/>
      <c r="L16" s="2677"/>
      <c r="M16" s="2677"/>
      <c r="N16" s="2735"/>
      <c r="O16" s="2677"/>
      <c r="P16" s="2735"/>
      <c r="Q16" s="2665"/>
      <c r="R16" s="2665"/>
    </row>
    <row r="17" spans="1:28">
      <c r="A17" s="319" t="s">
        <v>2941</v>
      </c>
      <c r="B17" s="308" t="s">
        <v>2942</v>
      </c>
      <c r="C17" s="11">
        <f>'数据-汇总表'!E3</f>
        <v>4704.8599999999997</v>
      </c>
      <c r="D17" s="2545" t="s">
        <v>2943</v>
      </c>
      <c r="E17" s="3122" t="s">
        <v>2944</v>
      </c>
      <c r="F17" s="3123"/>
      <c r="G17" s="3123"/>
      <c r="H17" s="3123"/>
      <c r="I17" s="3124"/>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2957.47</v>
      </c>
      <c r="D18" s="1252" t="s">
        <v>2947</v>
      </c>
      <c r="E18" s="3125" t="s">
        <v>2948</v>
      </c>
      <c r="F18" s="3126"/>
      <c r="G18" s="3126"/>
      <c r="H18" s="3126"/>
      <c r="I18" s="3127"/>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3070</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2" t="s">
        <v>2952</v>
      </c>
      <c r="C20" s="3113"/>
      <c r="D20" s="3114" t="s">
        <v>2953</v>
      </c>
      <c r="E20" s="3115"/>
      <c r="F20" s="2874" t="s">
        <v>1742</v>
      </c>
      <c r="G20" s="2891"/>
      <c r="H20" s="2891"/>
      <c r="I20" s="2891"/>
      <c r="J20" s="2665"/>
      <c r="K20" s="311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9"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9"/>
      <c r="B28" s="308" t="s">
        <v>2962</v>
      </c>
      <c r="C28" s="2644" t="s">
        <v>3072</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9"/>
      <c r="B29" s="308" t="s">
        <v>2963</v>
      </c>
      <c r="C29" s="2646" t="s">
        <v>3073</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0"/>
      <c r="B30" s="308" t="s">
        <v>2964</v>
      </c>
      <c r="C30" s="3131"/>
      <c r="D30" s="3132"/>
      <c r="E30" s="2891"/>
      <c r="F30" s="2891"/>
      <c r="G30" s="2891"/>
      <c r="H30" s="2891"/>
      <c r="I30" s="2891"/>
      <c r="J30" s="2665"/>
      <c r="K30" s="2842"/>
      <c r="L30" s="2839"/>
      <c r="M30" s="2839"/>
      <c r="N30" s="2665"/>
      <c r="O30" s="2676"/>
      <c r="P30" s="2665"/>
      <c r="Q30" s="2665"/>
      <c r="R30" s="2665"/>
      <c r="S30" s="2665"/>
      <c r="T30" s="2665"/>
      <c r="U30" s="2665"/>
      <c r="V30" s="2665"/>
    </row>
    <row r="31" spans="1:28">
      <c r="A31" s="3133" t="s">
        <v>2965</v>
      </c>
      <c r="B31" s="2648" t="s">
        <v>3074</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3075</v>
      </c>
      <c r="C34" s="2214" t="s">
        <v>3076</v>
      </c>
      <c r="D34" s="2214" t="s">
        <v>3077</v>
      </c>
      <c r="E34" s="2214" t="s">
        <v>3079</v>
      </c>
      <c r="F34" s="2214" t="s">
        <v>3078</v>
      </c>
      <c r="G34" s="2214"/>
      <c r="H34" s="2214"/>
      <c r="I34" s="2891"/>
      <c r="J34" s="2665"/>
      <c r="K34" s="2653">
        <f>COUNTIF(B34:H34,"——")</f>
        <v>0</v>
      </c>
      <c r="L34" s="329" t="s">
        <v>2967</v>
      </c>
      <c r="M34" s="329" t="s">
        <v>2968</v>
      </c>
      <c r="N34" s="329" t="s">
        <v>2969</v>
      </c>
      <c r="O34" s="329" t="s">
        <v>2970</v>
      </c>
      <c r="P34" s="329" t="s">
        <v>2971</v>
      </c>
      <c r="Q34" s="329" t="s">
        <v>2972</v>
      </c>
      <c r="R34" s="329" t="s">
        <v>2973</v>
      </c>
      <c r="S34" s="3128" t="s">
        <v>2974</v>
      </c>
      <c r="T34" s="2654" t="str">
        <f>NUMBERSTRING(7-K34,1)&amp;"通"</f>
        <v>七通</v>
      </c>
      <c r="U34" s="2665"/>
      <c r="V34" s="2665"/>
    </row>
    <row r="35" spans="1:30">
      <c r="A35" s="2655"/>
      <c r="B35" s="3135" t="s">
        <v>2975</v>
      </c>
      <c r="C35" s="3135"/>
      <c r="D35" s="3135"/>
      <c r="E35" s="3135"/>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8"/>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2957.47</v>
      </c>
      <c r="B3" s="14">
        <f>IF(C3="否",G5-AT5,G5)</f>
        <v>4704.8599999999997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3070</v>
      </c>
      <c r="E13" s="16">
        <f>IF($C$3="是",ROUND($A$3*G13/$B$3,2),ROUND($A$3*(G13-AT13)/$B$3,2))</f>
        <v>2508.5100000000002</v>
      </c>
      <c r="F13" s="32"/>
      <c r="G13" s="33">
        <f>H13+AC13+AT13</f>
        <v>3990.64</v>
      </c>
      <c r="H13" s="20">
        <f>SUMIF(I$12:AB$12,"总值",I13:AB13)</f>
        <v>3990.64</v>
      </c>
      <c r="I13" s="1811">
        <v>3990.64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3070</v>
      </c>
      <c r="E14" s="16">
        <f>IF($C$3="是",ROUND($A$3*G14/$B$3,2),ROUND($A$3*(G14-AT14)/$B$3,2))</f>
        <v>9.7899999999999991</v>
      </c>
      <c r="F14" s="32"/>
      <c r="G14" s="33">
        <f>H14+AC14+AT14</f>
        <v>15.57</v>
      </c>
      <c r="H14" s="20">
        <f>SUMIF(I$12:AB$12,"总值",I14:AB14)</f>
        <v>15.57</v>
      </c>
      <c r="I14" s="1811">
        <v>15.57</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3070</v>
      </c>
      <c r="E15" s="16">
        <f>IF($C$3="是",ROUND($A$3*G15/$B$3,2),ROUND($A$3*(G15-AT15)/$B$3,2))</f>
        <v>180.12</v>
      </c>
      <c r="F15" s="32"/>
      <c r="G15" s="33">
        <f>H15+AC15+AT15</f>
        <v>286.54000000000002</v>
      </c>
      <c r="H15" s="20">
        <f>SUMIF(I$12:AB$12,"总值",I15:AB15)</f>
        <v>286.54000000000002</v>
      </c>
      <c r="I15" s="1811">
        <v>286.54000000000002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3070</v>
      </c>
      <c r="E16" s="16">
        <f>IF($C$3="是",ROUND($A$3*G16/$B$3,2),ROUND($A$3*(G16-AT16)/$B$3,2))</f>
        <v>259.05</v>
      </c>
      <c r="F16" s="32"/>
      <c r="G16" s="33">
        <f>H16+AC16+AT16</f>
        <v>412.11</v>
      </c>
      <c r="H16" s="20">
        <f>SUMIF(I$12:AB$12,"总值",I16:AB16)</f>
        <v>412.11</v>
      </c>
      <c r="I16" s="1811">
        <v>412.11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2" sqref="E5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4" t="s">
        <v>1794</v>
      </c>
      <c r="F2" s="2886"/>
      <c r="G2" s="2877"/>
      <c r="H2" s="2878"/>
      <c r="I2" s="2548" t="s">
        <v>1818</v>
      </c>
      <c r="J2" s="2886"/>
      <c r="K2" s="2886"/>
      <c r="L2" s="2886"/>
      <c r="M2" s="2886"/>
      <c r="N2" s="2888"/>
      <c r="O2" s="2886"/>
      <c r="P2" s="2886"/>
    </row>
    <row r="3" spans="1:16" ht="15.75" thickBot="1">
      <c r="A3" s="3148" t="s">
        <v>1791</v>
      </c>
      <c r="B3" s="3148"/>
      <c r="C3" s="3148"/>
      <c r="D3" s="46">
        <f>'数据-基础表'!AY6</f>
        <v>2957.47</v>
      </c>
      <c r="E3" s="46">
        <f>'数据-基础表'!AZ5</f>
        <v>4704.8599999999997</v>
      </c>
      <c r="F3" s="2886"/>
      <c r="G3" s="1307"/>
      <c r="H3" s="1157" t="s">
        <v>1792</v>
      </c>
      <c r="I3" s="964">
        <f>ROUND('数据-基础表'!B3/'数据-基础表'!A3,2)</f>
        <v>1.59</v>
      </c>
      <c r="J3" s="2886"/>
      <c r="K3" s="2886"/>
      <c r="L3" s="2886"/>
      <c r="M3" s="2886"/>
      <c r="N3" s="2888"/>
      <c r="O3" s="2886"/>
      <c r="P3" s="2886"/>
    </row>
    <row r="4" spans="1:16" ht="15">
      <c r="A4" s="3149"/>
      <c r="B4" s="3150"/>
      <c r="C4" s="3151"/>
      <c r="D4" s="1826" t="s">
        <v>1793</v>
      </c>
      <c r="E4" s="1827" t="s">
        <v>1794</v>
      </c>
      <c r="F4" s="2886"/>
      <c r="G4" s="2879" t="s">
        <v>1819</v>
      </c>
      <c r="H4" s="1157" t="s">
        <v>1799</v>
      </c>
      <c r="I4" s="964">
        <f>ROUND(SUMIF('数据-基础表'!I9:AS9,"地上",'数据-基础表'!I5:AS5)/'数据-基础表'!A3,2)</f>
        <v>1.59</v>
      </c>
      <c r="J4" s="2886"/>
      <c r="K4" s="2886"/>
      <c r="L4" s="2886"/>
      <c r="M4" s="2886"/>
      <c r="N4" s="2888"/>
      <c r="O4" s="2886"/>
      <c r="P4" s="2886"/>
    </row>
    <row r="5" spans="1:16">
      <c r="A5" s="47" t="s">
        <v>1795</v>
      </c>
      <c r="B5" s="3152" t="s">
        <v>1796</v>
      </c>
      <c r="C5" s="3152"/>
      <c r="D5" s="48">
        <f>ROUND($D$3*E5/$E$3,2)</f>
        <v>0</v>
      </c>
      <c r="E5" s="49">
        <f>SUMIF('数据-基础表'!$11:$11,"住宅",'数据-基础表'!$5:$5)</f>
        <v>0</v>
      </c>
      <c r="F5" s="2886"/>
      <c r="G5" s="1307"/>
      <c r="H5" s="1157" t="s">
        <v>1792</v>
      </c>
      <c r="I5" s="964">
        <f>ROUND(E31/D31,2)</f>
        <v>1.59</v>
      </c>
      <c r="J5" s="2886"/>
      <c r="K5" s="2886"/>
      <c r="L5" s="2886"/>
      <c r="M5" s="2886"/>
      <c r="N5" s="2886"/>
      <c r="O5" s="2886"/>
      <c r="P5" s="2886"/>
    </row>
    <row r="6" spans="1:16" ht="15" thickBot="1">
      <c r="A6" s="1829"/>
      <c r="B6" s="3152" t="s">
        <v>1797</v>
      </c>
      <c r="C6" s="3152"/>
      <c r="D6" s="48">
        <f>ROUND($D$3*E6/$E$3,2)</f>
        <v>2957.47</v>
      </c>
      <c r="E6" s="49">
        <f>E3-E5</f>
        <v>4704.8599999999997</v>
      </c>
      <c r="F6" s="2886"/>
      <c r="G6" s="2880" t="s">
        <v>1798</v>
      </c>
      <c r="H6" s="1308" t="s">
        <v>1799</v>
      </c>
      <c r="I6" s="2881">
        <f>ROUND(F31/D31,2)</f>
        <v>1.59</v>
      </c>
      <c r="J6" s="2886"/>
      <c r="K6" s="2886"/>
      <c r="L6" s="2886"/>
      <c r="M6" s="2886"/>
      <c r="N6" s="2886"/>
      <c r="O6" s="2886"/>
      <c r="P6" s="2886"/>
    </row>
    <row r="7" spans="1:16" ht="15.75" thickBot="1">
      <c r="A7" s="3144"/>
      <c r="B7" s="3145"/>
      <c r="C7" s="3146"/>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2957.47</v>
      </c>
      <c r="E8" s="51">
        <f>SUMIF('数据-基础表'!BB10:BK10,"地上",'数据-基础表'!BB5:BK5)</f>
        <v>4704.8599999999997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2957.47</v>
      </c>
      <c r="E16" s="53">
        <f>SUM(E8:E15)</f>
        <v>4704.8599999999997</v>
      </c>
      <c r="F16" s="2886"/>
      <c r="G16" s="2887"/>
      <c r="H16" s="1833" t="s">
        <v>1821</v>
      </c>
      <c r="I16" s="1834"/>
      <c r="J16" s="1301"/>
      <c r="K16" s="3141" t="s">
        <v>1821</v>
      </c>
      <c r="L16" s="3142"/>
      <c r="M16" s="3142"/>
      <c r="N16" s="3142"/>
      <c r="O16" s="3142"/>
      <c r="P16" s="3143"/>
    </row>
    <row r="17" spans="1:19" ht="15">
      <c r="A17" s="1835" t="s">
        <v>1822</v>
      </c>
      <c r="B17" s="1836" t="s">
        <v>1823</v>
      </c>
      <c r="C17" s="1837" t="s">
        <v>1824</v>
      </c>
      <c r="D17" s="1838" t="s">
        <v>1812</v>
      </c>
      <c r="E17" s="1839" t="s">
        <v>1813</v>
      </c>
      <c r="F17" s="1840"/>
      <c r="G17" s="1841"/>
      <c r="H17" s="1842" t="s">
        <v>1825</v>
      </c>
      <c r="I17" s="1843" t="s">
        <v>1810</v>
      </c>
      <c r="J17" s="1301"/>
      <c r="K17" s="3138" t="s">
        <v>1826</v>
      </c>
      <c r="L17" s="3139"/>
      <c r="M17" s="3140"/>
      <c r="N17" s="3138" t="s">
        <v>1827</v>
      </c>
      <c r="O17" s="3139"/>
      <c r="P17" s="314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3082</v>
      </c>
      <c r="D19" s="48">
        <f>ROUND($D$3*E19/$E$3,2)</f>
        <v>2957.47</v>
      </c>
      <c r="E19" s="56">
        <f t="shared" ref="E19:E26" si="1">SUM(F19:G19)</f>
        <v>4704.8599999999997</v>
      </c>
      <c r="F19" s="3026">
        <f>'数据-基础表'!I5</f>
        <v>4704.8599999999997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2957.47</v>
      </c>
      <c r="S19" s="1158">
        <f t="shared" si="5"/>
        <v>4704.8599999999997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2957.47</v>
      </c>
      <c r="E27" s="1303">
        <f>IF(SUM(E19:E26)='数据-基础表'!BA5,SUM(E19:E26),IF(F27="地上面积有误","面积有误","地下面积有误"))</f>
        <v>4704.8599999999997</v>
      </c>
      <c r="F27" s="1302">
        <f>IF(SUM(F19:F26)=E8,SUM(F19:F26),"地上面积有误")</f>
        <v>4704.8599999999997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2957.47</v>
      </c>
      <c r="S27" s="1157">
        <f>IF(SUM(S19:S26)=$E$3,SUM(S19:S26),SUM(S19:S26)&amp;"误差"&amp;ROUND(SUM(S19:S26)-E3,2))</f>
        <v>4704.8599999999997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2957.47</v>
      </c>
      <c r="E31" s="685">
        <f>E27+E30</f>
        <v>4704.8599999999997</v>
      </c>
      <c r="F31" s="686">
        <f>F27+F30</f>
        <v>4704.8599999999997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5"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1343</v>
      </c>
      <c r="D6" s="967">
        <f>SUMIF(项目基本情况!D$12:I$12,C6,项目基本情况!D$14:I$14)</f>
        <v>40</v>
      </c>
      <c r="E6" s="966">
        <f>IF(B6="","",SUMIF(项目基本情况!D$12:I$12,C6,项目基本情况!D$13:I$13))</f>
        <v>58200</v>
      </c>
      <c r="F6" s="68">
        <f>SUMIF(项目基本情况!D$12:I$12,C6,项目基本情况!D$15:I$15)</f>
        <v>40</v>
      </c>
      <c r="G6" s="69">
        <f>IF(ISERROR(ROUND(POWER(1+H6,D6-F6)*(POWER(1+H6,F6)-1)/(POWER(1+H6,D6)-1),3)),0,ROUND(POWER(1+H6,D6-F6)*(POWER(1+H6,F6)-1)/(POWER(1+H6,D6)-1),3))</f>
        <v>1</v>
      </c>
      <c r="H6" s="741">
        <f>基准地价修正!G20</f>
        <v>5.3999999999999999E-2</v>
      </c>
      <c r="I6" s="741">
        <v>5.7000000000000002E-2</v>
      </c>
      <c r="J6" s="70">
        <v>8.5000000000000006E-2</v>
      </c>
      <c r="K6" s="1161">
        <f>SUMIF('数据-汇总表'!C$19:C$33,A6,'数据-汇总表'!E$19:E$33)</f>
        <v>4704.8599999999997</v>
      </c>
      <c r="L6" s="742">
        <v>3000</v>
      </c>
      <c r="M6" s="71">
        <f t="shared" ref="M6:M14" si="0">ROUND(K6*L6/10000,0)</f>
        <v>1411</v>
      </c>
      <c r="N6" s="740">
        <f>ROUND(M18*0.5+N18*0.5,2)</f>
        <v>0.73</v>
      </c>
      <c r="O6" s="71" t="str">
        <f>IF($N$5="成新度","——",ROUND(M6*N6,0))</f>
        <v>——</v>
      </c>
      <c r="P6" s="72" t="str">
        <f>IF($N$5="成新度","——",M6-O6)</f>
        <v>——</v>
      </c>
      <c r="Q6" s="743">
        <v>0.25</v>
      </c>
      <c r="R6" s="73">
        <f ca="1">SUMIF('数据-汇总表'!C$19:C$33,A6,'数据-汇总表'!R$19:R$27)</f>
        <v>2957.47</v>
      </c>
      <c r="S6" s="54">
        <f>IF('数据-汇总表'!$I$17="按面积比例",SUMIF('数据-汇总表'!C$19:C$33,A6,'数据-汇总表'!K$19:K$33),SUMIF('数据-汇总表'!C$19:C$33,A6,'数据-汇总表'!N$19:N$33))</f>
        <v>0</v>
      </c>
      <c r="T6" s="1334">
        <f>ROUND($L$14*S6/10000,0)</f>
        <v>0</v>
      </c>
      <c r="U6" s="74">
        <v>4.2</v>
      </c>
      <c r="V6" s="75">
        <v>0.03</v>
      </c>
      <c r="W6" s="75">
        <v>0.05</v>
      </c>
      <c r="X6" s="1171"/>
      <c r="Y6" s="76">
        <f>N6</f>
        <v>0.73</v>
      </c>
      <c r="Z6" s="77"/>
      <c r="AA6" s="70"/>
      <c r="AB6" s="70"/>
      <c r="AC6" s="1171"/>
      <c r="AD6" s="78"/>
      <c r="AE6" s="1172">
        <f ca="1">IF(AN6="",0,SUMIF(INDIRECT("'"&amp;AN6&amp;"'"&amp;"!E:E"),$AE$5,INDIRECT("'"&amp;AN6&amp;"'"&amp;"!F:F")))</f>
        <v>40</v>
      </c>
      <c r="AF6" s="1532"/>
      <c r="AG6" s="143">
        <f>IF(AF6="",0,AE6-AF6)</f>
        <v>0</v>
      </c>
      <c r="AH6" s="79"/>
      <c r="AI6" s="81">
        <v>365</v>
      </c>
      <c r="AJ6" s="82"/>
      <c r="AK6" s="83">
        <v>5.0000000000000001E-3</v>
      </c>
      <c r="AL6" s="84">
        <v>1E-3</v>
      </c>
      <c r="AM6" s="85">
        <v>5.0000000000000001E-3</v>
      </c>
      <c r="AN6" s="1901" t="s">
        <v>3084</v>
      </c>
      <c r="AO6" s="55">
        <f ca="1">SUMIF(INDIRECT("'"&amp;AN6&amp;"'"&amp;"!A:A"),"总价",INDIRECT("'"&amp;AN6&amp;"'"&amp;"!B:B"))</f>
        <v>13206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5.3999999999999999E-2</v>
      </c>
      <c r="I16" s="96"/>
      <c r="J16" s="96"/>
      <c r="K16" s="97">
        <f>SUM(K6:K15)</f>
        <v>4704.8599999999997</v>
      </c>
      <c r="L16" s="98">
        <f>ROUND(M16*10000/SUM(K6:K14),0)</f>
        <v>2999</v>
      </c>
      <c r="M16" s="98">
        <f>SUM(M6:M14)</f>
        <v>1411</v>
      </c>
      <c r="N16" s="99">
        <f>ROUND(SUMPRODUCT(M6:M14,N6:N14)/M16,3)</f>
        <v>0.73</v>
      </c>
      <c r="O16" s="98">
        <f>SUM(O6:O14)</f>
        <v>0</v>
      </c>
      <c r="P16" s="98">
        <f>SUM(P6:P14)</f>
        <v>0</v>
      </c>
      <c r="Q16" s="100">
        <f>ROUND(SUMPRODUCT(Q6:Q13,K6:K13)/SUMPRODUCT((Q6:Q13&gt;0)*(K6:K13)),2)</f>
        <v>0.25</v>
      </c>
      <c r="R16" s="1165">
        <f ca="1">SUM(R6:R13)</f>
        <v>2957.47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f>ROUND(1-(2021-1996)/60,2)</f>
        <v>0.57999999999999996</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v>0.6</v>
      </c>
      <c r="N18" s="3061">
        <v>0.85</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94</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3102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3" t="s">
        <v>3032</v>
      </c>
      <c r="B1" s="3154"/>
      <c r="C1" s="3154"/>
      <c r="D1" s="3154"/>
      <c r="E1" s="3154"/>
      <c r="F1" s="3154"/>
      <c r="G1" s="315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4704.8599999999997</v>
      </c>
      <c r="C1" s="2915"/>
      <c r="D1" s="2915"/>
      <c r="E1" s="2915"/>
      <c r="F1" s="2915"/>
      <c r="G1" s="2916"/>
      <c r="H1" s="2917"/>
      <c r="I1" s="2917"/>
      <c r="J1" s="2917"/>
      <c r="K1" s="2917"/>
    </row>
    <row r="2" spans="1:11" ht="16.5">
      <c r="A2" s="2738" t="s">
        <v>1319</v>
      </c>
      <c r="B2" s="2738">
        <f>SUM(C14:C23)</f>
        <v>2957.47</v>
      </c>
      <c r="C2" s="2915"/>
      <c r="D2" s="2915"/>
      <c r="E2" s="2915"/>
      <c r="F2" s="2915"/>
      <c r="G2" s="2916"/>
      <c r="H2" s="2917"/>
      <c r="I2" s="2917"/>
      <c r="J2" s="2917"/>
      <c r="K2" s="2917"/>
    </row>
    <row r="3" spans="1:11" ht="16.5">
      <c r="A3" s="2738" t="s">
        <v>1328</v>
      </c>
      <c r="B3" s="2740">
        <f>项目基本情况!D3</f>
        <v>44306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11075</v>
      </c>
      <c r="C5" s="2738">
        <f ca="1">ROUND(B5*10000/$B$1,0)</f>
        <v>23539</v>
      </c>
      <c r="D5" s="2738">
        <f ca="1">ROUND(B5*10000/$B$2,0)</f>
        <v>37448</v>
      </c>
      <c r="E5" s="2915"/>
      <c r="F5" s="2916"/>
      <c r="G5" s="2916"/>
      <c r="H5" s="2917"/>
      <c r="I5" s="2917"/>
      <c r="J5" s="2917"/>
      <c r="K5" s="2917"/>
    </row>
    <row r="6" spans="1:11" ht="16.5">
      <c r="A6" s="2738" t="s">
        <v>1322</v>
      </c>
      <c r="B6" s="2738">
        <f ca="1">SUM(G14:G23)</f>
        <v>11075</v>
      </c>
      <c r="C6" s="2738">
        <f ca="1">ROUND(B6*10000/$B$1,0)</f>
        <v>23539</v>
      </c>
      <c r="D6" s="2738">
        <f ca="1">ROUND(B6*10000/$B$2,0)</f>
        <v>37448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4704.8599999999997</v>
      </c>
      <c r="C14" s="2744">
        <f>结果表!C118</f>
        <v>2957.47</v>
      </c>
      <c r="D14" s="2744">
        <f ca="1">结果表!H118</f>
        <v>11075</v>
      </c>
      <c r="E14" s="2744">
        <f ca="1">ROUND(D14*10000/B14,0)</f>
        <v>23539</v>
      </c>
      <c r="F14" s="2744">
        <f ca="1">ROUND(D14*10000/C14,0)</f>
        <v>37448</v>
      </c>
      <c r="G14" s="2744">
        <f ca="1">结果表!D122</f>
        <v>11075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6" zoomScale="115" zoomScaleNormal="100" zoomScaleSheetLayoutView="115" zoomScalePageLayoutView="80" workbookViewId="0">
      <selection activeCell="D122" sqref="D122:I1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5" t="str">
        <f>项目基本情况!S2</f>
        <v>北京市房地产</v>
      </c>
      <c r="B2" s="3226"/>
      <c r="C2" s="3226"/>
      <c r="D2" s="3226"/>
      <c r="E2" s="3226"/>
      <c r="F2" s="3226"/>
      <c r="G2" s="3226"/>
      <c r="H2" s="3226"/>
      <c r="I2" s="3227"/>
    </row>
    <row r="3" spans="1:12" ht="12.75">
      <c r="A3" s="3229" t="s">
        <v>1950</v>
      </c>
      <c r="B3" s="3230"/>
      <c r="C3" s="3230"/>
      <c r="D3" s="3230"/>
      <c r="E3" s="3230"/>
      <c r="F3" s="3230"/>
      <c r="G3" s="3230"/>
      <c r="H3" s="3230"/>
      <c r="I3" s="3230"/>
    </row>
    <row r="4" spans="1:12" ht="14.25">
      <c r="A4" s="1940" t="s">
        <v>1951</v>
      </c>
      <c r="B4" s="1941" t="s">
        <v>1952</v>
      </c>
      <c r="C4" s="1942" t="s">
        <v>3103</v>
      </c>
      <c r="D4" s="1942" t="s">
        <v>3084</v>
      </c>
      <c r="E4" s="3234" t="s">
        <v>1953</v>
      </c>
      <c r="F4" s="3235"/>
      <c r="G4" s="3235"/>
      <c r="H4" s="3235"/>
      <c r="I4" s="32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1954</v>
      </c>
      <c r="B5" s="3228">
        <v>25</v>
      </c>
      <c r="C5" s="3231"/>
      <c r="D5" s="3219"/>
      <c r="E5" s="136" t="s">
        <v>1955</v>
      </c>
      <c r="F5" s="1943"/>
      <c r="G5" s="1943"/>
      <c r="H5" s="1943"/>
      <c r="I5" s="1557"/>
    </row>
    <row r="6" spans="1:12" ht="12.75">
      <c r="A6" s="3170"/>
      <c r="B6" s="3228"/>
      <c r="C6" s="3233"/>
      <c r="D6" s="3219"/>
      <c r="E6" s="136" t="s">
        <v>1956</v>
      </c>
      <c r="F6" s="1943"/>
      <c r="G6" s="1943"/>
      <c r="H6" s="1943"/>
      <c r="I6" s="1557"/>
    </row>
    <row r="7" spans="1:12" ht="12.75">
      <c r="A7" s="3170"/>
      <c r="B7" s="3228"/>
      <c r="C7" s="3232"/>
      <c r="D7" s="3219"/>
      <c r="E7" s="136" t="s">
        <v>1957</v>
      </c>
      <c r="F7" s="1943"/>
      <c r="G7" s="1943"/>
      <c r="H7" s="1943"/>
      <c r="I7" s="1557"/>
    </row>
    <row r="8" spans="1:12" ht="12.75">
      <c r="A8" s="3170" t="s">
        <v>1958</v>
      </c>
      <c r="B8" s="3228">
        <v>15</v>
      </c>
      <c r="C8" s="3231"/>
      <c r="D8" s="3219"/>
      <c r="E8" s="136" t="s">
        <v>1959</v>
      </c>
      <c r="F8" s="1943"/>
      <c r="G8" s="1943"/>
      <c r="H8" s="1943"/>
      <c r="I8" s="1557"/>
    </row>
    <row r="9" spans="1:12" ht="12.75">
      <c r="A9" s="3170"/>
      <c r="B9" s="3228"/>
      <c r="C9" s="3232"/>
      <c r="D9" s="3219"/>
      <c r="E9" s="136" t="s">
        <v>1960</v>
      </c>
      <c r="F9" s="1943"/>
      <c r="G9" s="1943"/>
      <c r="H9" s="1943"/>
      <c r="I9" s="1557"/>
    </row>
    <row r="10" spans="1:12" ht="12.75">
      <c r="A10" s="3170" t="s">
        <v>1961</v>
      </c>
      <c r="B10" s="3228">
        <v>15</v>
      </c>
      <c r="C10" s="3231"/>
      <c r="D10" s="3219"/>
      <c r="E10" s="136" t="s">
        <v>1962</v>
      </c>
      <c r="F10" s="1943"/>
      <c r="G10" s="1943"/>
      <c r="H10" s="1943"/>
      <c r="I10" s="1557"/>
    </row>
    <row r="11" spans="1:12" ht="12.75">
      <c r="A11" s="3170"/>
      <c r="B11" s="3228"/>
      <c r="C11" s="3232"/>
      <c r="D11" s="3219"/>
      <c r="E11" s="136" t="s">
        <v>1963</v>
      </c>
      <c r="F11" s="1943"/>
      <c r="G11" s="1943"/>
      <c r="H11" s="1943"/>
      <c r="I11" s="1557"/>
    </row>
    <row r="12" spans="1:12" ht="12.75">
      <c r="A12" s="3170" t="s">
        <v>1964</v>
      </c>
      <c r="B12" s="3228">
        <v>15</v>
      </c>
      <c r="C12" s="3231"/>
      <c r="D12" s="3219"/>
      <c r="E12" s="136" t="s">
        <v>1965</v>
      </c>
      <c r="F12" s="1943"/>
      <c r="G12" s="1943"/>
      <c r="H12" s="1943"/>
      <c r="I12" s="1557"/>
    </row>
    <row r="13" spans="1:12" ht="12.75">
      <c r="A13" s="3170"/>
      <c r="B13" s="3228"/>
      <c r="C13" s="3232"/>
      <c r="D13" s="3219"/>
      <c r="E13" s="136" t="s">
        <v>1966</v>
      </c>
      <c r="F13" s="1943"/>
      <c r="G13" s="1943"/>
      <c r="H13" s="1943"/>
      <c r="I13" s="1557"/>
    </row>
    <row r="14" spans="1:12" ht="12.75">
      <c r="A14" s="3170" t="s">
        <v>1967</v>
      </c>
      <c r="B14" s="3228">
        <v>30</v>
      </c>
      <c r="C14" s="3231">
        <v>5</v>
      </c>
      <c r="D14" s="3219">
        <v>5</v>
      </c>
      <c r="E14" s="136" t="s">
        <v>1968</v>
      </c>
      <c r="F14" s="1943"/>
      <c r="G14" s="1943"/>
      <c r="H14" s="1943"/>
      <c r="I14" s="1557"/>
    </row>
    <row r="15" spans="1:12" ht="12.75">
      <c r="A15" s="3170"/>
      <c r="B15" s="3228"/>
      <c r="C15" s="3233"/>
      <c r="D15" s="3219"/>
      <c r="E15" s="136" t="s">
        <v>1969</v>
      </c>
      <c r="F15" s="1943"/>
      <c r="G15" s="1943"/>
      <c r="H15" s="1943"/>
      <c r="I15" s="1557"/>
    </row>
    <row r="16" spans="1:12" ht="12.75">
      <c r="A16" s="3170"/>
      <c r="B16" s="3228"/>
      <c r="C16" s="3232"/>
      <c r="D16" s="3219"/>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0" t="s">
        <v>2873</v>
      </c>
      <c r="F18" s="3251"/>
      <c r="G18" s="3251"/>
      <c r="H18" s="3251"/>
      <c r="I18" s="3251"/>
      <c r="K18" s="308" t="s">
        <v>1975</v>
      </c>
      <c r="L18" s="308">
        <f>IF(C1="",'数据-汇总表'!E3,SUMIF(项目类型,C1,'数据-汇总表'!E17:E26)+SUMIF(项目类型,C1,'数据-汇总表'!I17:I26))</f>
        <v>4704.8599999999997</v>
      </c>
      <c r="M18" s="308">
        <f>IF(C1="",'数据-汇总表'!E3,SUMIF(项目类型,C1,'数据-汇总表'!E17:E26))</f>
        <v>4704.8599999999997</v>
      </c>
    </row>
    <row r="19" spans="1:36" ht="15">
      <c r="A19" s="1947" t="s">
        <v>1976</v>
      </c>
      <c r="B19" s="1948" t="s">
        <v>1977</v>
      </c>
      <c r="C19" s="139">
        <f ca="1">SUMIF(INDIRECT("'"&amp;C4&amp;"'"&amp;"!A:A"),结果表!B19,INDIRECT("'"&amp;C4&amp;"'"&amp;"!B:B"))</f>
        <v>12427</v>
      </c>
      <c r="D19" s="140">
        <f ca="1">SUMIF(INDIRECT("'"&amp;D4&amp;"'"&amp;"!A:A"),结果表!B19,INDIRECT("'"&amp;D4&amp;"'"&amp;"!B:B"))</f>
        <v>13206</v>
      </c>
      <c r="E19" s="1947" t="s">
        <v>1978</v>
      </c>
      <c r="F19" s="1948" t="s">
        <v>1977</v>
      </c>
      <c r="G19" s="141">
        <f ca="1">ROUND(C19*$C$18+D19*$D$18,0)</f>
        <v>12817</v>
      </c>
      <c r="H19" s="1949" t="s">
        <v>1979</v>
      </c>
      <c r="I19" s="134">
        <v>13058</v>
      </c>
      <c r="K19" s="308" t="s">
        <v>1980</v>
      </c>
      <c r="L19" s="308">
        <f>IF(C1="",'数据-汇总表'!D3,SUMIF(项目类型,C1,'数据-汇总表'!D17:D26)+SUMIF(项目类型,C1,'数据-汇总表'!H17:H27))</f>
        <v>2957.47</v>
      </c>
      <c r="M19" s="308">
        <f>IF(C1="",'数据-汇总表'!D3,SUMIF(项目类型,C1,'数据-汇总表'!D17:D26))</f>
        <v>2957.47</v>
      </c>
    </row>
    <row r="20" spans="1:36" ht="15">
      <c r="A20" s="1950"/>
      <c r="B20" s="1157" t="s">
        <v>1981</v>
      </c>
      <c r="C20" s="142">
        <f ca="1">SUMIF(INDIRECT("'"&amp;C4&amp;"'"&amp;"!A:A"),结果表!B20,INDIRECT("'"&amp;C4&amp;"'"&amp;"!B:B"))</f>
        <v>26413</v>
      </c>
      <c r="D20" s="143">
        <f ca="1">SUMIF(INDIRECT("'"&amp;D4&amp;"'"&amp;"!A:A"),结果表!B20,INDIRECT("'"&amp;D4&amp;"'"&amp;"!B:B"))</f>
        <v>28069</v>
      </c>
      <c r="E20" s="1950"/>
      <c r="F20" s="1157" t="s">
        <v>1981</v>
      </c>
      <c r="G20" s="144">
        <f ca="1">ROUND(C20*$C$18+D20*$D$18,0)</f>
        <v>27241</v>
      </c>
      <c r="H20" s="917" t="s">
        <v>1982</v>
      </c>
      <c r="I20" s="134"/>
    </row>
    <row r="21" spans="1:36" ht="15" customHeight="1" thickBot="1">
      <c r="A21" s="937"/>
      <c r="B21" s="1951" t="s">
        <v>1983</v>
      </c>
      <c r="C21" s="728">
        <f ca="1">ROUND(C19*10000/L19,0)</f>
        <v>42019</v>
      </c>
      <c r="D21" s="729">
        <f ca="1">ROUND(D19*10000/L19,0)</f>
        <v>44653</v>
      </c>
      <c r="E21" s="937"/>
      <c r="F21" s="1951" t="s">
        <v>1983</v>
      </c>
      <c r="G21" s="145">
        <f ca="1">ROUND(G19*10000/L19,0)</f>
        <v>43338</v>
      </c>
      <c r="H21" s="1952" t="s">
        <v>1982</v>
      </c>
      <c r="I21" s="134"/>
    </row>
    <row r="22" spans="1:36" ht="15" thickBot="1">
      <c r="A22" s="1874" t="s">
        <v>1984</v>
      </c>
      <c r="B22" s="1953"/>
      <c r="C22" s="1954"/>
      <c r="D22" s="730">
        <f ca="1">IF(C19&lt;D19,D19/C19-1,C19/D19-1)</f>
        <v>6.2686086746600145E-2</v>
      </c>
      <c r="E22" s="134"/>
      <c r="F22" s="134"/>
      <c r="G22" s="134"/>
      <c r="H22" s="134"/>
      <c r="I22" s="134"/>
    </row>
    <row r="23" spans="1:36" ht="13.5" thickBot="1">
      <c r="A23" s="1933"/>
      <c r="B23" s="1933"/>
      <c r="C23" s="1933"/>
      <c r="D23" s="1933"/>
      <c r="E23" s="134"/>
      <c r="F23" s="134"/>
      <c r="G23" s="134"/>
      <c r="H23" s="134"/>
      <c r="I23" s="134"/>
    </row>
    <row r="24" spans="1:36" ht="14.25">
      <c r="A24" s="3243" t="s">
        <v>1985</v>
      </c>
      <c r="B24" s="1948" t="s">
        <v>1977</v>
      </c>
      <c r="C24" s="141">
        <f>IF(B30=0,0,D30)</f>
        <v>1742</v>
      </c>
      <c r="D24" s="1955"/>
      <c r="E24" s="134"/>
      <c r="F24" s="134"/>
      <c r="G24" s="134"/>
      <c r="H24" s="134"/>
      <c r="I24" s="134"/>
    </row>
    <row r="25" spans="1:36" ht="14.25">
      <c r="A25" s="324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'数据-汇总表'!E3</f>
        <v>4704.8599999999997</v>
      </c>
      <c r="C27" s="147">
        <v>0</v>
      </c>
      <c r="D27" s="148">
        <f>ROUND(SUM(基准地价修正!V2:V5)*0.25*1.0305,0)</f>
        <v>1742</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f>B27</f>
        <v>4704.8599999999997</v>
      </c>
      <c r="C30" s="147"/>
      <c r="D30" s="147">
        <f>D27</f>
        <v>1742</v>
      </c>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11075</v>
      </c>
      <c r="D32" s="1961" t="s">
        <v>3104</v>
      </c>
      <c r="E32" s="134"/>
      <c r="F32" s="134"/>
      <c r="G32" s="134"/>
      <c r="H32" s="134"/>
      <c r="I32" s="134"/>
    </row>
    <row r="33" spans="1:15" ht="15">
      <c r="A33" s="894" t="s">
        <v>1992</v>
      </c>
      <c r="B33" s="1962"/>
      <c r="C33" s="1963" t="s">
        <v>3105</v>
      </c>
      <c r="D33" s="1964"/>
      <c r="E33" s="1965" t="s">
        <v>1993</v>
      </c>
      <c r="F33" s="1966" t="str">
        <f>IF(D32="楼面单价","取值（单价）","取值（总价）")</f>
        <v>取值（总价）</v>
      </c>
      <c r="G33" s="134"/>
      <c r="H33" s="134"/>
      <c r="I33" s="134"/>
    </row>
    <row r="34" spans="1:15" ht="15">
      <c r="A34" s="1967"/>
      <c r="B34" s="1968" t="s">
        <v>1994</v>
      </c>
      <c r="C34" s="153">
        <f ca="1">IF(C33="自定义",F34,C32-C35)</f>
        <v>9365</v>
      </c>
      <c r="D34" s="970">
        <f ca="1">IF(C33="自定义",ROUND(C34/C32,3),IF(C33="收益比率",SUMIF(INDIRECT("'"&amp;D33&amp;"'"&amp;"!b:b"),"土地收益比率",INDIRECT("'"&amp;D33&amp;"'"&amp;"!c:c")),SUMIF(INDIRECT("'"&amp;D33&amp;"'"&amp;"!b:b"),"土地成本比率",INDIRECT("'"&amp;D33&amp;"'"&amp;"!c:c"))))</f>
        <v>0.84599999999999997</v>
      </c>
      <c r="E34" s="1969" t="s">
        <v>1995</v>
      </c>
      <c r="F34" s="1498">
        <f ca="1">C32-F35</f>
        <v>9365</v>
      </c>
      <c r="G34" s="134"/>
      <c r="H34" s="134"/>
      <c r="I34" s="134"/>
    </row>
    <row r="35" spans="1:15" ht="15.75" thickBot="1">
      <c r="A35" s="1970"/>
      <c r="B35" s="1971" t="s">
        <v>1996</v>
      </c>
      <c r="C35" s="1332">
        <f ca="1">IF(C33="自定义",F35,ROUND(C32*D35,0))</f>
        <v>1710</v>
      </c>
      <c r="D35" s="1333">
        <f ca="1">IF(C33="自定义",ROUND(C35/C32,3),IF(C33="收益比率",SUMIF(INDIRECT("'"&amp;D33&amp;"'"&amp;"!b:b"),"建筑物收益比率",INDIRECT("'"&amp;D33&amp;"'"&amp;"!c:c")),SUMIF(INDIRECT("'"&amp;D33&amp;"'"&amp;"!b:b"),"建筑物成本比率",INDIRECT("'"&amp;D33&amp;"'"&amp;"!c:c"))))</f>
        <v>0.154</v>
      </c>
      <c r="E35" s="1972" t="s">
        <v>1997</v>
      </c>
      <c r="F35" s="159">
        <f ca="1">成本法!C51</f>
        <v>1710</v>
      </c>
      <c r="G35" s="134"/>
      <c r="H35" s="134"/>
      <c r="I35" s="134"/>
    </row>
    <row r="36" spans="1:15" ht="15.75" thickBot="1">
      <c r="A36" s="3220" t="s">
        <v>1998</v>
      </c>
      <c r="B36" s="1973" t="s">
        <v>1999</v>
      </c>
      <c r="C36" s="150"/>
      <c r="D36" s="1974"/>
      <c r="E36" s="1975"/>
      <c r="F36" s="1976"/>
      <c r="G36" s="134"/>
      <c r="H36" s="134"/>
      <c r="I36" s="134"/>
    </row>
    <row r="37" spans="1:15" ht="15.75" thickBot="1">
      <c r="A37" s="3221"/>
      <c r="B37" s="1860" t="s">
        <v>2000</v>
      </c>
      <c r="C37" s="152"/>
      <c r="D37" s="1301"/>
      <c r="E37" s="1301"/>
      <c r="F37" s="1976"/>
      <c r="G37" s="134"/>
      <c r="H37" s="134"/>
      <c r="I37" s="134"/>
    </row>
    <row r="38" spans="1:15" ht="15.75" thickBot="1">
      <c r="A38" s="322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v>11303</v>
      </c>
      <c r="F40" s="1976"/>
      <c r="G40" s="134"/>
      <c r="H40" s="134"/>
      <c r="I40" s="134"/>
    </row>
    <row r="41" spans="1:15" ht="14.25">
      <c r="A41" s="1982" t="s">
        <v>2009</v>
      </c>
      <c r="B41" s="154"/>
      <c r="C41" s="155"/>
      <c r="D41" s="155"/>
      <c r="E41" s="156">
        <f ca="1">E40-C32</f>
        <v>228</v>
      </c>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0" t="s">
        <v>2012</v>
      </c>
      <c r="B45" s="3241"/>
      <c r="C45" s="3242"/>
      <c r="D45" s="160">
        <f ca="1">ROUND(H101*F45,0)</f>
        <v>11075</v>
      </c>
      <c r="E45" s="161" t="s">
        <v>2013</v>
      </c>
      <c r="F45" s="162">
        <v>1</v>
      </c>
      <c r="G45" s="163" t="s">
        <v>2014</v>
      </c>
      <c r="H45" s="134"/>
      <c r="I45" s="134"/>
      <c r="J45" s="3157" t="s">
        <v>2015</v>
      </c>
      <c r="K45" s="3157"/>
      <c r="L45" s="3157"/>
      <c r="M45" s="3157"/>
      <c r="N45" s="3157"/>
      <c r="O45" s="3157"/>
    </row>
    <row r="46" spans="1:15" ht="14.25" customHeight="1">
      <c r="A46" s="3237" t="s">
        <v>2016</v>
      </c>
      <c r="B46" s="3238"/>
      <c r="C46" s="3238"/>
      <c r="D46" s="3238"/>
      <c r="E46" s="3238"/>
      <c r="F46" s="3238"/>
      <c r="G46" s="3239"/>
      <c r="H46" s="1992"/>
      <c r="I46" s="164"/>
      <c r="J46" s="2749">
        <v>1</v>
      </c>
      <c r="K46" s="3158" t="s">
        <v>2017</v>
      </c>
      <c r="L46" s="3158"/>
      <c r="M46" s="3159"/>
      <c r="N46" s="3159"/>
      <c r="O46" s="3159"/>
    </row>
    <row r="47" spans="1:15" ht="12" customHeight="1">
      <c r="A47" s="165" t="s">
        <v>2018</v>
      </c>
      <c r="B47" s="166"/>
      <c r="C47" s="167"/>
      <c r="D47" s="1247" t="s">
        <v>2019</v>
      </c>
      <c r="E47" s="308" t="s">
        <v>2020</v>
      </c>
      <c r="F47" s="168" t="s">
        <v>2021</v>
      </c>
      <c r="G47" s="2772" t="s">
        <v>2022</v>
      </c>
      <c r="H47" s="2773"/>
      <c r="I47" s="164"/>
      <c r="J47" s="2749">
        <v>2</v>
      </c>
      <c r="K47" s="3158" t="s">
        <v>2023</v>
      </c>
      <c r="L47" s="3158"/>
      <c r="M47" s="3160">
        <f>'数据-取费表'!B2</f>
        <v>44306</v>
      </c>
      <c r="N47" s="3160"/>
      <c r="O47" s="3160"/>
    </row>
    <row r="48" spans="1:15" ht="25.5">
      <c r="A48" s="3223" t="s">
        <v>2024</v>
      </c>
      <c r="B48" s="3224"/>
      <c r="C48" s="3224"/>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58" t="s">
        <v>2026</v>
      </c>
      <c r="L48" s="3158"/>
      <c r="M48" s="3161">
        <f ca="1">H101</f>
        <v>11075</v>
      </c>
      <c r="N48" s="3161"/>
      <c r="O48" s="3161"/>
    </row>
    <row r="49" spans="1:35" ht="25.5" customHeight="1">
      <c r="A49" s="2556" t="s">
        <v>2027</v>
      </c>
      <c r="B49" s="3206" t="s">
        <v>2028</v>
      </c>
      <c r="C49" s="3206"/>
      <c r="D49" s="1775">
        <v>0</v>
      </c>
      <c r="E49" s="330" t="s">
        <v>2029</v>
      </c>
      <c r="F49" s="2650" t="s">
        <v>34</v>
      </c>
      <c r="G49" s="3189"/>
      <c r="H49" s="2528" t="s">
        <v>2876</v>
      </c>
      <c r="I49" s="2529"/>
      <c r="J49" s="2749">
        <v>4</v>
      </c>
      <c r="K49" s="3158" t="str">
        <f>IF(项目基本情况!E8="房地产抵押价值","房地产抵押价值","抵押担保权已注销时的房地产抵押价值")</f>
        <v>房地产抵押价值</v>
      </c>
      <c r="L49" s="3158"/>
      <c r="M49" s="3161">
        <f ca="1">IF(项目基本情况!E8="房地产抵押价值",H107,H109)</f>
        <v>11075</v>
      </c>
      <c r="N49" s="3161"/>
      <c r="O49" s="3161"/>
    </row>
    <row r="50" spans="1:35" ht="25.5" customHeight="1">
      <c r="A50" s="2777"/>
      <c r="B50" s="3206" t="s">
        <v>2030</v>
      </c>
      <c r="C50" s="3206"/>
      <c r="D50" s="2778"/>
      <c r="E50" s="338"/>
      <c r="F50" s="2650"/>
      <c r="G50" s="3190"/>
      <c r="H50" s="2530" t="s">
        <v>2877</v>
      </c>
      <c r="I50" s="2529"/>
      <c r="J50" s="3157" t="s">
        <v>2031</v>
      </c>
      <c r="K50" s="3157"/>
      <c r="L50" s="3157"/>
      <c r="M50" s="3157"/>
      <c r="N50" s="3157"/>
      <c r="O50" s="3157"/>
    </row>
    <row r="51" spans="1:35" ht="20.45" customHeight="1">
      <c r="A51" s="2779"/>
      <c r="B51" s="3206" t="s">
        <v>2032</v>
      </c>
      <c r="C51" s="3206"/>
      <c r="D51" s="1247"/>
      <c r="E51" s="333"/>
      <c r="F51" s="2650"/>
      <c r="G51" s="3191"/>
      <c r="H51" s="2530" t="s">
        <v>2878</v>
      </c>
      <c r="I51" s="2529"/>
      <c r="J51" s="2750" t="s">
        <v>2033</v>
      </c>
      <c r="K51" s="3158" t="s">
        <v>2034</v>
      </c>
      <c r="L51" s="3158"/>
      <c r="M51" s="2750" t="s">
        <v>2035</v>
      </c>
      <c r="N51" s="2750" t="s">
        <v>2036</v>
      </c>
      <c r="O51" s="2750" t="s">
        <v>2037</v>
      </c>
    </row>
    <row r="52" spans="1:35" ht="24" customHeight="1">
      <c r="A52" s="2558" t="s">
        <v>2038</v>
      </c>
      <c r="B52" s="3206" t="s">
        <v>2039</v>
      </c>
      <c r="C52" s="3206"/>
      <c r="D52" s="1247">
        <f ca="1">ROUND(D45*'数据-取费表'!B41/(1+'数据-取费表'!C42),0)</f>
        <v>591</v>
      </c>
      <c r="E52" s="2557" t="s">
        <v>2040</v>
      </c>
      <c r="F52" s="2780">
        <f>'数据-取费表'!B41</f>
        <v>5.6000000000000001E-2</v>
      </c>
      <c r="G52" s="2781"/>
      <c r="H52" s="2770"/>
      <c r="I52" s="1993"/>
      <c r="J52" s="2749">
        <v>1</v>
      </c>
      <c r="K52" s="3183" t="s">
        <v>2041</v>
      </c>
      <c r="L52" s="3183"/>
      <c r="M52" s="2751" t="b">
        <f>D48</f>
        <v>0</v>
      </c>
      <c r="N52" s="2749" t="str">
        <f>E48</f>
        <v>销售额×税（费）率</v>
      </c>
      <c r="O52" s="2752">
        <f>F48</f>
        <v>5.6000000000000001E-2</v>
      </c>
    </row>
    <row r="53" spans="1:35" ht="12" customHeight="1">
      <c r="A53" s="2558" t="s">
        <v>2042</v>
      </c>
      <c r="B53" s="3207" t="s">
        <v>3037</v>
      </c>
      <c r="C53" s="3208"/>
      <c r="D53" s="1247">
        <f ca="1">ROUND(D45*'数据-取费表'!B41/(1+'数据-取费表'!C42),0)</f>
        <v>591</v>
      </c>
      <c r="E53" s="2557" t="s">
        <v>2040</v>
      </c>
      <c r="F53" s="2780">
        <f>'数据-取费表'!B41</f>
        <v>5.6000000000000001E-2</v>
      </c>
      <c r="G53" s="2781"/>
      <c r="H53" s="2770"/>
      <c r="I53" s="1993"/>
      <c r="J53" s="2749">
        <v>2</v>
      </c>
      <c r="K53" s="3183" t="s">
        <v>2043</v>
      </c>
      <c r="L53" s="3183"/>
      <c r="M53" s="2751">
        <f t="shared" ref="M53:O54" ca="1" si="0">D55</f>
        <v>6</v>
      </c>
      <c r="N53" s="2749" t="str">
        <f t="shared" si="0"/>
        <v>销售额×税（费）率</v>
      </c>
      <c r="O53" s="2752" t="str">
        <f t="shared" si="0"/>
        <v>免征</v>
      </c>
    </row>
    <row r="54" spans="1:35" ht="12" customHeight="1">
      <c r="A54" s="2558" t="s">
        <v>2044</v>
      </c>
      <c r="B54" s="3207" t="s">
        <v>3038</v>
      </c>
      <c r="C54" s="3208"/>
      <c r="D54" s="1247">
        <f ca="1">C68</f>
        <v>591</v>
      </c>
      <c r="E54" s="333" t="s">
        <v>2045</v>
      </c>
      <c r="F54" s="2780">
        <f>'数据-取费表'!B41</f>
        <v>5.6000000000000001E-2</v>
      </c>
      <c r="G54" s="2781"/>
      <c r="H54" s="2782"/>
      <c r="I54" s="1993"/>
      <c r="J54" s="2749">
        <v>3</v>
      </c>
      <c r="K54" s="3183" t="s">
        <v>2046</v>
      </c>
      <c r="L54" s="3183"/>
      <c r="M54" s="2751">
        <f t="shared" ca="1" si="0"/>
        <v>6269</v>
      </c>
      <c r="N54" s="2749" t="str">
        <f t="shared" si="0"/>
        <v>增值额×税（费）率</v>
      </c>
      <c r="O54" s="2753" t="str">
        <f t="shared" si="0"/>
        <v>免征</v>
      </c>
    </row>
    <row r="55" spans="1:35" ht="24" customHeight="1">
      <c r="A55" s="3246" t="s">
        <v>2047</v>
      </c>
      <c r="B55" s="3224"/>
      <c r="C55" s="3224"/>
      <c r="D55" s="2547">
        <f ca="1">IF(H55="个人住宅",0,ROUND(D45*I55,0))</f>
        <v>6</v>
      </c>
      <c r="E55" s="2557" t="s">
        <v>2048</v>
      </c>
      <c r="F55" s="2780" t="str">
        <f>IF(H55="正常",I55,"免征")</f>
        <v>免征</v>
      </c>
      <c r="G55" s="2781"/>
      <c r="H55" s="2776"/>
      <c r="I55" s="170">
        <f>'数据-取费表'!B49</f>
        <v>5.0000000000000001E-4</v>
      </c>
      <c r="J55" s="2749">
        <f>IF(H59="非个人房产","",4)</f>
        <v>4</v>
      </c>
      <c r="K55" s="3183" t="str">
        <f>IF(H59="非个人房产","——","个人所得税")</f>
        <v>个人所得税</v>
      </c>
      <c r="L55" s="3183"/>
      <c r="M55" s="2754">
        <f ca="1">D59</f>
        <v>105</v>
      </c>
      <c r="N55" s="2228" t="str">
        <f>E59</f>
        <v>差额计税</v>
      </c>
      <c r="O55" s="2755">
        <f>F59</f>
        <v>0.01</v>
      </c>
    </row>
    <row r="56" spans="1:35" ht="24.75">
      <c r="A56" s="3246" t="s">
        <v>2049</v>
      </c>
      <c r="B56" s="3224"/>
      <c r="C56" s="3224"/>
      <c r="D56" s="2547">
        <f ca="1">IF(H56="个人住宅",D57,D58)</f>
        <v>6269</v>
      </c>
      <c r="E56" s="2557" t="s">
        <v>2050</v>
      </c>
      <c r="F56" s="2780" t="str">
        <f>IF(H56="正常",F58,"免征")</f>
        <v>免征</v>
      </c>
      <c r="G56" s="2783" t="s">
        <v>2051</v>
      </c>
      <c r="H56" s="2784"/>
      <c r="I56" s="1994"/>
      <c r="J56" s="2749" t="str">
        <f>IF(项目基本情况!K6="上海银行",IF(J55="",4,J55+1),"")</f>
        <v/>
      </c>
      <c r="K56" s="3164" t="str">
        <f>IF(项目基本情况!K6="上海银行","其他处置费用","")</f>
        <v/>
      </c>
      <c r="L56" s="3165"/>
      <c r="M56" s="2751" t="str">
        <f>IF(项目基本情况!K6="上海银行",M69,"")</f>
        <v/>
      </c>
      <c r="N56" s="3164" t="str">
        <f>IF(项目基本情况!K6="上海银行","包含处置中涉及的律师、诉讼、拍卖、评估等费用","")</f>
        <v/>
      </c>
      <c r="O56" s="3167"/>
    </row>
    <row r="57" spans="1:35" ht="12.75">
      <c r="A57" s="2558" t="s">
        <v>2027</v>
      </c>
      <c r="B57" s="3207" t="s">
        <v>2052</v>
      </c>
      <c r="C57" s="3208"/>
      <c r="D57" s="1775">
        <v>0</v>
      </c>
      <c r="E57" s="330" t="s">
        <v>2029</v>
      </c>
      <c r="F57" s="308"/>
      <c r="G57" s="2781"/>
      <c r="H57" s="2785"/>
      <c r="I57" s="1994"/>
      <c r="J57" s="3183">
        <f>IF(AND(J55="",J56=""),4,IF(项目基本情况!K6="上海银行",结果表!J56+1,结果表!J55+1))</f>
        <v>5</v>
      </c>
      <c r="K57" s="3183" t="s">
        <v>2053</v>
      </c>
      <c r="L57" s="2756" t="s">
        <v>2054</v>
      </c>
      <c r="M57" s="2757"/>
      <c r="N57" s="2758">
        <f ca="1">SUMIF(M52:M56,"&lt;9e307")</f>
        <v>6380</v>
      </c>
      <c r="O57" s="2759"/>
      <c r="P57" s="2919">
        <f ca="1">N57/M49</f>
        <v>0.57607223476297964</v>
      </c>
    </row>
    <row r="58" spans="1:35" ht="24.75">
      <c r="A58" s="2558" t="s">
        <v>2038</v>
      </c>
      <c r="B58" s="3207" t="s">
        <v>2055</v>
      </c>
      <c r="C58" s="3206"/>
      <c r="D58" s="2547">
        <f ca="1">IF(H58="转让取得",C81,C97)</f>
        <v>6269</v>
      </c>
      <c r="E58" s="2557" t="s">
        <v>2050</v>
      </c>
      <c r="F58" s="308" t="s">
        <v>34</v>
      </c>
      <c r="G58" s="2781"/>
      <c r="H58" s="2784"/>
      <c r="I58" s="1994"/>
      <c r="J58" s="3183"/>
      <c r="K58" s="3183"/>
      <c r="L58" s="2756" t="s">
        <v>2056</v>
      </c>
      <c r="M58" s="2760"/>
      <c r="N58" s="2761" t="str">
        <f ca="1">NUMBERSTRING(INT(N57*10000),2)&amp;"元整"</f>
        <v>陆仟叁佰捌拾万元整</v>
      </c>
      <c r="O58" s="2762"/>
    </row>
    <row r="59" spans="1:35" ht="24.75" thickBot="1">
      <c r="A59" s="3187" t="s">
        <v>2057</v>
      </c>
      <c r="B59" s="3188"/>
      <c r="C59" s="3188"/>
      <c r="D59" s="2786">
        <f ca="1">IF(H59="非个人房产","——",IF(H59="个人住宅（满五唯一有凭证）",0,IF(H59="个人其他（无凭证）",ROUND(D45*F59,0),ROUND(C67*F59,0))))</f>
        <v>105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185">
        <f>J57+1</f>
        <v>6</v>
      </c>
      <c r="K59" s="3183" t="s">
        <v>2058</v>
      </c>
      <c r="L59" s="2749" t="s">
        <v>2054</v>
      </c>
      <c r="M59" s="2763"/>
      <c r="N59" s="2764">
        <f ca="1">M49-N57</f>
        <v>4695</v>
      </c>
      <c r="O59" s="2765"/>
    </row>
    <row r="60" spans="1:35" ht="12" customHeight="1">
      <c r="A60" s="1995"/>
      <c r="B60" s="1933"/>
      <c r="C60" s="1933"/>
      <c r="D60" s="1933"/>
      <c r="E60" s="1763"/>
      <c r="F60" s="1994"/>
      <c r="G60" s="1994"/>
      <c r="H60" s="1996"/>
      <c r="I60" s="134"/>
      <c r="J60" s="3186"/>
      <c r="K60" s="3183"/>
      <c r="L60" s="2756" t="s">
        <v>2056</v>
      </c>
      <c r="M60" s="2760"/>
      <c r="N60" s="2761" t="str">
        <f ca="1">NUMBERSTRING(INT(N59*10000),2)&amp;"元整"</f>
        <v>肆仟陆佰玖拾伍万元整</v>
      </c>
      <c r="O60" s="2762"/>
    </row>
    <row r="61" spans="1:35" ht="13.5" thickBot="1">
      <c r="A61" s="3245" t="s">
        <v>2059</v>
      </c>
      <c r="B61" s="3245"/>
      <c r="C61" s="3245"/>
      <c r="D61" s="3245"/>
      <c r="E61" s="3245"/>
      <c r="F61" s="1994"/>
      <c r="G61" s="1994"/>
      <c r="H61" s="1996"/>
      <c r="I61" s="134"/>
      <c r="J61" s="2749">
        <f>J59+1</f>
        <v>7</v>
      </c>
      <c r="K61" s="3183" t="s">
        <v>2060</v>
      </c>
      <c r="L61" s="3183"/>
      <c r="M61" s="2766"/>
      <c r="N61" s="2767">
        <f ca="1">ROUND(N59*10000/'数据-汇总表'!E3,0)</f>
        <v>9979</v>
      </c>
      <c r="O61" s="2768"/>
    </row>
    <row r="62" spans="1:35" ht="12.75">
      <c r="A62" s="3202" t="s">
        <v>2061</v>
      </c>
      <c r="B62" s="3203"/>
      <c r="C62" s="2209"/>
      <c r="D62" s="2209" t="s">
        <v>2062</v>
      </c>
      <c r="E62" s="171" t="s">
        <v>2063</v>
      </c>
      <c r="F62" s="1994"/>
      <c r="G62" s="1994"/>
      <c r="H62" s="1996"/>
      <c r="I62" s="134"/>
    </row>
    <row r="63" spans="1:35" ht="12.75">
      <c r="A63" s="178" t="s">
        <v>775</v>
      </c>
      <c r="B63" s="172" t="s">
        <v>2064</v>
      </c>
      <c r="C63" s="2790">
        <f ca="1">ROUND((C64+C65)/(1+'数据-取费表'!C42),0)</f>
        <v>10548</v>
      </c>
      <c r="D63" s="172"/>
      <c r="E63" s="173"/>
      <c r="F63" s="1994"/>
      <c r="G63" s="1994"/>
      <c r="H63" s="1996"/>
      <c r="I63" s="134"/>
      <c r="J63" s="3166" t="s">
        <v>2065</v>
      </c>
      <c r="K63" s="1501" t="s">
        <v>2066</v>
      </c>
      <c r="L63" s="1501">
        <f ca="1">IF(M49&gt;10000,M49*0.5%,IF(AND(M49&gt;1000,M49&lt;=10000),M49*1%,IF(AND(M49&gt;100,M49&lt;=1000),M49*3%,IF(AND(M49&gt;10,M49&lt;=100),M49*5%,M49*8%))))</f>
        <v>55.375</v>
      </c>
      <c r="M63" s="308">
        <f ca="1">ROUND(L63,1)</f>
        <v>55.4</v>
      </c>
      <c r="N63" s="2769"/>
      <c r="Z63" s="1938"/>
      <c r="AI63" s="1939"/>
    </row>
    <row r="64" spans="1:35" ht="14.25" customHeight="1">
      <c r="A64" s="174" t="s">
        <v>770</v>
      </c>
      <c r="B64" s="175" t="s">
        <v>2067</v>
      </c>
      <c r="C64" s="2791">
        <f ca="1">D45</f>
        <v>11075</v>
      </c>
      <c r="D64" s="175" t="s">
        <v>32</v>
      </c>
      <c r="E64" s="177"/>
      <c r="F64" s="1994"/>
      <c r="G64" s="1994"/>
      <c r="H64" s="1996"/>
      <c r="I64" s="134"/>
      <c r="J64" s="3166"/>
      <c r="K64" s="1501" t="s">
        <v>2068</v>
      </c>
      <c r="L64" s="1501">
        <f ca="1">IF(M49&gt;2000,M49*0.5%,IF(AND(M49&gt;1000,M49&lt;=2000),M49*0.6%,IF(AND(M49&gt;500,M49&lt;=1000),M49*0.7%,IF(AND(M49&gt;200,M49&lt;=500),M49*0.8%,IF(AND(M49&gt;100,M49&lt;=200),M49*0.9%,IF(AND(M49&gt;50,M49&lt;=100),M49*1%,IF(AND(M49&gt;20,M49&lt;=50),M49*1.5%,IF(AND(M49&gt;10,M49&lt;=20),M49*2%,IF(AND(M49&gt;1,M49&lt;=10),M49*2.5%)))))))))</f>
        <v>55.375</v>
      </c>
      <c r="M64" s="308">
        <f t="shared" ref="M64:M65" ca="1" si="1">ROUND(L64,1)</f>
        <v>55.4</v>
      </c>
      <c r="N64" s="2770" t="s">
        <v>2069</v>
      </c>
      <c r="Z64" s="1938"/>
      <c r="AI64" s="1939"/>
    </row>
    <row r="65" spans="1:35" ht="14.25" customHeight="1">
      <c r="A65" s="174" t="s">
        <v>771</v>
      </c>
      <c r="B65" s="175" t="s">
        <v>2070</v>
      </c>
      <c r="C65" s="2792"/>
      <c r="D65" s="175"/>
      <c r="E65" s="177"/>
      <c r="F65" s="1994"/>
      <c r="G65" s="1994"/>
      <c r="H65" s="1996"/>
      <c r="I65" s="134"/>
      <c r="J65" s="3166"/>
      <c r="K65" s="1501" t="s">
        <v>2071</v>
      </c>
      <c r="L65" s="1501">
        <f ca="1">IF(M49&gt;1000,M49*0.1%,IF(AND(M49&gt;500,M49&lt;=1000),M49*0.5%,IF(AND(M49&gt;50,M49&lt;=500),M49*1%,IF(AND(M49&gt;1,M49&lt;=50),M49*1.5%))))</f>
        <v>11.075000000000001</v>
      </c>
      <c r="M65" s="308">
        <f t="shared" ca="1" si="1"/>
        <v>11.1</v>
      </c>
      <c r="N65" s="2770" t="s">
        <v>2069</v>
      </c>
      <c r="Z65" s="1938"/>
      <c r="AI65" s="1939"/>
    </row>
    <row r="66" spans="1:35" ht="14.25" customHeight="1">
      <c r="A66" s="178" t="s">
        <v>772</v>
      </c>
      <c r="B66" s="179" t="s">
        <v>2072</v>
      </c>
      <c r="C66" s="2793"/>
      <c r="D66" s="179" t="s">
        <v>32</v>
      </c>
      <c r="E66" s="1509" t="s">
        <v>1337</v>
      </c>
      <c r="F66" s="1994"/>
      <c r="G66" s="1994"/>
      <c r="H66" s="1996"/>
      <c r="I66" s="134"/>
      <c r="J66" s="3166"/>
      <c r="K66" s="1501" t="s">
        <v>2073</v>
      </c>
      <c r="L66" s="1501">
        <f ca="1">M49*0.5%</f>
        <v>55.375</v>
      </c>
      <c r="M66" s="308">
        <f ca="1">IF(L66&gt;0.5,0.5,ROUND(L66,0))</f>
        <v>0.5</v>
      </c>
      <c r="N66" s="2770" t="s">
        <v>2074</v>
      </c>
      <c r="Z66" s="1938"/>
      <c r="AI66" s="1939"/>
    </row>
    <row r="67" spans="1:35" ht="14.25" customHeight="1">
      <c r="A67" s="178" t="s">
        <v>773</v>
      </c>
      <c r="B67" s="179" t="s">
        <v>2075</v>
      </c>
      <c r="C67" s="2794">
        <f ca="1">C63-C66</f>
        <v>10548</v>
      </c>
      <c r="D67" s="175" t="s">
        <v>32</v>
      </c>
      <c r="E67" s="177"/>
      <c r="F67" s="1994"/>
      <c r="G67" s="1994"/>
      <c r="H67" s="1996"/>
      <c r="I67" s="134"/>
      <c r="J67" s="3166"/>
      <c r="K67" s="1501" t="s">
        <v>2076</v>
      </c>
      <c r="L67" s="1501">
        <f ca="1">IF(M49&gt;=10000,(8.25+(M49-10000)*0.01%),IF(AND(M49&gt;=8000,M49&lt;10000),(7.85+(M49-8000)*0.02%),IF(AND(M49&gt;=5000,M49&lt;8000),(6.65+(M49-5000)*0.04%),IF(AND(M49&gt;=2000,M49&lt;5000),(4.25+(PM49-2000)*0.08%),IF(AND(M49&gt;=1000,M49&lt;2000),(2.75+(M49-1000)*0.15%),IF(AND(M49&gt;=100,M49&lt;1000),(0.5+(M49-100)*0.25%),IF(AND(M49&gt;0,M49&lt;100),M49*0.5%)))))))</f>
        <v>8.3574999999999999</v>
      </c>
      <c r="M67" s="308">
        <f ca="1">ROUND(L67*0.9,1)</f>
        <v>7.5</v>
      </c>
      <c r="N67" s="2769"/>
      <c r="Z67" s="1938"/>
      <c r="AI67" s="1939"/>
    </row>
    <row r="68" spans="1:35" ht="14.25" customHeight="1" thickBot="1">
      <c r="A68" s="181" t="s">
        <v>774</v>
      </c>
      <c r="B68" s="182" t="s">
        <v>2077</v>
      </c>
      <c r="C68" s="2795">
        <f ca="1">IF(C67&lt;=0,0,ROUND(C67*D68,0))</f>
        <v>591</v>
      </c>
      <c r="D68" s="2796">
        <f>'数据-取费表'!B41</f>
        <v>5.6000000000000001E-2</v>
      </c>
      <c r="E68" s="184"/>
      <c r="F68" s="1994"/>
      <c r="G68" s="1994"/>
      <c r="H68" s="1996"/>
      <c r="I68" s="134"/>
      <c r="J68" s="3166"/>
      <c r="K68" s="1501" t="s">
        <v>2078</v>
      </c>
      <c r="L68" s="1501">
        <f ca="1">IF(M49&gt;10000,M49*0.5%,IF(AND(M49&gt;5000,M49&lt;=10000),M49*1%,IF(AND(M49&gt;1000,M49&lt;=5000),M49*2%,IF(AND(M49&gt;200,M49&lt;=1000),M49*3%,M49*5%))))</f>
        <v>55.375</v>
      </c>
      <c r="M68" s="308">
        <f ca="1">ROUND(L68,1)</f>
        <v>55.4</v>
      </c>
      <c r="N68" s="2769"/>
      <c r="Z68" s="1938"/>
      <c r="AI68" s="1939"/>
    </row>
    <row r="69" spans="1:35" s="1958" customFormat="1" ht="16.5" customHeight="1">
      <c r="A69" s="1997"/>
      <c r="B69" s="1998"/>
      <c r="C69" s="1999"/>
      <c r="D69" s="2000"/>
      <c r="E69" s="2001"/>
      <c r="F69" s="1763"/>
      <c r="G69" s="1763"/>
      <c r="H69" s="1762"/>
      <c r="I69" s="1933"/>
      <c r="J69" s="3166"/>
      <c r="K69" s="1501" t="s">
        <v>2079</v>
      </c>
      <c r="L69" s="1501"/>
      <c r="M69" s="308">
        <f ca="1">ROUND(SUM(M63:M68),0)</f>
        <v>185</v>
      </c>
      <c r="N69" s="2771">
        <f ca="1">M69/M49</f>
        <v>1.6704288939051917E-2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0" t="s">
        <v>2080</v>
      </c>
      <c r="B70" s="3211"/>
      <c r="C70" s="3211"/>
      <c r="D70" s="3211"/>
      <c r="E70" s="3211"/>
      <c r="F70" s="3211"/>
      <c r="G70" s="3211"/>
      <c r="H70" s="321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2" t="s">
        <v>2061</v>
      </c>
      <c r="B71" s="320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10548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63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7" t="s">
        <v>2088</v>
      </c>
      <c r="F76" s="3206"/>
      <c r="G76" s="3206"/>
      <c r="H76" s="320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63</v>
      </c>
      <c r="D78" s="2803">
        <f>'数据-取费表'!B43</f>
        <v>6.000000000000001E-3</v>
      </c>
      <c r="E78" s="3199" t="s">
        <v>2092</v>
      </c>
      <c r="F78" s="3200"/>
      <c r="G78" s="3200"/>
      <c r="H78" s="320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10485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166.42857142857142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6269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0" t="s">
        <v>2096</v>
      </c>
      <c r="B83" s="3211"/>
      <c r="C83" s="3211"/>
      <c r="D83" s="3211"/>
      <c r="E83" s="3211"/>
      <c r="F83" s="3211"/>
      <c r="G83" s="3211"/>
      <c r="H83" s="321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2" t="s">
        <v>2061</v>
      </c>
      <c r="B84" s="320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10548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63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8" t="s">
        <v>2871</v>
      </c>
      <c r="H90" s="3169"/>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9" t="s">
        <v>2105</v>
      </c>
      <c r="F91" s="3200"/>
      <c r="G91" s="320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9" t="s">
        <v>2108</v>
      </c>
      <c r="F92" s="3200"/>
      <c r="G92" s="3200"/>
      <c r="H92" s="3201"/>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63</v>
      </c>
      <c r="D93" s="2803">
        <f>'数据-取费表'!B43</f>
        <v>6.000000000000001E-3</v>
      </c>
      <c r="E93" s="3199" t="s">
        <v>2092</v>
      </c>
      <c r="F93" s="3200"/>
      <c r="G93" s="3200"/>
      <c r="H93" s="320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7" t="s">
        <v>2112</v>
      </c>
      <c r="F94" s="3248"/>
      <c r="G94" s="3248"/>
      <c r="H94" s="324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10485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166.42857142857142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6269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9" t="s">
        <v>2114</v>
      </c>
      <c r="B100" s="3150"/>
      <c r="C100" s="3150"/>
      <c r="D100" s="3184"/>
      <c r="E100" s="3150" t="s">
        <v>2115</v>
      </c>
      <c r="F100" s="3150"/>
      <c r="G100" s="3150"/>
      <c r="H100" s="3184"/>
      <c r="I100" s="134"/>
    </row>
    <row r="101" spans="1:35" ht="18.75" customHeight="1">
      <c r="A101" s="3192" t="s">
        <v>2116</v>
      </c>
      <c r="B101" s="3193"/>
      <c r="C101" s="2811" t="str">
        <f>C4</f>
        <v>成本法</v>
      </c>
      <c r="D101" s="2812" t="str">
        <f>D4</f>
        <v>收益法</v>
      </c>
      <c r="E101" s="3162" t="s">
        <v>2117</v>
      </c>
      <c r="F101" s="3163"/>
      <c r="G101" s="2013" t="s">
        <v>2118</v>
      </c>
      <c r="H101" s="2821">
        <f ca="1">H118</f>
        <v>11075</v>
      </c>
      <c r="I101" s="134"/>
    </row>
    <row r="102" spans="1:35" ht="18.75" customHeight="1">
      <c r="A102" s="3194" t="s">
        <v>2119</v>
      </c>
      <c r="B102" s="2810" t="s">
        <v>2118</v>
      </c>
      <c r="C102" s="2811">
        <f ca="1">C19</f>
        <v>12427</v>
      </c>
      <c r="D102" s="2812">
        <f ca="1">D19</f>
        <v>13206</v>
      </c>
      <c r="E102" s="3162"/>
      <c r="F102" s="3163"/>
      <c r="G102" s="2013" t="s">
        <v>2120</v>
      </c>
      <c r="H102" s="2781">
        <f ca="1">I118</f>
        <v>23539</v>
      </c>
      <c r="I102" s="134"/>
    </row>
    <row r="103" spans="1:35" ht="42.75" customHeight="1">
      <c r="A103" s="3194"/>
      <c r="B103" s="2810" t="s">
        <v>2120</v>
      </c>
      <c r="C103" s="2813">
        <f ca="1">C20</f>
        <v>26413</v>
      </c>
      <c r="D103" s="2814">
        <f ca="1">D20</f>
        <v>28069</v>
      </c>
      <c r="E103" s="3155" t="s">
        <v>2121</v>
      </c>
      <c r="F103" s="3156"/>
      <c r="G103" s="2014" t="s">
        <v>2122</v>
      </c>
      <c r="H103" s="2821">
        <f>IF(D36="正常操作",H104+H105+H106,H105+H106)</f>
        <v>0</v>
      </c>
      <c r="I103" s="134"/>
    </row>
    <row r="104" spans="1:35" ht="18.75" customHeight="1">
      <c r="A104" s="3194" t="s">
        <v>2123</v>
      </c>
      <c r="B104" s="2815" t="s">
        <v>2118</v>
      </c>
      <c r="C104" s="2816">
        <f ca="1">H118</f>
        <v>11075</v>
      </c>
      <c r="D104" s="2817"/>
      <c r="E104" s="1860" t="s">
        <v>2124</v>
      </c>
      <c r="F104" s="1851"/>
      <c r="G104" s="2014" t="s">
        <v>2122</v>
      </c>
      <c r="H104" s="2822">
        <f>IF(D36="同一抵押权人同一抵押物续贷",C36&amp;"（续贷，未扣减，详见特别提示）",C36)</f>
        <v>0</v>
      </c>
      <c r="I104" s="134"/>
    </row>
    <row r="105" spans="1:35" ht="18.75" customHeight="1" thickBot="1">
      <c r="A105" s="3204"/>
      <c r="B105" s="2818" t="s">
        <v>2120</v>
      </c>
      <c r="C105" s="2819">
        <f ca="1">I118</f>
        <v>23539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5" t="str">
        <f>IF(项目基本情况!E8="已注销","——","3.房地产抵押价值")</f>
        <v>3.房地产抵押价值</v>
      </c>
      <c r="F107" s="3163"/>
      <c r="G107" s="2013" t="s">
        <v>2118</v>
      </c>
      <c r="H107" s="2821">
        <f ca="1">IF(E107="——","——",H101-H103)</f>
        <v>11075</v>
      </c>
      <c r="I107" s="134"/>
    </row>
    <row r="108" spans="1:35" ht="18.75" customHeight="1">
      <c r="A108" s="134"/>
      <c r="B108" s="134"/>
      <c r="C108" s="134"/>
      <c r="D108" s="134"/>
      <c r="E108" s="3195"/>
      <c r="F108" s="3163"/>
      <c r="G108" s="2013" t="s">
        <v>2120</v>
      </c>
      <c r="H108" s="2781">
        <f ca="1">ROUND(H107*10000/'数据-汇总表'!E3,0)</f>
        <v>23539</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63"/>
      <c r="G109" s="2013" t="s">
        <v>2118</v>
      </c>
      <c r="H109" s="2824" t="str">
        <f>IF(E109="——","——",H101-H105-H106)</f>
        <v>——</v>
      </c>
      <c r="I109" s="134"/>
    </row>
    <row r="110" spans="1:35" ht="18.75" customHeight="1">
      <c r="A110" s="134"/>
      <c r="B110" s="134"/>
      <c r="C110" s="134"/>
      <c r="D110" s="134"/>
      <c r="E110" s="3195"/>
      <c r="F110" s="3163"/>
      <c r="G110" s="2013" t="s">
        <v>2120</v>
      </c>
      <c r="H110" s="2781" t="str">
        <f>IF(H109="——","——",ROUND(H109*10000/'数据-汇总表'!E3,0))</f>
        <v>——</v>
      </c>
      <c r="I110" s="134"/>
    </row>
    <row r="111" spans="1:35" ht="18.75" customHeight="1">
      <c r="A111" s="134"/>
      <c r="B111" s="134"/>
      <c r="C111" s="134"/>
      <c r="D111" s="134"/>
      <c r="E111" s="3196" t="str">
        <f>IF(项目基本情况!E9="抵押净值",IF(OR(项目基本情况!E8="已注销",项目基本情况!E8="房地产抵押价值"),"4.抵押净值","5.抵押净值"),"——")</f>
        <v>——</v>
      </c>
      <c r="F111" s="3182"/>
      <c r="G111" s="2013" t="s">
        <v>2118</v>
      </c>
      <c r="H111" s="2821" t="str">
        <f>IF(E111="——","——",N59)</f>
        <v>——</v>
      </c>
      <c r="I111" s="134"/>
    </row>
    <row r="112" spans="1:35" ht="18.75" customHeight="1" thickBot="1">
      <c r="A112" s="134"/>
      <c r="B112" s="134"/>
      <c r="C112" s="134"/>
      <c r="D112" s="134"/>
      <c r="E112" s="3197"/>
      <c r="F112" s="3198"/>
      <c r="G112" s="2016" t="s">
        <v>2120</v>
      </c>
      <c r="H112" s="2825" t="str">
        <f>IF(E111="——","——",N61)</f>
        <v>——</v>
      </c>
      <c r="I112" s="134"/>
    </row>
    <row r="113" spans="1:27" ht="18.75" customHeight="1">
      <c r="A113" s="134"/>
      <c r="B113" s="134"/>
      <c r="C113" s="134"/>
      <c r="D113" s="134"/>
      <c r="E113" s="3205" t="s">
        <v>2126</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6" t="s">
        <v>2128</v>
      </c>
      <c r="B115" s="3217"/>
      <c r="C115" s="3217"/>
      <c r="D115" s="3217"/>
      <c r="E115" s="3217"/>
      <c r="F115" s="3217"/>
      <c r="G115" s="3217"/>
      <c r="H115" s="3217"/>
      <c r="I115" s="3218"/>
    </row>
    <row r="116" spans="1:27" ht="27" customHeight="1">
      <c r="A116" s="3170" t="s">
        <v>2129</v>
      </c>
      <c r="B116" s="3174" t="s">
        <v>2130</v>
      </c>
      <c r="C116" s="3174" t="s">
        <v>2131</v>
      </c>
      <c r="D116" s="3180" t="s">
        <v>2132</v>
      </c>
      <c r="E116" s="3181"/>
      <c r="F116" s="3212" t="s">
        <v>2133</v>
      </c>
      <c r="G116" s="3212"/>
      <c r="H116" s="3170" t="s">
        <v>2134</v>
      </c>
      <c r="I116" s="3170"/>
    </row>
    <row r="117" spans="1:27" ht="18.75" customHeight="1">
      <c r="A117" s="3170"/>
      <c r="B117" s="3175"/>
      <c r="C117" s="3175"/>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4704.8599999999997</v>
      </c>
      <c r="C118" s="2552">
        <f>M19</f>
        <v>2957.47</v>
      </c>
      <c r="D118" s="2552">
        <f ca="1">ROUND(IF(D32="总价",C34,E118*B118/10000),0)</f>
        <v>9365</v>
      </c>
      <c r="E118" s="2552">
        <f ca="1">ROUND(IF(C33="自定义",IF(D32="楼面单价",C34,D118*10000/B118),I118-G118),0)</f>
        <v>19905</v>
      </c>
      <c r="F118" s="2552">
        <f ca="1">ROUND(IF(D32="总价",C35,G118*B118/10000),0)</f>
        <v>1710</v>
      </c>
      <c r="G118" s="2552">
        <f ca="1">ROUND(IF(D32="楼面单价",C35,F118*10000/B118),0)</f>
        <v>3635</v>
      </c>
      <c r="H118" s="2552">
        <f ca="1">ROUND(IF(D32="总价",C32,I118*B118/10000),0)</f>
        <v>11075</v>
      </c>
      <c r="I118" s="2552">
        <f ca="1">ROUND(IF(D32="楼面单价",C32,H118*10000/B118),0)</f>
        <v>23539</v>
      </c>
    </row>
    <row r="119" spans="1:27" ht="18.75" customHeight="1">
      <c r="A119" s="3170" t="s">
        <v>2138</v>
      </c>
      <c r="B119" s="3170"/>
      <c r="C119" s="3170"/>
      <c r="D119" s="3176" t="str">
        <f ca="1">NUMBERSTRING(INT(D118*10000),2)&amp;"元整"</f>
        <v>玖仟叁佰陆拾伍万元整</v>
      </c>
      <c r="E119" s="3177"/>
      <c r="F119" s="3176" t="str">
        <f ca="1">NUMBERSTRING(INT(F118*10000),2)&amp;"元整"</f>
        <v>壹仟柒佰壹拾万元整</v>
      </c>
      <c r="G119" s="3177"/>
      <c r="H119" s="3176" t="str">
        <f ca="1">NUMBERSTRING(INT(H118*10000),2)&amp;"元整"</f>
        <v>壹亿壹仟零柒拾伍万元整</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3" t="s">
        <v>2138</v>
      </c>
      <c r="B121" s="3214"/>
      <c r="C121" s="3215"/>
      <c r="D121" s="3176" t="str">
        <f>IF(D120=0,"零元整",NUMBERSTRING(INT(D120*10000),2)&amp;"元整")</f>
        <v>零元整</v>
      </c>
      <c r="E121" s="3178"/>
      <c r="F121" s="3178"/>
      <c r="G121" s="3178"/>
      <c r="H121" s="3178"/>
      <c r="I121" s="3177"/>
      <c r="AA121" s="734"/>
    </row>
    <row r="122" spans="1:27" ht="18.75" customHeight="1">
      <c r="A122" s="3182" t="str">
        <f>IF(项目基本情况!B9="房地产市场价值","",MID(E107,3,LEN(E107)-2))</f>
        <v>房地产抵押价值</v>
      </c>
      <c r="B122" s="3182"/>
      <c r="C122" s="3182"/>
      <c r="D122" s="3171">
        <f ca="1">H107</f>
        <v>11075</v>
      </c>
      <c r="E122" s="3172"/>
      <c r="F122" s="3172"/>
      <c r="G122" s="3172"/>
      <c r="H122" s="3172"/>
      <c r="I122" s="3173"/>
      <c r="AA122" s="734"/>
    </row>
    <row r="123" spans="1:27" ht="18.75" customHeight="1">
      <c r="A123" s="3170" t="s">
        <v>2138</v>
      </c>
      <c r="B123" s="3170"/>
      <c r="C123" s="3170"/>
      <c r="D123" s="3176" t="str">
        <f ca="1">NUMBERSTRING(INT(D122*10000),2)&amp;"元整"</f>
        <v>壹亿壹仟零柒拾伍万元整</v>
      </c>
      <c r="E123" s="3178"/>
      <c r="F123" s="3178"/>
      <c r="G123" s="3178"/>
      <c r="H123" s="3178"/>
      <c r="I123" s="3177"/>
      <c r="AA123" s="734"/>
    </row>
    <row r="124" spans="1:27" ht="18.75" customHeight="1">
      <c r="A124" s="3182" t="str">
        <f>IF(项目基本情况!B9="房地产市场价值","",MID(E109,3,LEN(E109)-2))</f>
        <v/>
      </c>
      <c r="B124" s="3182"/>
      <c r="C124" s="3182"/>
      <c r="D124" s="3171" t="str">
        <f>H109</f>
        <v>——</v>
      </c>
      <c r="E124" s="3172"/>
      <c r="F124" s="3172"/>
      <c r="G124" s="3172"/>
      <c r="H124" s="3172"/>
      <c r="I124" s="3173"/>
      <c r="AA124" s="734"/>
    </row>
    <row r="125" spans="1:27" ht="18.75" customHeight="1">
      <c r="A125" s="3170" t="s">
        <v>2138</v>
      </c>
      <c r="B125" s="3170"/>
      <c r="C125" s="3170"/>
      <c r="D125" s="3176" t="e">
        <f>NUMBERSTRING(INT(D124*10000),2)&amp;"元整"</f>
        <v>#VALUE!</v>
      </c>
      <c r="E125" s="3178"/>
      <c r="F125" s="3178"/>
      <c r="G125" s="3178"/>
      <c r="H125" s="3178"/>
      <c r="I125" s="3177"/>
      <c r="AA125" s="734"/>
    </row>
    <row r="126" spans="1:27" ht="18.75" customHeight="1">
      <c r="A126" s="3182" t="str">
        <f>IF(项目基本情况!B9="房地产市场价值","",MID(E111,3,LEN(E111)-2))</f>
        <v/>
      </c>
      <c r="B126" s="3182"/>
      <c r="C126" s="3182"/>
      <c r="D126" s="3171" t="str">
        <f>H111</f>
        <v>——</v>
      </c>
      <c r="E126" s="3172"/>
      <c r="F126" s="3172"/>
      <c r="G126" s="3172"/>
      <c r="H126" s="3172"/>
      <c r="I126" s="3173"/>
      <c r="AA126" s="734"/>
    </row>
    <row r="127" spans="1:27" ht="18.75" customHeight="1">
      <c r="A127" s="3170" t="s">
        <v>2138</v>
      </c>
      <c r="B127" s="3170"/>
      <c r="C127" s="3170"/>
      <c r="D127" s="3176" t="e">
        <f>NUMBERSTRING(INT(D126*10000),2)&amp;"元整"</f>
        <v>#VALUE!</v>
      </c>
      <c r="E127" s="3178"/>
      <c r="F127" s="3178"/>
      <c r="G127" s="3178"/>
      <c r="H127" s="3178"/>
      <c r="I127" s="3177"/>
      <c r="AA127" s="734"/>
    </row>
    <row r="128" spans="1:27" ht="21.75" customHeight="1">
      <c r="A128" s="3179" t="s">
        <v>2139</v>
      </c>
      <c r="B128" s="3179"/>
      <c r="C128" s="3179"/>
      <c r="D128" s="3179"/>
      <c r="E128" s="3179"/>
      <c r="F128" s="3179"/>
      <c r="G128" s="3179"/>
      <c r="H128" s="3179"/>
      <c r="I128" s="317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8" sqref="L5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12427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26413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7062</v>
      </c>
      <c r="D5" s="217" t="s">
        <v>2155</v>
      </c>
      <c r="E5" s="218" t="s">
        <v>2156</v>
      </c>
      <c r="F5" s="218" t="s">
        <v>2157</v>
      </c>
      <c r="G5" s="219"/>
    </row>
    <row r="6" spans="1:9" s="220" customFormat="1" ht="13.5" customHeight="1">
      <c r="A6" s="886" t="s">
        <v>2158</v>
      </c>
      <c r="B6" s="221" t="s">
        <v>2159</v>
      </c>
      <c r="C6" s="222">
        <f>基准地价修正!B2</f>
        <v>6762</v>
      </c>
      <c r="D6" s="223"/>
      <c r="E6" s="224"/>
      <c r="F6" s="224"/>
      <c r="G6" s="225"/>
    </row>
    <row r="7" spans="1:9" s="220" customFormat="1" ht="13.5" customHeight="1">
      <c r="A7" s="886" t="s">
        <v>2160</v>
      </c>
      <c r="B7" s="221" t="s">
        <v>2161</v>
      </c>
      <c r="C7" s="226">
        <f>ROUND(C6*F7,0)</f>
        <v>206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94</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3096</v>
      </c>
      <c r="H9" s="1299"/>
      <c r="I9" s="2044" t="s">
        <v>2165</v>
      </c>
    </row>
    <row r="10" spans="1:9" s="220" customFormat="1" ht="13.5" customHeight="1">
      <c r="A10" s="887" t="s">
        <v>801</v>
      </c>
      <c r="B10" s="230" t="s">
        <v>2166</v>
      </c>
      <c r="C10" s="231">
        <f ca="1">ROUND(D10*E10/10000,0)</f>
        <v>94</v>
      </c>
      <c r="D10" s="954">
        <f ca="1">IF(B1="",'数据-汇总表'!E6,IF(INDIRECT("'数据-取费表'!c"&amp;$G$1)="住宅",INDIRECT("'数据-取费表'!s"&amp;$G$1),INDIRECT("'数据-取费表'!k"&amp;$G$1)+INDIRECT("'数据-取费表'!s"&amp;$G$1)))</f>
        <v>4704.8599999999997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4704.8599999999997</v>
      </c>
      <c r="E19" s="217">
        <f>'数据-取费表'!B31</f>
        <v>200</v>
      </c>
      <c r="F19" s="237"/>
      <c r="G19" s="2042" t="s">
        <v>3097</v>
      </c>
    </row>
    <row r="20" spans="1:7" s="220" customFormat="1" ht="13.5" customHeight="1">
      <c r="A20" s="261" t="s">
        <v>2179</v>
      </c>
      <c r="B20" s="216" t="s">
        <v>2180</v>
      </c>
      <c r="C20" s="238">
        <f>ROUND((C5+C19)*F20,0)</f>
        <v>212</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637</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1819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1819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10717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1597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1411</v>
      </c>
      <c r="D34" s="223"/>
      <c r="E34" s="226"/>
      <c r="F34" s="263">
        <f ca="1">IF('数据-取费表'!B24=0,1,IF(B1="",'数据-取费表'!N16,INDIRECT("'数据-取费表'!n"&amp;$G$1)))</f>
        <v>1</v>
      </c>
      <c r="G34" s="225" t="s">
        <v>2212</v>
      </c>
    </row>
    <row r="35" spans="1:7" ht="13.5" customHeight="1">
      <c r="A35" s="888" t="s">
        <v>796</v>
      </c>
      <c r="B35" s="221" t="s">
        <v>2213</v>
      </c>
      <c r="C35" s="226">
        <f ca="1">ROUND(C34*F35,0)</f>
        <v>71</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94</v>
      </c>
      <c r="D37" s="223">
        <f ca="1">D19</f>
        <v>4704.8599999999997</v>
      </c>
      <c r="E37" s="255">
        <f>'数据-取费表'!B35</f>
        <v>200</v>
      </c>
      <c r="F37" s="265"/>
      <c r="G37" s="267" t="s">
        <v>2218</v>
      </c>
    </row>
    <row r="38" spans="1:7" ht="13.5" customHeight="1">
      <c r="A38" s="888" t="s">
        <v>799</v>
      </c>
      <c r="B38" s="221" t="s">
        <v>2219</v>
      </c>
      <c r="C38" s="226">
        <f ca="1">ROUND(C34*F38,0)</f>
        <v>21</v>
      </c>
      <c r="D38" s="226"/>
      <c r="E38" s="226"/>
      <c r="F38" s="265">
        <f>'数据-取费表'!B36</f>
        <v>1.4999999999999999E-2</v>
      </c>
      <c r="G38" s="225" t="s">
        <v>2214</v>
      </c>
    </row>
    <row r="39" spans="1:7" s="220" customFormat="1" ht="13.5" customHeight="1">
      <c r="A39" s="261" t="s">
        <v>2220</v>
      </c>
      <c r="B39" s="216" t="s">
        <v>2221</v>
      </c>
      <c r="C39" s="238">
        <f ca="1">ROUND(C33*F20,0)</f>
        <v>48</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69</v>
      </c>
      <c r="D42" s="244"/>
      <c r="E42" s="244"/>
      <c r="F42" s="245"/>
      <c r="G42" s="3252" t="s">
        <v>2230</v>
      </c>
    </row>
    <row r="43" spans="1:7" ht="13.5" customHeight="1">
      <c r="A43" s="888" t="s">
        <v>792</v>
      </c>
      <c r="B43" s="221" t="s">
        <v>2231</v>
      </c>
      <c r="C43" s="244">
        <f ca="1">ROUND(IF('数据-取费表'!B22&lt;=1,C39*F22*'数据-取费表'!B21/2,C39*(POWER((1+F22),'数据-取费表'!B21/2)-1)),0)</f>
        <v>2</v>
      </c>
      <c r="D43" s="244"/>
      <c r="E43" s="244"/>
      <c r="F43" s="245"/>
      <c r="G43" s="3253"/>
    </row>
    <row r="44" spans="1:7" ht="13.5" customHeight="1">
      <c r="A44" s="888" t="s">
        <v>793</v>
      </c>
      <c r="B44" s="221" t="s">
        <v>2232</v>
      </c>
      <c r="C44" s="244">
        <f ca="1">ROUND(IF('数据-取费表'!B22&lt;=1,C40*F22*'数据-取费表'!B21/2,C40*(POWER((1+F22),'数据-取费表'!B21/2)-1)),4)</f>
        <v>1.2999999999999999E-3</v>
      </c>
      <c r="D44" s="244"/>
      <c r="E44" s="244"/>
      <c r="F44" s="245"/>
      <c r="G44" s="3254"/>
    </row>
    <row r="45" spans="1:7" s="220" customFormat="1" ht="13.5" customHeight="1">
      <c r="A45" s="261" t="s">
        <v>2233</v>
      </c>
      <c r="B45" s="250" t="s">
        <v>2199</v>
      </c>
      <c r="C45" s="251">
        <f ca="1">C46</f>
        <v>411</v>
      </c>
      <c r="D45" s="241">
        <f ca="1">C47</f>
        <v>7.4999999999999997E-3</v>
      </c>
      <c r="E45" s="242" t="s">
        <v>2225</v>
      </c>
      <c r="F45" s="2537">
        <f ca="1">F27</f>
        <v>0.25</v>
      </c>
      <c r="G45" s="253" t="s">
        <v>2234</v>
      </c>
    </row>
    <row r="46" spans="1:7" s="220" customFormat="1" ht="13.5" customHeight="1">
      <c r="A46" s="888" t="s">
        <v>791</v>
      </c>
      <c r="B46" s="254" t="s">
        <v>2235</v>
      </c>
      <c r="C46" s="255">
        <f ca="1">ROUND((C33+C39)*F27,0)</f>
        <v>411</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2343</v>
      </c>
      <c r="D49" s="238"/>
      <c r="E49" s="238"/>
      <c r="F49" s="270"/>
      <c r="G49" s="240" t="s">
        <v>2240</v>
      </c>
    </row>
    <row r="50" spans="1:7" s="264" customFormat="1" ht="24">
      <c r="A50" s="261" t="s">
        <v>2241</v>
      </c>
      <c r="B50" s="216" t="s">
        <v>2242</v>
      </c>
      <c r="C50" s="238"/>
      <c r="D50" s="238"/>
      <c r="E50" s="238"/>
      <c r="F50" s="270">
        <f>IF('数据-取费表'!B24=0,'数据-取费表'!N16,1)</f>
        <v>0.73</v>
      </c>
      <c r="G50" s="253" t="s">
        <v>2243</v>
      </c>
    </row>
    <row r="51" spans="1:7" ht="16.5" customHeight="1">
      <c r="A51" s="261" t="s">
        <v>2244</v>
      </c>
      <c r="B51" s="216" t="s">
        <v>2245</v>
      </c>
      <c r="C51" s="238">
        <f ca="1">ROUND(C49*F50,0)</f>
        <v>1710</v>
      </c>
      <c r="D51" s="238"/>
      <c r="E51" s="238"/>
      <c r="F51" s="270"/>
      <c r="G51" s="240" t="s">
        <v>2246</v>
      </c>
    </row>
    <row r="52" spans="1:7" s="214" customFormat="1" ht="16.5" thickBot="1">
      <c r="A52" s="271" t="s">
        <v>2247</v>
      </c>
      <c r="B52" s="272"/>
      <c r="C52" s="273">
        <f ca="1">C31+C51</f>
        <v>12427</v>
      </c>
      <c r="D52" s="272"/>
      <c r="E52" s="272"/>
      <c r="F52" s="272"/>
      <c r="G52" s="274"/>
    </row>
    <row r="55" spans="1:7" ht="15">
      <c r="B55" s="276" t="s">
        <v>2248</v>
      </c>
      <c r="C55" s="277"/>
    </row>
    <row r="56" spans="1:7">
      <c r="B56" s="279" t="s">
        <v>1478</v>
      </c>
      <c r="C56" s="281">
        <f ca="1">1-C57</f>
        <v>0.86199999999999999</v>
      </c>
    </row>
    <row r="57" spans="1:7">
      <c r="B57" s="279" t="s">
        <v>1479</v>
      </c>
      <c r="C57" s="280">
        <f ca="1">ROUND(C51/C52,3)</f>
        <v>0.13800000000000001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北京市房地产抵押价值预评估</v>
      </c>
      <c r="C37" s="3063"/>
      <c r="D37" s="3063"/>
      <c r="E37" s="3063"/>
      <c r="F37" s="3063"/>
      <c r="G37" s="3063"/>
      <c r="H37" s="3063"/>
      <c r="I37" s="306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1997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4245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940972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940972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940972</v>
      </c>
      <c r="D10" s="954">
        <f ca="1">IF(B1="",'数据-汇总表'!E6,IF(INDIRECT("'数据-取费表'!c"&amp;$G$1)="住宅",INDIRECT("'数据-取费表'!s"&amp;$G$1),INDIRECT("'数据-取费表'!k"&amp;$G$1)+INDIRECT("'数据-取费表'!s"&amp;$G$1)))</f>
        <v>4704.8599999999997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940972</v>
      </c>
      <c r="D19" s="958">
        <f ca="1">D9+D10</f>
        <v>4704.8599999999997</v>
      </c>
      <c r="E19" s="217">
        <f>'数据-取费表'!B31</f>
        <v>200</v>
      </c>
      <c r="F19" s="237"/>
      <c r="G19" s="2042"/>
    </row>
    <row r="20" spans="1:7" s="220" customFormat="1" ht="13.5" customHeight="1">
      <c r="A20" s="261" t="s">
        <v>2260</v>
      </c>
      <c r="B20" s="216" t="s">
        <v>2261</v>
      </c>
      <c r="C20" s="238">
        <f ca="1">ROUND((C5+C19)*F20,0)</f>
        <v>56458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169746</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83645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83645</v>
      </c>
      <c r="D24" s="244"/>
      <c r="E24" s="244"/>
      <c r="F24" s="245"/>
      <c r="G24" s="246" t="s">
        <v>2272</v>
      </c>
    </row>
    <row r="25" spans="1:7" s="220" customFormat="1" ht="24">
      <c r="A25" s="888" t="s">
        <v>2162</v>
      </c>
      <c r="B25" s="221" t="s">
        <v>2273</v>
      </c>
      <c r="C25" s="1290">
        <f ca="1">ROUND(IF('数据-取费表'!B22&lt;=1,C20*F22*'数据-取费表'!B22/2,C20*(POWER((1+F22),'数据-取费表'!B22/2)-1)),0)</f>
        <v>2456</v>
      </c>
      <c r="D25" s="244"/>
      <c r="E25" s="247"/>
      <c r="F25" s="245"/>
      <c r="G25" s="248" t="s">
        <v>2274</v>
      </c>
    </row>
    <row r="26" spans="1:7" s="220" customFormat="1">
      <c r="A26" s="888"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484601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484601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2855765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15973000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14114580</v>
      </c>
      <c r="D34" s="223"/>
      <c r="E34" s="226"/>
      <c r="F34" s="263"/>
      <c r="G34" s="225"/>
    </row>
    <row r="35" spans="1:7" ht="13.5" customHeight="1">
      <c r="A35" s="888" t="s">
        <v>796</v>
      </c>
      <c r="B35" s="221" t="s">
        <v>2213</v>
      </c>
      <c r="C35" s="226">
        <f ca="1">ROUND(C34*F35,0)</f>
        <v>705729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940972</v>
      </c>
      <c r="D37" s="223">
        <f ca="1">D19</f>
        <v>4704.8599999999997</v>
      </c>
      <c r="E37" s="255">
        <f>'数据-取费表'!B35</f>
        <v>200</v>
      </c>
      <c r="F37" s="265"/>
      <c r="G37" s="267"/>
    </row>
    <row r="38" spans="1:7" ht="13.5" customHeight="1">
      <c r="A38" s="888" t="s">
        <v>799</v>
      </c>
      <c r="B38" s="221" t="s">
        <v>2219</v>
      </c>
      <c r="C38" s="226">
        <f ca="1">ROUND(C34*F38,0)</f>
        <v>211719</v>
      </c>
      <c r="D38" s="226"/>
      <c r="E38" s="226"/>
      <c r="F38" s="265">
        <f>'数据-取费表'!B36</f>
        <v>1.4999999999999999E-2</v>
      </c>
      <c r="G38" s="225" t="s">
        <v>2214</v>
      </c>
    </row>
    <row r="39" spans="1:7" s="220" customFormat="1" ht="13.5" customHeight="1">
      <c r="A39" s="261" t="s">
        <v>2220</v>
      </c>
      <c r="B39" s="216" t="s">
        <v>2221</v>
      </c>
      <c r="C39" s="238">
        <f ca="1">ROUND(C33*F20,0)</f>
        <v>479190</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715671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694826</v>
      </c>
      <c r="D42" s="244"/>
      <c r="E42" s="244"/>
      <c r="F42" s="245"/>
      <c r="G42" s="3252" t="s">
        <v>2277</v>
      </c>
    </row>
    <row r="43" spans="1:7" ht="13.5" customHeight="1">
      <c r="A43" s="888" t="s">
        <v>792</v>
      </c>
      <c r="B43" s="221" t="s">
        <v>2231</v>
      </c>
      <c r="C43" s="244">
        <f ca="1">ROUND(IF('数据-取费表'!B22&lt;=1,C39*F22*'数据-取费表'!B20/2,C39*(POWER((1+F22),'数据-取费表'!B20/2)-1)),0)</f>
        <v>20845</v>
      </c>
      <c r="D43" s="244"/>
      <c r="E43" s="244"/>
      <c r="F43" s="245"/>
      <c r="G43" s="3253"/>
    </row>
    <row r="44" spans="1:7" ht="13.5" customHeight="1">
      <c r="A44" s="888" t="s">
        <v>793</v>
      </c>
      <c r="B44" s="221" t="s">
        <v>2232</v>
      </c>
      <c r="C44" s="244">
        <f ca="1">ROUND(IF('数据-取费表'!B22&lt;=1,C40*F22*'数据-取费表'!B20/2,C40*(POWER((1+F22),'数据-取费表'!B20/2)-1)),4)</f>
        <v>1.2999999999999999E-3</v>
      </c>
      <c r="D44" s="244"/>
      <c r="E44" s="244"/>
      <c r="F44" s="245"/>
      <c r="G44" s="3254"/>
    </row>
    <row r="45" spans="1:7" s="220" customFormat="1" ht="13.5" customHeight="1">
      <c r="A45" s="261" t="s">
        <v>2233</v>
      </c>
      <c r="B45" s="250" t="s">
        <v>2199</v>
      </c>
      <c r="C45" s="251">
        <f ca="1">C46</f>
        <v>4113048</v>
      </c>
      <c r="D45" s="241">
        <f ca="1">C47</f>
        <v>7.4999999999999997E-3</v>
      </c>
      <c r="E45" s="242" t="s">
        <v>2225</v>
      </c>
      <c r="F45" s="2537">
        <f ca="1">F27</f>
        <v>0.25</v>
      </c>
      <c r="G45" s="253" t="s">
        <v>2234</v>
      </c>
    </row>
    <row r="46" spans="1:7" s="220" customFormat="1" ht="13.5" customHeight="1">
      <c r="A46" s="888" t="s">
        <v>791</v>
      </c>
      <c r="B46" s="254" t="s">
        <v>2235</v>
      </c>
      <c r="C46" s="255">
        <f ca="1">ROUND((C33+C39)*F27,0)</f>
        <v>4113048</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23439706</v>
      </c>
      <c r="D49" s="238"/>
      <c r="E49" s="238"/>
      <c r="F49" s="270"/>
      <c r="G49" s="240" t="s">
        <v>2240</v>
      </c>
    </row>
    <row r="50" spans="1:7" s="264" customFormat="1">
      <c r="A50" s="261" t="s">
        <v>2241</v>
      </c>
      <c r="B50" s="216" t="s">
        <v>2242</v>
      </c>
      <c r="C50" s="238"/>
      <c r="D50" s="238"/>
      <c r="E50" s="238"/>
      <c r="F50" s="270">
        <f>IF('数据-取费表'!B24=0,'数据-取费表'!N16,1)</f>
        <v>0.73</v>
      </c>
      <c r="G50" s="253"/>
    </row>
    <row r="51" spans="1:7" ht="16.5" customHeight="1">
      <c r="A51" s="261" t="s">
        <v>2244</v>
      </c>
      <c r="B51" s="216" t="s">
        <v>2279</v>
      </c>
      <c r="C51" s="238">
        <f ca="1">ROUND(C49*F50,0)</f>
        <v>17110985</v>
      </c>
      <c r="D51" s="238"/>
      <c r="E51" s="238"/>
      <c r="F51" s="270"/>
      <c r="G51" s="240" t="s">
        <v>2246</v>
      </c>
    </row>
    <row r="52" spans="1:7" s="214" customFormat="1" ht="16.5" thickBot="1">
      <c r="A52" s="271" t="s">
        <v>2247</v>
      </c>
      <c r="B52" s="272"/>
      <c r="C52" s="273">
        <f ca="1">C31+C51</f>
        <v>19966750</v>
      </c>
      <c r="D52" s="272"/>
      <c r="E52" s="272"/>
      <c r="F52" s="272"/>
      <c r="G52" s="274"/>
    </row>
    <row r="55" spans="1:7" ht="15">
      <c r="B55" s="276" t="s">
        <v>2248</v>
      </c>
      <c r="C55" s="277"/>
    </row>
    <row r="56" spans="1:7">
      <c r="B56" s="279" t="s">
        <v>1478</v>
      </c>
      <c r="C56" s="281">
        <f ca="1">1-C57</f>
        <v>0.14300000000000002</v>
      </c>
    </row>
    <row r="57" spans="1:7">
      <c r="B57" s="279" t="s">
        <v>1479</v>
      </c>
      <c r="C57" s="280">
        <f ca="1">ROUND(C51/C52,3)</f>
        <v>0.85699999999999998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4704.8599999999997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4704.8599999999997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94</v>
      </c>
      <c r="D20" s="955">
        <f ca="1">IF(C1="",'数据-汇总表'!E6,IF(INDIRECT("'数据-取费表'!c"&amp;$K$1)="住宅",INDIRECT("'数据-取费表'!s"&amp;$K$1),INDIRECT("'数据-取费表'!k"&amp;$K$1)+INDIRECT("'数据-取费表'!s"&amp;$K$1)))</f>
        <v>4704.8599999999997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13206</v>
      </c>
      <c r="C2" s="1571" t="s">
        <v>1481</v>
      </c>
      <c r="D2" s="1571"/>
      <c r="E2" s="1572"/>
      <c r="F2" s="1573"/>
      <c r="G2" s="2935"/>
      <c r="H2" s="2924"/>
      <c r="I2" s="2924"/>
      <c r="J2" s="2924"/>
      <c r="K2" s="2925"/>
      <c r="L2" s="2924"/>
      <c r="M2" s="2924"/>
    </row>
    <row r="3" spans="1:37" ht="18" customHeight="1" thickBot="1">
      <c r="A3" s="1574" t="s">
        <v>1482</v>
      </c>
      <c r="B3" s="1575">
        <f ca="1">IF(ISERROR(B2*10000/F43),0,ROUND(B2*10000/F43,0))</f>
        <v>28069</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686</v>
      </c>
      <c r="D5" s="1548" t="s">
        <v>1367</v>
      </c>
      <c r="E5" s="1203"/>
      <c r="F5" s="1204"/>
      <c r="G5" s="1568"/>
      <c r="H5" s="305">
        <v>1</v>
      </c>
      <c r="I5" s="306" t="s">
        <v>1366</v>
      </c>
      <c r="J5" s="1202">
        <f ca="1">J6+J10+J12</f>
        <v>0</v>
      </c>
      <c r="K5" s="1548" t="s">
        <v>1367</v>
      </c>
      <c r="L5" s="1203"/>
      <c r="M5" s="1204"/>
    </row>
    <row r="6" spans="1:37" ht="18" customHeight="1">
      <c r="A6" s="1201" t="s">
        <v>1003</v>
      </c>
      <c r="B6" s="3257" t="s">
        <v>1368</v>
      </c>
      <c r="C6" s="1206">
        <f ca="1">ROUND(F6*F8*F7*(1-F9)/10000,0)</f>
        <v>685</v>
      </c>
      <c r="D6" s="160" t="s">
        <v>2850</v>
      </c>
      <c r="E6" s="308" t="s">
        <v>1370</v>
      </c>
      <c r="F6" s="309">
        <f ca="1">INDIRECT("'数据-取费表'!u"&amp;$G$1)</f>
        <v>4.2</v>
      </c>
      <c r="G6" s="1568"/>
      <c r="H6" s="1201" t="s">
        <v>1003</v>
      </c>
      <c r="I6" s="3257" t="s">
        <v>1368</v>
      </c>
      <c r="J6" s="307">
        <f ca="1">ROUND(M6*M8*M7*(1-M9)/10000,0)</f>
        <v>0</v>
      </c>
      <c r="K6" s="1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4704.8599999999997</v>
      </c>
      <c r="G7" s="1568"/>
      <c r="H7" s="310"/>
      <c r="I7" s="3258"/>
      <c r="J7" s="312"/>
      <c r="K7" s="313"/>
      <c r="L7" s="308" t="s">
        <v>1371</v>
      </c>
      <c r="M7" s="309">
        <f ca="1">F7</f>
        <v>4704.8599999999997</v>
      </c>
    </row>
    <row r="8" spans="1:37" ht="18" customHeight="1">
      <c r="A8" s="310"/>
      <c r="B8" s="3258"/>
      <c r="C8" s="312"/>
      <c r="D8" s="313"/>
      <c r="E8" s="308" t="s">
        <v>1372</v>
      </c>
      <c r="F8" s="309">
        <f ca="1">INDIRECT("'数据-取费表'!ai"&amp;$G$1)</f>
        <v>365</v>
      </c>
      <c r="G8" s="1568"/>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0.05</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1710</v>
      </c>
      <c r="D13" s="1241" t="s">
        <v>1380</v>
      </c>
      <c r="E13" s="1241" t="s">
        <v>1381</v>
      </c>
      <c r="F13" s="1242">
        <f ca="1">INDIRECT("'数据-取费表'!y"&amp;$G$1)</f>
        <v>0.73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1411</v>
      </c>
      <c r="D14" s="1529" t="s">
        <v>1383</v>
      </c>
      <c r="E14" s="1526"/>
      <c r="F14" s="325"/>
      <c r="G14" s="1568"/>
      <c r="H14" s="1113" t="s">
        <v>1003</v>
      </c>
      <c r="I14" s="308" t="s">
        <v>1384</v>
      </c>
      <c r="J14" s="24">
        <f ca="1">C29</f>
        <v>2343</v>
      </c>
      <c r="K14" s="15"/>
      <c r="L14" s="916"/>
      <c r="M14" s="917"/>
    </row>
    <row r="15" spans="1:37" s="1581" customFormat="1" ht="18" customHeight="1" thickBot="1">
      <c r="A15" s="1113" t="s">
        <v>1004</v>
      </c>
      <c r="B15" s="308" t="s">
        <v>1385</v>
      </c>
      <c r="C15" s="24">
        <f ca="1">ROUND(C14*F15,0)</f>
        <v>71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33</v>
      </c>
      <c r="K16" s="1247" t="s">
        <v>1390</v>
      </c>
      <c r="L16" s="1248"/>
      <c r="M16" s="1204"/>
    </row>
    <row r="17" spans="1:37" s="1581" customFormat="1" ht="18" customHeight="1">
      <c r="A17" s="1113" t="s">
        <v>1355</v>
      </c>
      <c r="B17" s="308" t="s">
        <v>1391</v>
      </c>
      <c r="C17" s="24">
        <f ca="1">ROUND(F17*(F43+INDIRECT("'数据-取费表'!S"&amp;$G$1))/10000,0)</f>
        <v>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1597</v>
      </c>
      <c r="D19" s="136" t="s">
        <v>1401</v>
      </c>
      <c r="E19" s="1544"/>
      <c r="F19" s="26"/>
      <c r="G19" s="1568"/>
      <c r="H19" s="1113" t="s">
        <v>1004</v>
      </c>
      <c r="I19" s="308" t="s">
        <v>1402</v>
      </c>
      <c r="J19" s="24">
        <f ca="1">IF(K19="按租金收入计税",ROUND(J6*M19/(1+'数据-取费表'!C42),2),ROUND(C29*M19*0.7,2))</f>
        <v>19.68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48</v>
      </c>
      <c r="D20" s="329" t="s">
        <v>1405</v>
      </c>
      <c r="E20" s="308" t="s">
        <v>1387</v>
      </c>
      <c r="F20" s="328">
        <f>'数据-取费表'!B37</f>
        <v>0.03</v>
      </c>
      <c r="G20" s="1580"/>
      <c r="H20" s="1113" t="s">
        <v>1354</v>
      </c>
      <c r="I20" s="160" t="s">
        <v>1406</v>
      </c>
      <c r="J20" s="25">
        <f ca="1">ROUND(M20*M21/10000,2)</f>
        <v>0.89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2957.47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71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-33</v>
      </c>
      <c r="K25" s="1255" t="s">
        <v>1429</v>
      </c>
      <c r="L25" s="1256"/>
      <c r="M25" s="1257"/>
    </row>
    <row r="26" spans="1:37">
      <c r="A26" s="1113" t="s">
        <v>1002</v>
      </c>
      <c r="B26" s="308" t="s">
        <v>1430</v>
      </c>
      <c r="C26" s="24">
        <f ca="1">ROUND((C19+C20)*F26,0)</f>
        <v>411</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5.7000000000000002E-2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2343</v>
      </c>
      <c r="D29" s="1252"/>
      <c r="E29" s="1250"/>
      <c r="F29" s="1253"/>
      <c r="G29" s="1580"/>
      <c r="H29" s="340" t="s">
        <v>1001</v>
      </c>
      <c r="I29" s="341" t="s">
        <v>1444</v>
      </c>
      <c r="J29" s="342">
        <f ca="1">ROUND(J26/(1+F40)^F41,0)</f>
        <v>0</v>
      </c>
      <c r="K29" s="343" t="s">
        <v>1445</v>
      </c>
      <c r="L29" s="344"/>
      <c r="M29" s="345">
        <f ca="1">INDIRECT("'数据-取费表'!k"&amp;$G$1)</f>
        <v>4704.8599999999997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116</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36.53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78.290000000000006</v>
      </c>
      <c r="D33" s="1554" t="s">
        <v>3099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0.89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2957.47</v>
      </c>
      <c r="G35" s="1568"/>
      <c r="H35" s="2926"/>
      <c r="I35" s="1582"/>
      <c r="J35" s="1583"/>
      <c r="K35" s="2930"/>
      <c r="L35" s="2929"/>
      <c r="M35" s="2929"/>
    </row>
    <row r="36" spans="1:18" ht="18" customHeight="1">
      <c r="A36" s="1262" t="s">
        <v>1007</v>
      </c>
      <c r="B36" s="308" t="s">
        <v>1414</v>
      </c>
      <c r="C36" s="24">
        <f ca="1">ROUND(C29*F36,1)</f>
        <v>11.7</v>
      </c>
      <c r="D36" s="1528" t="s">
        <v>1447</v>
      </c>
      <c r="E36" s="308" t="s">
        <v>1387</v>
      </c>
      <c r="F36" s="334">
        <f ca="1">INDIRECT("'数据-取费表'!Ak"&amp;$G$1)</f>
        <v>5.0000000000000001E-3</v>
      </c>
      <c r="G36" s="1568"/>
      <c r="H36" s="2929"/>
      <c r="I36" s="1582"/>
      <c r="J36" s="1583"/>
      <c r="K36" s="2770"/>
      <c r="L36" s="2929"/>
      <c r="M36" s="2929"/>
    </row>
    <row r="37" spans="1:18" ht="18" customHeight="1">
      <c r="A37" s="1113" t="s">
        <v>1043</v>
      </c>
      <c r="B37" s="308" t="s">
        <v>1418</v>
      </c>
      <c r="C37" s="24">
        <f ca="1">ROUND(C13*F37,1)</f>
        <v>1.7</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3.4</v>
      </c>
      <c r="D38" s="1252" t="s">
        <v>1424</v>
      </c>
      <c r="E38" s="1250" t="s">
        <v>1420</v>
      </c>
      <c r="F38" s="1246">
        <f ca="1">INDIRECT("'数据-取费表'!Am"&amp;$G$1)</f>
        <v>5.0000000000000001E-3</v>
      </c>
      <c r="G38" s="1568"/>
      <c r="H38" s="2929"/>
      <c r="I38" s="1582"/>
      <c r="J38" s="1583"/>
      <c r="K38" s="2933"/>
      <c r="L38" s="2929"/>
      <c r="M38" s="2929"/>
    </row>
    <row r="39" spans="1:18" ht="24.6" customHeight="1" thickTop="1">
      <c r="A39" s="1239" t="s">
        <v>999</v>
      </c>
      <c r="B39" s="1254" t="s">
        <v>1448</v>
      </c>
      <c r="C39" s="316">
        <f ca="1">C5-C30</f>
        <v>553</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13206</v>
      </c>
      <c r="D40" s="330" t="s">
        <v>1434</v>
      </c>
      <c r="E40" s="308" t="s">
        <v>1435</v>
      </c>
      <c r="F40" s="318">
        <f ca="1">INDIRECT("'数据-取费表'!I"&amp;$G$1)</f>
        <v>5.7000000000000002E-2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28069</v>
      </c>
      <c r="D43" s="343" t="s">
        <v>1453</v>
      </c>
      <c r="E43" s="344" t="s">
        <v>1454</v>
      </c>
      <c r="F43" s="345">
        <f ca="1">INDIRECT("'数据-取费表'!k"&amp;$G$1)</f>
        <v>4704.8599999999997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-16505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40</v>
      </c>
      <c r="M47" s="1564" t="str">
        <f>IF(ISNUMBER(FIND("住宅",C1)),"住宅","非住宅")</f>
        <v>非住宅</v>
      </c>
      <c r="O47" s="1602" t="s">
        <v>1008</v>
      </c>
      <c r="P47" s="1603" t="s">
        <v>1493</v>
      </c>
      <c r="Q47" s="1604">
        <f ca="1">C40+J29</f>
        <v>13206</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2343</v>
      </c>
      <c r="R49" s="1604" t="s">
        <v>1494</v>
      </c>
    </row>
    <row r="50" spans="1:18" s="1568" customFormat="1" ht="13.5" thickBot="1">
      <c r="A50" s="1107"/>
      <c r="B50" s="1110"/>
      <c r="C50" s="1278"/>
      <c r="D50" s="1084"/>
      <c r="E50" s="1187" t="s">
        <v>1371</v>
      </c>
      <c r="F50" s="1188">
        <f ca="1">F7</f>
        <v>4704.8599999999997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7227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40</v>
      </c>
      <c r="K53" s="3255" t="s">
        <v>1513</v>
      </c>
      <c r="L53" s="3256"/>
      <c r="O53" s="1602" t="s">
        <v>1014</v>
      </c>
      <c r="P53" s="1603" t="s">
        <v>1514</v>
      </c>
      <c r="Q53" s="1604">
        <f ca="1">Q47+Q48</f>
        <v>13206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1710</v>
      </c>
      <c r="D56" s="1631"/>
      <c r="E56" s="1632"/>
      <c r="F56" s="1624"/>
      <c r="I56" s="1633" t="s">
        <v>1519</v>
      </c>
      <c r="J56" s="1634" t="s">
        <v>3070</v>
      </c>
      <c r="K56" s="1605" t="s">
        <v>1520</v>
      </c>
      <c r="L56" s="1608" t="str">
        <f ca="1">IF(L48&lt;J51,"——",L48-J53)</f>
        <v>——</v>
      </c>
      <c r="O56" s="1602" t="s">
        <v>1008</v>
      </c>
      <c r="P56" s="1603" t="s">
        <v>1493</v>
      </c>
      <c r="Q56" s="1604">
        <f ca="1">C40+J29</f>
        <v>13206</v>
      </c>
      <c r="R56" s="1604" t="s">
        <v>1494</v>
      </c>
    </row>
    <row r="57" spans="1:18" s="1568" customFormat="1" ht="24.75" thickBot="1">
      <c r="A57" s="1635"/>
      <c r="B57" s="1081" t="s">
        <v>1443</v>
      </c>
      <c r="C57" s="244">
        <f ca="1">C29</f>
        <v>2343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211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196.81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0.89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13206</v>
      </c>
      <c r="R62" s="1604" t="s">
        <v>1015</v>
      </c>
    </row>
    <row r="63" spans="1:18" s="1568" customFormat="1" ht="13.5" thickBot="1">
      <c r="A63" s="332"/>
      <c r="B63" s="1087"/>
      <c r="C63" s="29"/>
      <c r="D63" s="1097"/>
      <c r="E63" s="1081" t="s">
        <v>1464</v>
      </c>
      <c r="F63" s="309">
        <f t="shared" ca="1" si="0"/>
        <v>2957.47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11.7</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v>
      </c>
      <c r="D65" s="1095" t="s">
        <v>1419</v>
      </c>
      <c r="E65" s="1081" t="s">
        <v>1420</v>
      </c>
      <c r="F65" s="336">
        <f t="shared" ca="1" si="0"/>
        <v>1E-3</v>
      </c>
      <c r="I65" s="1646" t="s">
        <v>1544</v>
      </c>
      <c r="J65" s="1647">
        <v>40</v>
      </c>
      <c r="K65" s="1647">
        <v>30</v>
      </c>
      <c r="L65" s="1647">
        <v>50</v>
      </c>
      <c r="M65" s="1649">
        <v>0.02</v>
      </c>
      <c r="O65" s="1602" t="s">
        <v>1008</v>
      </c>
      <c r="P65" s="1603" t="s">
        <v>1545</v>
      </c>
      <c r="Q65" s="1604">
        <f ca="1">C40+J29</f>
        <v>13206</v>
      </c>
      <c r="R65" s="1604" t="s">
        <v>1494</v>
      </c>
    </row>
    <row r="66" spans="1:18" s="1568" customFormat="1" ht="16.5" thickBot="1">
      <c r="A66" s="1113" t="s">
        <v>1469</v>
      </c>
      <c r="B66" s="1081" t="s">
        <v>1404</v>
      </c>
      <c r="C66" s="24">
        <f ca="1">ROUND(C48*F66,1)</f>
        <v>0</v>
      </c>
      <c r="D66" s="1095" t="s">
        <v>1470</v>
      </c>
      <c r="E66" s="1081" t="s">
        <v>1387</v>
      </c>
      <c r="F66" s="318">
        <f t="shared" ca="1" si="0"/>
        <v>5.0000000000000001E-3</v>
      </c>
      <c r="O66" s="1602" t="s">
        <v>1009</v>
      </c>
      <c r="P66" s="1603" t="s">
        <v>1523</v>
      </c>
      <c r="Q66" s="1604">
        <f ca="1">L60</f>
        <v>0</v>
      </c>
      <c r="R66" s="1604" t="s">
        <v>1546</v>
      </c>
    </row>
    <row r="67" spans="1:18" s="1568" customFormat="1" ht="16.5" thickBot="1">
      <c r="A67" s="1088" t="s">
        <v>999</v>
      </c>
      <c r="B67" s="1098" t="s">
        <v>1428</v>
      </c>
      <c r="C67" s="322">
        <f ca="1">C48-C58</f>
        <v>-211</v>
      </c>
      <c r="D67" s="1094" t="s">
        <v>1429</v>
      </c>
      <c r="E67" s="1099"/>
      <c r="F67" s="1100"/>
      <c r="O67" s="1612" t="s">
        <v>1010</v>
      </c>
      <c r="P67" s="1603" t="s">
        <v>1527</v>
      </c>
      <c r="Q67" s="1650">
        <f ca="1">L51</f>
        <v>7227</v>
      </c>
      <c r="R67" s="1604" t="s">
        <v>1547</v>
      </c>
    </row>
    <row r="68" spans="1:18" s="1568" customFormat="1" ht="16.5" thickBot="1">
      <c r="A68" s="1078" t="s">
        <v>1000</v>
      </c>
      <c r="B68" s="1079" t="s">
        <v>1450</v>
      </c>
      <c r="C68" s="307">
        <f ca="1">ROUND(C67*(1-((1+F70)/(1+F68))^F69)/(F68-F70),0)</f>
        <v>-3299</v>
      </c>
      <c r="D68" s="1096" t="s">
        <v>1434</v>
      </c>
      <c r="E68" s="1081" t="s">
        <v>1435</v>
      </c>
      <c r="F68" s="318">
        <f ca="1">F40</f>
        <v>5.7000000000000002E-2</v>
      </c>
      <c r="O68" s="1612" t="s">
        <v>1011</v>
      </c>
      <c r="P68" s="1651" t="s">
        <v>1548</v>
      </c>
      <c r="Q68" s="1604">
        <f ca="1">ROUND(Q69-Q70*Q71,0)</f>
        <v>408</v>
      </c>
      <c r="R68" s="1604" t="s">
        <v>1019</v>
      </c>
    </row>
    <row r="69" spans="1:18" s="1568" customFormat="1" ht="13.5" thickBot="1">
      <c r="A69" s="1082"/>
      <c r="B69" s="1083"/>
      <c r="C69" s="312"/>
      <c r="D69" s="1101" t="s">
        <v>1438</v>
      </c>
      <c r="E69" s="1081" t="s">
        <v>1439</v>
      </c>
      <c r="F69" s="339">
        <f ca="1">F41</f>
        <v>40</v>
      </c>
      <c r="O69" s="1612" t="s">
        <v>1016</v>
      </c>
      <c r="P69" s="1651" t="s">
        <v>1549</v>
      </c>
      <c r="Q69" s="1604">
        <f ca="1">C39</f>
        <v>553</v>
      </c>
      <c r="R69" s="1604" t="s">
        <v>1494</v>
      </c>
    </row>
    <row r="70" spans="1:18" s="1568" customFormat="1" ht="13.5" thickBot="1">
      <c r="A70" s="1085"/>
      <c r="B70" s="1086"/>
      <c r="C70" s="316"/>
      <c r="D70" s="1097"/>
      <c r="E70" s="1081" t="s">
        <v>1442</v>
      </c>
      <c r="F70" s="1185"/>
      <c r="O70" s="1612" t="s">
        <v>1017</v>
      </c>
      <c r="P70" s="1651" t="s">
        <v>1550</v>
      </c>
      <c r="Q70" s="1604">
        <f ca="1">C13</f>
        <v>1710</v>
      </c>
      <c r="R70" s="1604" t="s">
        <v>1494</v>
      </c>
    </row>
    <row r="71" spans="1:18" s="1568" customFormat="1" ht="13.5" thickBot="1">
      <c r="A71" s="1102" t="s">
        <v>1001</v>
      </c>
      <c r="B71" s="1103" t="s">
        <v>1452</v>
      </c>
      <c r="C71" s="342">
        <f ca="1">ROUND(C68*10000/F71,0)</f>
        <v>-7012</v>
      </c>
      <c r="D71" s="1104" t="s">
        <v>1453</v>
      </c>
      <c r="E71" s="1105" t="s">
        <v>1454</v>
      </c>
      <c r="F71" s="345">
        <f ca="1">F43</f>
        <v>4704.8599999999997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145</v>
      </c>
      <c r="D75" s="1568"/>
      <c r="E75" s="1568"/>
      <c r="F75" s="1568"/>
      <c r="K75" s="1586"/>
      <c r="L75" s="1568"/>
      <c r="O75" s="1602" t="s">
        <v>1014</v>
      </c>
      <c r="P75" s="1603" t="s">
        <v>1514</v>
      </c>
      <c r="Q75" s="1604">
        <f ca="1">Q65+Q66</f>
        <v>13206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0.73799999999999999</v>
      </c>
    </row>
    <row r="80" spans="1:18">
      <c r="B80" s="346" t="s">
        <v>1476</v>
      </c>
      <c r="C80" s="280">
        <f ca="1">ROUND(C75/C39,3)</f>
        <v>0.26200000000000001</v>
      </c>
    </row>
    <row r="81" spans="2:3">
      <c r="B81" s="276" t="s">
        <v>1477</v>
      </c>
      <c r="C81" s="244"/>
    </row>
    <row r="82" spans="2:3">
      <c r="B82" s="279" t="s">
        <v>1478</v>
      </c>
      <c r="C82" s="281">
        <f ca="1">1-C83</f>
        <v>0.871</v>
      </c>
    </row>
    <row r="83" spans="2:3">
      <c r="B83" s="279" t="s">
        <v>1479</v>
      </c>
      <c r="C83" s="280">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7" t="s">
        <v>1368</v>
      </c>
      <c r="C6" s="1206">
        <f ca="1">ROUND(F6*F8*F7*(1-F9),0)</f>
        <v>0</v>
      </c>
      <c r="D6" s="160" t="s">
        <v>2847</v>
      </c>
      <c r="E6" s="308" t="s">
        <v>1370</v>
      </c>
      <c r="F6" s="309">
        <f ca="1">INDIRECT("'数据-取费表'!u"&amp;$G$1)</f>
        <v>0</v>
      </c>
      <c r="G6" s="1568"/>
      <c r="H6" s="1201" t="s">
        <v>1003</v>
      </c>
      <c r="I6" s="3257" t="s">
        <v>1368</v>
      </c>
      <c r="J6" s="307">
        <f ca="1">ROUND(M6*M8*M7*(1-M9),0)</f>
        <v>0</v>
      </c>
      <c r="K6" s="1560" t="s">
        <v>2848</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68"/>
      <c r="H7" s="310"/>
      <c r="I7" s="3258"/>
      <c r="J7" s="312"/>
      <c r="K7" s="313"/>
      <c r="L7" s="308" t="s">
        <v>1371</v>
      </c>
      <c r="M7" s="309">
        <f ca="1">F7</f>
        <v>0</v>
      </c>
    </row>
    <row r="8" spans="1:37" ht="18" customHeight="1">
      <c r="A8" s="310"/>
      <c r="B8" s="3258"/>
      <c r="C8" s="312"/>
      <c r="D8" s="313"/>
      <c r="E8" s="308" t="s">
        <v>1372</v>
      </c>
      <c r="F8" s="309">
        <f ca="1">INDIRECT("'数据-取费表'!ai"&amp;$G$1)</f>
        <v>0</v>
      </c>
      <c r="G8" s="1568"/>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5" t="s">
        <v>1513</v>
      </c>
      <c r="L53" s="32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13206</v>
      </c>
      <c r="C2" s="2058" t="s">
        <v>2340</v>
      </c>
      <c r="D2" s="2059" t="s">
        <v>2341</v>
      </c>
      <c r="E2" s="2833">
        <f>SUM(E6:E13)</f>
        <v>4704.8599999999997</v>
      </c>
      <c r="F2" s="2936"/>
      <c r="G2" s="1674"/>
      <c r="H2" s="1674"/>
      <c r="I2" s="1674"/>
      <c r="J2" s="1674"/>
      <c r="K2" s="1674"/>
      <c r="L2" s="1674"/>
      <c r="M2" s="1674"/>
      <c r="N2" s="1674"/>
      <c r="O2" s="1674"/>
      <c r="P2" s="1674"/>
      <c r="Q2" s="1674"/>
      <c r="R2" s="1674"/>
      <c r="S2" s="1674"/>
    </row>
    <row r="3" spans="1:22" ht="15.75">
      <c r="A3" s="2056" t="s">
        <v>1360</v>
      </c>
      <c r="B3" s="2827">
        <f ca="1">ROUND(B2*10000/E2,0)</f>
        <v>28069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60" t="s">
        <v>2343</v>
      </c>
      <c r="C5" s="3261"/>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13206</v>
      </c>
      <c r="C6" s="2058" t="s">
        <v>2340</v>
      </c>
      <c r="D6" s="2938"/>
      <c r="E6" s="2832">
        <f>IF(OR(A6=0,F6="否"),0,'数据-取费表'!K6+'数据-取费表'!S6)</f>
        <v>4704.8599999999997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62" t="s">
        <v>1044</v>
      </c>
      <c r="B1" s="3263"/>
      <c r="C1" s="3264"/>
      <c r="D1" s="3265">
        <f>SUM(I10,I15,I20,I21,I23)</f>
        <v>0</v>
      </c>
      <c r="E1" s="3265"/>
      <c r="F1" s="3265"/>
      <c r="G1" s="3265"/>
      <c r="H1" s="3265"/>
      <c r="I1" s="3266"/>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1"/>
      <c r="C21" s="3271"/>
      <c r="D21" s="3271"/>
      <c r="E21" s="3271"/>
      <c r="F21" s="3271"/>
      <c r="G21" s="3271"/>
      <c r="H21" s="1502">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78">
        <f>C27-C30-C31-C32</f>
        <v>0</v>
      </c>
      <c r="F26" s="3278"/>
      <c r="G26" s="3278"/>
      <c r="H26" s="1499" t="s">
        <v>1306</v>
      </c>
    </row>
    <row r="27" spans="1:9">
      <c r="A27" s="1234">
        <v>1</v>
      </c>
      <c r="B27" s="1235" t="s">
        <v>1086</v>
      </c>
      <c r="C27" s="1235">
        <f>C28+C29</f>
        <v>0</v>
      </c>
      <c r="D27" s="1235"/>
      <c r="E27" s="3279"/>
      <c r="F27" s="3279"/>
      <c r="G27" s="3279"/>
    </row>
    <row r="28" spans="1:9">
      <c r="A28" s="1236" t="s">
        <v>1087</v>
      </c>
      <c r="B28" s="1235" t="s">
        <v>1088</v>
      </c>
      <c r="C28" s="1235"/>
      <c r="D28" s="1235"/>
      <c r="E28" s="3279"/>
      <c r="F28" s="3279"/>
      <c r="G28" s="327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0"/>
      <c r="F32" s="3270"/>
      <c r="G32" s="3270"/>
    </row>
    <row r="33" spans="1:7" hidden="1">
      <c r="A33" s="3280" t="s">
        <v>1097</v>
      </c>
      <c r="B33" s="3281"/>
      <c r="C33" s="3281"/>
      <c r="D33" s="3282"/>
      <c r="E33" s="3278"/>
      <c r="F33" s="3278"/>
      <c r="G33" s="3278"/>
    </row>
    <row r="34" spans="1:7" hidden="1">
      <c r="A34" s="1238">
        <v>1</v>
      </c>
      <c r="B34" s="1235" t="s">
        <v>1098</v>
      </c>
      <c r="C34" s="1235"/>
      <c r="D34" s="1235"/>
      <c r="E34" s="3279"/>
      <c r="F34" s="3279"/>
      <c r="G34" s="3279"/>
    </row>
    <row r="35" spans="1:7" hidden="1">
      <c r="A35" s="1238">
        <v>2</v>
      </c>
      <c r="B35" s="1235" t="s">
        <v>1099</v>
      </c>
      <c r="C35" s="1235"/>
      <c r="D35" s="1235"/>
      <c r="E35" s="3279"/>
      <c r="F35" s="3279"/>
      <c r="G35" s="3279"/>
    </row>
    <row r="36" spans="1:7" hidden="1">
      <c r="A36" s="1238">
        <v>3</v>
      </c>
      <c r="B36" s="1235" t="s">
        <v>1100</v>
      </c>
      <c r="C36" s="1235"/>
      <c r="D36" s="1235"/>
      <c r="E36" s="3279"/>
      <c r="F36" s="3279"/>
      <c r="G36" s="3279"/>
    </row>
    <row r="37" spans="1:7" hidden="1">
      <c r="A37" s="1238">
        <v>4</v>
      </c>
      <c r="B37" s="1235" t="s">
        <v>1101</v>
      </c>
      <c r="C37" s="1235"/>
      <c r="D37" s="1235"/>
      <c r="E37" s="3279"/>
      <c r="F37" s="3279"/>
      <c r="G37" s="3279"/>
    </row>
    <row r="38" spans="1:7" hidden="1">
      <c r="A38" s="3280" t="s">
        <v>1102</v>
      </c>
      <c r="B38" s="3281"/>
      <c r="C38" s="3281"/>
      <c r="D38" s="3282"/>
      <c r="E38" s="3278"/>
      <c r="F38" s="3278"/>
      <c r="G38" s="32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4704.8599999999997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01" t="s">
        <v>2357</v>
      </c>
      <c r="D4" s="3302"/>
      <c r="E4" s="3303" t="s">
        <v>2358</v>
      </c>
      <c r="F4" s="3304"/>
      <c r="G4" s="3301" t="s">
        <v>2359</v>
      </c>
      <c r="H4" s="3302"/>
      <c r="I4" s="3301" t="s">
        <v>2360</v>
      </c>
      <c r="J4" s="3302"/>
      <c r="K4" s="2075" t="s">
        <v>2361</v>
      </c>
      <c r="L4" s="2944"/>
      <c r="M4" s="2945"/>
      <c r="N4" s="2945"/>
      <c r="O4" s="2945"/>
      <c r="P4" s="3305" t="s">
        <v>2362</v>
      </c>
      <c r="Q4" s="3306"/>
      <c r="R4" s="3288" t="s">
        <v>2358</v>
      </c>
      <c r="S4" s="3289"/>
      <c r="T4" s="3288" t="s">
        <v>2359</v>
      </c>
      <c r="U4" s="3289"/>
      <c r="V4" s="3313" t="s">
        <v>2360</v>
      </c>
      <c r="W4" s="3313"/>
      <c r="X4" s="1539"/>
      <c r="Y4" s="3288" t="s">
        <v>2362</v>
      </c>
      <c r="Z4" s="3289"/>
      <c r="AA4" s="3283" t="s">
        <v>2358</v>
      </c>
      <c r="AB4" s="3283" t="s">
        <v>2359</v>
      </c>
      <c r="AC4" s="3283" t="s">
        <v>2360</v>
      </c>
    </row>
    <row r="5" spans="1:29" ht="15">
      <c r="A5" s="364"/>
      <c r="B5" s="365"/>
      <c r="C5" s="3294" t="s">
        <v>2363</v>
      </c>
      <c r="D5" s="3295"/>
      <c r="E5" s="3292" t="s">
        <v>2364</v>
      </c>
      <c r="F5" s="3293"/>
      <c r="G5" s="3294" t="s">
        <v>2365</v>
      </c>
      <c r="H5" s="3295"/>
      <c r="I5" s="3294" t="s">
        <v>2366</v>
      </c>
      <c r="J5" s="3295"/>
      <c r="K5" s="2076"/>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2076"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6" t="s">
        <v>2370</v>
      </c>
      <c r="Q7" s="3314"/>
      <c r="R7" s="710" t="s">
        <v>23</v>
      </c>
      <c r="S7" s="711">
        <f t="shared" ref="S7:S15" si="0">F7</f>
        <v>0</v>
      </c>
      <c r="T7" s="710" t="s">
        <v>23</v>
      </c>
      <c r="U7" s="711">
        <f t="shared" ref="U7:U15" si="1">H7</f>
        <v>0</v>
      </c>
      <c r="V7" s="710" t="s">
        <v>23</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6" t="s">
        <v>2373</v>
      </c>
      <c r="Q8" s="3287"/>
      <c r="R8" s="710" t="s">
        <v>23</v>
      </c>
      <c r="S8" s="711">
        <f t="shared" si="0"/>
        <v>0</v>
      </c>
      <c r="T8" s="710" t="s">
        <v>23</v>
      </c>
      <c r="U8" s="711">
        <f t="shared" si="1"/>
        <v>0</v>
      </c>
      <c r="V8" s="710" t="s">
        <v>23</v>
      </c>
      <c r="W8" s="711">
        <f t="shared" si="2"/>
        <v>0</v>
      </c>
      <c r="X8" s="712"/>
      <c r="Y8" s="3286" t="s">
        <v>2373</v>
      </c>
      <c r="Z8" s="328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0"/>
      <c r="Q11" s="1527" t="str">
        <f t="shared" si="6"/>
        <v>容积率</v>
      </c>
      <c r="R11" s="710" t="s">
        <v>21</v>
      </c>
      <c r="S11" s="711" t="e">
        <f t="shared" si="0"/>
        <v>#N/A</v>
      </c>
      <c r="T11" s="710" t="s">
        <v>21</v>
      </c>
      <c r="U11" s="711" t="e">
        <f t="shared" si="1"/>
        <v>#N/A</v>
      </c>
      <c r="V11" s="710" t="s">
        <v>21</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0"/>
      <c r="Q12" s="1527">
        <f t="shared" si="6"/>
        <v>111</v>
      </c>
      <c r="R12" s="710" t="s">
        <v>21</v>
      </c>
      <c r="S12" s="711">
        <f t="shared" si="0"/>
        <v>100</v>
      </c>
      <c r="T12" s="710" t="s">
        <v>21</v>
      </c>
      <c r="U12" s="711">
        <f t="shared" si="1"/>
        <v>100</v>
      </c>
      <c r="V12" s="710" t="s">
        <v>21</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0"/>
      <c r="Q13" s="1527">
        <f t="shared" si="6"/>
        <v>111</v>
      </c>
      <c r="R13" s="710" t="s">
        <v>21</v>
      </c>
      <c r="S13" s="711">
        <f t="shared" si="0"/>
        <v>100</v>
      </c>
      <c r="T13" s="710" t="s">
        <v>21</v>
      </c>
      <c r="U13" s="711">
        <f t="shared" si="1"/>
        <v>100</v>
      </c>
      <c r="V13" s="710" t="s">
        <v>21</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0"/>
      <c r="Q14" s="1527">
        <f t="shared" si="6"/>
        <v>111</v>
      </c>
      <c r="R14" s="710" t="s">
        <v>21</v>
      </c>
      <c r="S14" s="711">
        <f t="shared" si="0"/>
        <v>100</v>
      </c>
      <c r="T14" s="710" t="s">
        <v>21</v>
      </c>
      <c r="U14" s="711">
        <f t="shared" si="1"/>
        <v>100</v>
      </c>
      <c r="V14" s="710" t="s">
        <v>21</v>
      </c>
      <c r="W14" s="711">
        <f t="shared" si="2"/>
        <v>100</v>
      </c>
      <c r="X14" s="712"/>
      <c r="Y14" s="322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7" t="s">
        <v>2381</v>
      </c>
      <c r="Q15" s="1536" t="str">
        <f t="shared" si="6"/>
        <v>居住社区成熟度</v>
      </c>
      <c r="R15" s="714" t="s">
        <v>21</v>
      </c>
      <c r="S15" s="715">
        <f t="shared" si="0"/>
        <v>100</v>
      </c>
      <c r="T15" s="714" t="s">
        <v>21</v>
      </c>
      <c r="U15" s="715">
        <f t="shared" si="1"/>
        <v>100</v>
      </c>
      <c r="V15" s="714" t="s">
        <v>21</v>
      </c>
      <c r="W15" s="715">
        <f t="shared" si="2"/>
        <v>100</v>
      </c>
      <c r="X15" s="1539"/>
      <c r="Y15" s="332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8"/>
      <c r="Q17" s="1536" t="str">
        <f>B17</f>
        <v>交通便捷度</v>
      </c>
      <c r="R17" s="714" t="s">
        <v>21</v>
      </c>
      <c r="S17" s="715">
        <f>F17</f>
        <v>100</v>
      </c>
      <c r="T17" s="714" t="s">
        <v>21</v>
      </c>
      <c r="U17" s="715">
        <f>H17</f>
        <v>100</v>
      </c>
      <c r="V17" s="714" t="s">
        <v>21</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8"/>
      <c r="Q19" s="1536" t="str">
        <f>B19</f>
        <v>公共配套设施</v>
      </c>
      <c r="R19" s="714" t="s">
        <v>21</v>
      </c>
      <c r="S19" s="715">
        <f>F19</f>
        <v>100</v>
      </c>
      <c r="T19" s="714" t="s">
        <v>21</v>
      </c>
      <c r="U19" s="715">
        <f>H19</f>
        <v>100</v>
      </c>
      <c r="V19" s="714" t="s">
        <v>21</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8"/>
      <c r="Q23" s="1536" t="str">
        <f>B23</f>
        <v>自然及人文环境</v>
      </c>
      <c r="R23" s="714" t="s">
        <v>21</v>
      </c>
      <c r="S23" s="715">
        <f>F23</f>
        <v>100</v>
      </c>
      <c r="T23" s="714" t="s">
        <v>21</v>
      </c>
      <c r="U23" s="715">
        <f>H23</f>
        <v>100</v>
      </c>
      <c r="V23" s="714" t="s">
        <v>21</v>
      </c>
      <c r="W23" s="715">
        <f>J23</f>
        <v>100</v>
      </c>
      <c r="X23" s="1539"/>
      <c r="Y23" s="33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8"/>
      <c r="Q26" s="1536" t="str">
        <f t="shared" si="11"/>
        <v>朝向</v>
      </c>
      <c r="R26" s="714" t="s">
        <v>21</v>
      </c>
      <c r="S26" s="715">
        <f t="shared" si="12"/>
        <v>100</v>
      </c>
      <c r="T26" s="714" t="s">
        <v>21</v>
      </c>
      <c r="U26" s="715">
        <f t="shared" si="13"/>
        <v>100</v>
      </c>
      <c r="V26" s="714" t="s">
        <v>21</v>
      </c>
      <c r="W26" s="715">
        <f t="shared" si="14"/>
        <v>100</v>
      </c>
      <c r="X26" s="1539"/>
      <c r="Y26" s="33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8"/>
      <c r="Q27" s="1527">
        <f t="shared" si="11"/>
        <v>111</v>
      </c>
      <c r="R27" s="710" t="s">
        <v>21</v>
      </c>
      <c r="S27" s="711">
        <f t="shared" si="12"/>
        <v>100</v>
      </c>
      <c r="T27" s="710" t="s">
        <v>21</v>
      </c>
      <c r="U27" s="711">
        <f t="shared" si="13"/>
        <v>100</v>
      </c>
      <c r="V27" s="710" t="s">
        <v>21</v>
      </c>
      <c r="W27" s="711">
        <f t="shared" si="14"/>
        <v>100</v>
      </c>
      <c r="X27" s="712"/>
      <c r="Y27" s="33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8"/>
      <c r="Q28" s="1536">
        <f t="shared" si="11"/>
        <v>111</v>
      </c>
      <c r="R28" s="714" t="s">
        <v>21</v>
      </c>
      <c r="S28" s="715">
        <f t="shared" si="12"/>
        <v>100</v>
      </c>
      <c r="T28" s="714" t="s">
        <v>21</v>
      </c>
      <c r="U28" s="715">
        <f t="shared" si="13"/>
        <v>100</v>
      </c>
      <c r="V28" s="714" t="s">
        <v>21</v>
      </c>
      <c r="W28" s="715">
        <f t="shared" si="14"/>
        <v>100</v>
      </c>
      <c r="X28" s="1539"/>
      <c r="Y28" s="33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8"/>
      <c r="Q29" s="1536">
        <f t="shared" si="11"/>
        <v>111</v>
      </c>
      <c r="R29" s="714" t="s">
        <v>21</v>
      </c>
      <c r="S29" s="715">
        <f t="shared" si="12"/>
        <v>100</v>
      </c>
      <c r="T29" s="714" t="s">
        <v>21</v>
      </c>
      <c r="U29" s="715">
        <f t="shared" si="13"/>
        <v>100</v>
      </c>
      <c r="V29" s="714" t="s">
        <v>21</v>
      </c>
      <c r="W29" s="715">
        <f t="shared" si="14"/>
        <v>100</v>
      </c>
      <c r="X29" s="1539"/>
      <c r="Y29" s="33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8"/>
      <c r="Q30" s="1536">
        <f t="shared" si="11"/>
        <v>111</v>
      </c>
      <c r="R30" s="714" t="s">
        <v>21</v>
      </c>
      <c r="S30" s="715">
        <f t="shared" si="12"/>
        <v>100</v>
      </c>
      <c r="T30" s="714" t="s">
        <v>21</v>
      </c>
      <c r="U30" s="715">
        <f t="shared" si="13"/>
        <v>100</v>
      </c>
      <c r="V30" s="714" t="s">
        <v>21</v>
      </c>
      <c r="W30" s="715">
        <f t="shared" si="14"/>
        <v>100</v>
      </c>
      <c r="X30" s="1539"/>
      <c r="Y30" s="33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8"/>
      <c r="Q31" s="1536">
        <f t="shared" si="11"/>
        <v>111</v>
      </c>
      <c r="R31" s="714" t="s">
        <v>21</v>
      </c>
      <c r="S31" s="715">
        <f t="shared" si="12"/>
        <v>100</v>
      </c>
      <c r="T31" s="714" t="s">
        <v>21</v>
      </c>
      <c r="U31" s="715">
        <f t="shared" si="13"/>
        <v>100</v>
      </c>
      <c r="V31" s="714" t="s">
        <v>21</v>
      </c>
      <c r="W31" s="715">
        <f t="shared" si="14"/>
        <v>100</v>
      </c>
      <c r="X31" s="1539"/>
      <c r="Y31" s="332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2" t="s">
        <v>2386</v>
      </c>
      <c r="Q32" s="1536" t="str">
        <f t="shared" si="11"/>
        <v>建筑类型</v>
      </c>
      <c r="R32" s="714" t="s">
        <v>21</v>
      </c>
      <c r="S32" s="715">
        <f t="shared" si="12"/>
        <v>100</v>
      </c>
      <c r="T32" s="714" t="s">
        <v>21</v>
      </c>
      <c r="U32" s="715">
        <f t="shared" si="13"/>
        <v>100</v>
      </c>
      <c r="V32" s="714" t="s">
        <v>21</v>
      </c>
      <c r="W32" s="715">
        <f t="shared" si="14"/>
        <v>100</v>
      </c>
      <c r="X32" s="1539"/>
      <c r="Y32" s="332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3"/>
      <c r="Q33" s="716" t="str">
        <f t="shared" si="11"/>
        <v>项目建筑规模</v>
      </c>
      <c r="R33" s="717" t="s">
        <v>21</v>
      </c>
      <c r="S33" s="718" t="e">
        <f t="shared" si="12"/>
        <v>#N/A</v>
      </c>
      <c r="T33" s="717" t="s">
        <v>21</v>
      </c>
      <c r="U33" s="718" t="e">
        <f t="shared" si="13"/>
        <v>#N/A</v>
      </c>
      <c r="V33" s="717" t="s">
        <v>21</v>
      </c>
      <c r="W33" s="718" t="e">
        <f t="shared" si="14"/>
        <v>#N/A</v>
      </c>
      <c r="X33" s="719"/>
      <c r="Y33" s="332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3"/>
      <c r="Q34" s="1536" t="str">
        <f t="shared" si="11"/>
        <v>建筑结构</v>
      </c>
      <c r="R34" s="714" t="s">
        <v>21</v>
      </c>
      <c r="S34" s="715">
        <f t="shared" si="12"/>
        <v>100</v>
      </c>
      <c r="T34" s="714" t="s">
        <v>21</v>
      </c>
      <c r="U34" s="715">
        <f t="shared" si="13"/>
        <v>100</v>
      </c>
      <c r="V34" s="714" t="s">
        <v>21</v>
      </c>
      <c r="W34" s="715">
        <f t="shared" si="14"/>
        <v>100</v>
      </c>
      <c r="X34" s="1539"/>
      <c r="Y34" s="332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3"/>
      <c r="Q35" s="1536" t="str">
        <f t="shared" si="11"/>
        <v>建筑品质</v>
      </c>
      <c r="R35" s="714" t="s">
        <v>21</v>
      </c>
      <c r="S35" s="715">
        <f t="shared" si="12"/>
        <v>100</v>
      </c>
      <c r="T35" s="714" t="s">
        <v>21</v>
      </c>
      <c r="U35" s="715">
        <f t="shared" si="13"/>
        <v>100</v>
      </c>
      <c r="V35" s="714" t="s">
        <v>21</v>
      </c>
      <c r="W35" s="715">
        <f t="shared" si="14"/>
        <v>100</v>
      </c>
      <c r="X35" s="1539"/>
      <c r="Y35" s="332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3"/>
      <c r="Q36" s="1536" t="str">
        <f t="shared" si="11"/>
        <v>公共部分装修</v>
      </c>
      <c r="R36" s="714" t="s">
        <v>21</v>
      </c>
      <c r="S36" s="715">
        <f t="shared" si="12"/>
        <v>100</v>
      </c>
      <c r="T36" s="714" t="s">
        <v>21</v>
      </c>
      <c r="U36" s="715">
        <f t="shared" si="13"/>
        <v>100</v>
      </c>
      <c r="V36" s="714" t="s">
        <v>21</v>
      </c>
      <c r="W36" s="715">
        <f t="shared" si="14"/>
        <v>100</v>
      </c>
      <c r="X36" s="1539"/>
      <c r="Y36" s="332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3"/>
      <c r="Q37" s="1527" t="str">
        <f t="shared" si="11"/>
        <v>成新度</v>
      </c>
      <c r="R37" s="710" t="s">
        <v>21</v>
      </c>
      <c r="S37" s="711" t="e">
        <f t="shared" si="12"/>
        <v>#N/A</v>
      </c>
      <c r="T37" s="710" t="s">
        <v>21</v>
      </c>
      <c r="U37" s="711" t="e">
        <f t="shared" si="13"/>
        <v>#N/A</v>
      </c>
      <c r="V37" s="710" t="s">
        <v>21</v>
      </c>
      <c r="W37" s="711" t="e">
        <f t="shared" si="14"/>
        <v>#N/A</v>
      </c>
      <c r="X37" s="712"/>
      <c r="Y37" s="332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3" t="s">
        <v>2386</v>
      </c>
      <c r="Q38" s="1536" t="str">
        <f t="shared" si="11"/>
        <v>物业管理</v>
      </c>
      <c r="R38" s="714" t="s">
        <v>21</v>
      </c>
      <c r="S38" s="715">
        <f t="shared" si="12"/>
        <v>100</v>
      </c>
      <c r="T38" s="714" t="s">
        <v>21</v>
      </c>
      <c r="U38" s="715">
        <f t="shared" si="13"/>
        <v>100</v>
      </c>
      <c r="V38" s="714" t="s">
        <v>21</v>
      </c>
      <c r="W38" s="715">
        <f t="shared" si="14"/>
        <v>100</v>
      </c>
      <c r="X38" s="1539"/>
      <c r="Y38" s="332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3"/>
      <c r="Q39" s="1536" t="str">
        <f t="shared" si="11"/>
        <v>市政基础设施</v>
      </c>
      <c r="R39" s="714" t="s">
        <v>21</v>
      </c>
      <c r="S39" s="715">
        <f t="shared" si="12"/>
        <v>100</v>
      </c>
      <c r="T39" s="714" t="s">
        <v>21</v>
      </c>
      <c r="U39" s="715">
        <f t="shared" si="13"/>
        <v>100</v>
      </c>
      <c r="V39" s="714" t="s">
        <v>21</v>
      </c>
      <c r="W39" s="715">
        <f t="shared" si="14"/>
        <v>100</v>
      </c>
      <c r="X39" s="1539"/>
      <c r="Y39" s="332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3"/>
      <c r="Q40" s="1536" t="str">
        <f t="shared" si="11"/>
        <v>房型</v>
      </c>
      <c r="R40" s="714" t="s">
        <v>21</v>
      </c>
      <c r="S40" s="715">
        <f t="shared" si="12"/>
        <v>100</v>
      </c>
      <c r="T40" s="714" t="s">
        <v>21</v>
      </c>
      <c r="U40" s="715">
        <f t="shared" si="13"/>
        <v>100</v>
      </c>
      <c r="V40" s="714" t="s">
        <v>21</v>
      </c>
      <c r="W40" s="715">
        <f t="shared" si="14"/>
        <v>100</v>
      </c>
      <c r="X40" s="1539"/>
      <c r="Y40" s="332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3"/>
      <c r="Q41" s="716" t="str">
        <f t="shared" si="11"/>
        <v>单套/主力户型建筑面积</v>
      </c>
      <c r="R41" s="717" t="s">
        <v>21</v>
      </c>
      <c r="S41" s="718">
        <f t="shared" si="12"/>
        <v>100</v>
      </c>
      <c r="T41" s="717" t="s">
        <v>21</v>
      </c>
      <c r="U41" s="718">
        <f t="shared" si="13"/>
        <v>100</v>
      </c>
      <c r="V41" s="717" t="s">
        <v>21</v>
      </c>
      <c r="W41" s="718">
        <f t="shared" si="14"/>
        <v>100</v>
      </c>
      <c r="X41" s="719"/>
      <c r="Y41" s="332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3"/>
      <c r="Q42" s="1536" t="str">
        <f t="shared" si="11"/>
        <v>内部装修</v>
      </c>
      <c r="R42" s="714" t="s">
        <v>21</v>
      </c>
      <c r="S42" s="715">
        <f t="shared" si="12"/>
        <v>100</v>
      </c>
      <c r="T42" s="714" t="s">
        <v>21</v>
      </c>
      <c r="U42" s="715">
        <f t="shared" si="13"/>
        <v>100</v>
      </c>
      <c r="V42" s="714" t="s">
        <v>21</v>
      </c>
      <c r="W42" s="715">
        <f t="shared" si="14"/>
        <v>100</v>
      </c>
      <c r="X42" s="1539"/>
      <c r="Y42" s="332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3"/>
      <c r="Q43" s="1536" t="str">
        <f t="shared" si="11"/>
        <v>内部装修维护情况</v>
      </c>
      <c r="R43" s="714" t="s">
        <v>21</v>
      </c>
      <c r="S43" s="715">
        <f t="shared" si="12"/>
        <v>100</v>
      </c>
      <c r="T43" s="714" t="s">
        <v>21</v>
      </c>
      <c r="U43" s="715">
        <f t="shared" si="13"/>
        <v>100</v>
      </c>
      <c r="V43" s="714" t="s">
        <v>21</v>
      </c>
      <c r="W43" s="715">
        <f t="shared" si="14"/>
        <v>100</v>
      </c>
      <c r="X43" s="1539"/>
      <c r="Y43" s="33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3"/>
      <c r="Q44" s="1527">
        <f t="shared" si="11"/>
        <v>111</v>
      </c>
      <c r="R44" s="710" t="s">
        <v>21</v>
      </c>
      <c r="S44" s="711">
        <f t="shared" si="12"/>
        <v>100</v>
      </c>
      <c r="T44" s="710" t="s">
        <v>21</v>
      </c>
      <c r="U44" s="711">
        <f t="shared" si="13"/>
        <v>100</v>
      </c>
      <c r="V44" s="710" t="s">
        <v>21</v>
      </c>
      <c r="W44" s="711">
        <f t="shared" si="14"/>
        <v>100</v>
      </c>
      <c r="X44" s="712"/>
      <c r="Y44" s="33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3"/>
      <c r="Q45" s="1536">
        <f t="shared" si="11"/>
        <v>111</v>
      </c>
      <c r="R45" s="714" t="s">
        <v>21</v>
      </c>
      <c r="S45" s="715">
        <f t="shared" si="12"/>
        <v>100</v>
      </c>
      <c r="T45" s="714" t="s">
        <v>21</v>
      </c>
      <c r="U45" s="715">
        <f t="shared" si="13"/>
        <v>100</v>
      </c>
      <c r="V45" s="714" t="s">
        <v>21</v>
      </c>
      <c r="W45" s="715">
        <f t="shared" si="14"/>
        <v>100</v>
      </c>
      <c r="X45" s="1539"/>
      <c r="Y45" s="33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4"/>
      <c r="Q46" s="1536">
        <f t="shared" si="11"/>
        <v>111</v>
      </c>
      <c r="R46" s="714" t="s">
        <v>20</v>
      </c>
      <c r="S46" s="715">
        <f t="shared" si="12"/>
        <v>100</v>
      </c>
      <c r="T46" s="714" t="s">
        <v>20</v>
      </c>
      <c r="U46" s="715">
        <f t="shared" si="13"/>
        <v>100</v>
      </c>
      <c r="V46" s="714" t="s">
        <v>20</v>
      </c>
      <c r="W46" s="715">
        <f t="shared" si="14"/>
        <v>100</v>
      </c>
      <c r="X46" s="1539"/>
      <c r="Y46" s="332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8" t="str">
        <f>A47</f>
        <v>成交单价（元/平方米）</v>
      </c>
      <c r="Q47" s="3318"/>
      <c r="R47" s="3319">
        <f>E47</f>
        <v>0</v>
      </c>
      <c r="S47" s="3319"/>
      <c r="T47" s="3319">
        <f>G47</f>
        <v>0</v>
      </c>
      <c r="U47" s="3319"/>
      <c r="V47" s="3319">
        <f>I47</f>
        <v>0</v>
      </c>
      <c r="W47" s="3319"/>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313"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313"/>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313"/>
      <c r="AC6" s="3285"/>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7" t="s">
        <v>2381</v>
      </c>
      <c r="Q15" s="1536" t="str">
        <f t="shared" si="6"/>
        <v>商业繁华度</v>
      </c>
      <c r="R15" s="714" t="s">
        <v>17</v>
      </c>
      <c r="S15" s="715">
        <f t="shared" si="0"/>
        <v>100</v>
      </c>
      <c r="T15" s="714" t="s">
        <v>17</v>
      </c>
      <c r="U15" s="715">
        <f t="shared" si="1"/>
        <v>100</v>
      </c>
      <c r="V15" s="714" t="s">
        <v>17</v>
      </c>
      <c r="W15" s="715">
        <f t="shared" si="2"/>
        <v>100</v>
      </c>
      <c r="X15" s="1539"/>
      <c r="Y15" s="3320"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8"/>
      <c r="Q23" s="1536" t="str">
        <f>B23</f>
        <v>自然及人文环境</v>
      </c>
      <c r="R23" s="714" t="s">
        <v>17</v>
      </c>
      <c r="S23" s="715">
        <f>F23</f>
        <v>100</v>
      </c>
      <c r="T23" s="714" t="s">
        <v>17</v>
      </c>
      <c r="U23" s="715">
        <f>H23</f>
        <v>100</v>
      </c>
      <c r="V23" s="714" t="s">
        <v>17</v>
      </c>
      <c r="W23" s="715">
        <f>J23</f>
        <v>100</v>
      </c>
      <c r="X23" s="1539"/>
      <c r="Y23" s="332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8"/>
      <c r="Q25" s="1536" t="str">
        <f t="shared" ref="Q25:Q46" si="11">B25</f>
        <v>临街状况</v>
      </c>
      <c r="R25" s="714" t="s">
        <v>17</v>
      </c>
      <c r="S25" s="715">
        <f>F25</f>
        <v>100</v>
      </c>
      <c r="T25" s="714" t="s">
        <v>17</v>
      </c>
      <c r="U25" s="715">
        <f>H25</f>
        <v>100</v>
      </c>
      <c r="V25" s="714" t="s">
        <v>17</v>
      </c>
      <c r="W25" s="715">
        <f>J25</f>
        <v>100</v>
      </c>
      <c r="X25" s="1539"/>
      <c r="Y25" s="3321"/>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8"/>
      <c r="Q26" s="1536" t="str">
        <f t="shared" si="11"/>
        <v>平面位置/可视性</v>
      </c>
      <c r="R26" s="714" t="s">
        <v>17</v>
      </c>
      <c r="S26" s="715">
        <f>F26</f>
        <v>100</v>
      </c>
      <c r="T26" s="714" t="s">
        <v>17</v>
      </c>
      <c r="U26" s="715">
        <f>H26</f>
        <v>100</v>
      </c>
      <c r="V26" s="714" t="s">
        <v>17</v>
      </c>
      <c r="W26" s="715">
        <f>J26</f>
        <v>100</v>
      </c>
      <c r="X26" s="1539"/>
      <c r="Y26" s="3321"/>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8"/>
      <c r="Q27" s="1527" t="str">
        <f t="shared" si="11"/>
        <v>人流量</v>
      </c>
      <c r="R27" s="710" t="s">
        <v>17</v>
      </c>
      <c r="S27" s="711">
        <f>F27</f>
        <v>100</v>
      </c>
      <c r="T27" s="710" t="s">
        <v>17</v>
      </c>
      <c r="U27" s="711">
        <f>H27</f>
        <v>100</v>
      </c>
      <c r="V27" s="710" t="s">
        <v>17</v>
      </c>
      <c r="W27" s="711">
        <f>J27</f>
        <v>100</v>
      </c>
      <c r="X27" s="712"/>
      <c r="Y27" s="3321"/>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8"/>
      <c r="Q29" s="1536">
        <f t="shared" si="11"/>
        <v>111</v>
      </c>
      <c r="R29" s="714" t="s">
        <v>17</v>
      </c>
      <c r="S29" s="715">
        <f t="shared" si="12"/>
        <v>100</v>
      </c>
      <c r="T29" s="714" t="s">
        <v>17</v>
      </c>
      <c r="U29" s="715">
        <f t="shared" si="13"/>
        <v>100</v>
      </c>
      <c r="V29" s="714" t="s">
        <v>17</v>
      </c>
      <c r="W29" s="715">
        <f t="shared" si="14"/>
        <v>100</v>
      </c>
      <c r="X29" s="1539"/>
      <c r="Y29" s="33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2" t="s">
        <v>2386</v>
      </c>
      <c r="Q32" s="1536" t="str">
        <f t="shared" si="11"/>
        <v>商业类型</v>
      </c>
      <c r="R32" s="714" t="s">
        <v>17</v>
      </c>
      <c r="S32" s="715">
        <f t="shared" si="12"/>
        <v>100</v>
      </c>
      <c r="T32" s="714" t="s">
        <v>17</v>
      </c>
      <c r="U32" s="715">
        <f t="shared" si="13"/>
        <v>100</v>
      </c>
      <c r="V32" s="714" t="s">
        <v>17</v>
      </c>
      <c r="W32" s="715">
        <f t="shared" si="14"/>
        <v>100</v>
      </c>
      <c r="X32" s="1539"/>
      <c r="Y32" s="332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3"/>
      <c r="Q33" s="716" t="str">
        <f t="shared" si="11"/>
        <v>项目建筑规模</v>
      </c>
      <c r="R33" s="717" t="s">
        <v>17</v>
      </c>
      <c r="S33" s="718" t="e">
        <f t="shared" si="12"/>
        <v>#N/A</v>
      </c>
      <c r="T33" s="717" t="s">
        <v>17</v>
      </c>
      <c r="U33" s="718" t="e">
        <f t="shared" si="13"/>
        <v>#N/A</v>
      </c>
      <c r="V33" s="717" t="s">
        <v>17</v>
      </c>
      <c r="W33" s="718" t="e">
        <f t="shared" si="14"/>
        <v>#N/A</v>
      </c>
      <c r="X33" s="719"/>
      <c r="Y33" s="332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3"/>
      <c r="Q34" s="1536" t="str">
        <f t="shared" si="11"/>
        <v>建筑结构</v>
      </c>
      <c r="R34" s="714" t="s">
        <v>17</v>
      </c>
      <c r="S34" s="715">
        <f t="shared" si="12"/>
        <v>100</v>
      </c>
      <c r="T34" s="714" t="s">
        <v>17</v>
      </c>
      <c r="U34" s="715">
        <f t="shared" si="13"/>
        <v>100</v>
      </c>
      <c r="V34" s="714" t="s">
        <v>17</v>
      </c>
      <c r="W34" s="715">
        <f t="shared" si="14"/>
        <v>100</v>
      </c>
      <c r="X34" s="1539"/>
      <c r="Y34" s="332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3"/>
      <c r="Q35" s="1536" t="str">
        <f t="shared" si="11"/>
        <v>公共部分装修</v>
      </c>
      <c r="R35" s="714" t="s">
        <v>17</v>
      </c>
      <c r="S35" s="715">
        <f t="shared" si="12"/>
        <v>100</v>
      </c>
      <c r="T35" s="714" t="s">
        <v>17</v>
      </c>
      <c r="U35" s="715">
        <f t="shared" si="13"/>
        <v>100</v>
      </c>
      <c r="V35" s="714" t="s">
        <v>17</v>
      </c>
      <c r="W35" s="715">
        <f t="shared" si="14"/>
        <v>100</v>
      </c>
      <c r="X35" s="1539"/>
      <c r="Y35" s="332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3"/>
      <c r="Q36" s="1536" t="str">
        <f t="shared" si="11"/>
        <v>成新度</v>
      </c>
      <c r="R36" s="714" t="s">
        <v>17</v>
      </c>
      <c r="S36" s="715" t="e">
        <f t="shared" si="12"/>
        <v>#N/A</v>
      </c>
      <c r="T36" s="714" t="s">
        <v>17</v>
      </c>
      <c r="U36" s="715" t="e">
        <f t="shared" si="13"/>
        <v>#N/A</v>
      </c>
      <c r="V36" s="714" t="s">
        <v>17</v>
      </c>
      <c r="W36" s="715" t="e">
        <f t="shared" si="14"/>
        <v>#N/A</v>
      </c>
      <c r="X36" s="1539"/>
      <c r="Y36" s="332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3"/>
      <c r="Q37" s="1527" t="str">
        <f t="shared" si="11"/>
        <v>市政基础设施</v>
      </c>
      <c r="R37" s="710" t="s">
        <v>17</v>
      </c>
      <c r="S37" s="711">
        <f t="shared" si="12"/>
        <v>100</v>
      </c>
      <c r="T37" s="710" t="s">
        <v>17</v>
      </c>
      <c r="U37" s="711">
        <f t="shared" si="13"/>
        <v>100</v>
      </c>
      <c r="V37" s="710" t="s">
        <v>17</v>
      </c>
      <c r="W37" s="711">
        <f t="shared" si="14"/>
        <v>100</v>
      </c>
      <c r="X37" s="712"/>
      <c r="Y37" s="332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3" t="s">
        <v>2386</v>
      </c>
      <c r="Q38" s="1536" t="str">
        <f t="shared" si="11"/>
        <v>业态</v>
      </c>
      <c r="R38" s="714" t="s">
        <v>17</v>
      </c>
      <c r="S38" s="715">
        <f t="shared" si="12"/>
        <v>100</v>
      </c>
      <c r="T38" s="714" t="s">
        <v>17</v>
      </c>
      <c r="U38" s="715">
        <f t="shared" si="13"/>
        <v>100</v>
      </c>
      <c r="V38" s="714" t="s">
        <v>17</v>
      </c>
      <c r="W38" s="715">
        <f t="shared" si="14"/>
        <v>100</v>
      </c>
      <c r="X38" s="1539"/>
      <c r="Y38" s="332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3"/>
      <c r="Q39" s="1536" t="str">
        <f t="shared" si="11"/>
        <v>层高</v>
      </c>
      <c r="R39" s="714" t="s">
        <v>17</v>
      </c>
      <c r="S39" s="715">
        <f t="shared" si="12"/>
        <v>100</v>
      </c>
      <c r="T39" s="714" t="s">
        <v>17</v>
      </c>
      <c r="U39" s="715">
        <f t="shared" si="13"/>
        <v>100</v>
      </c>
      <c r="V39" s="714" t="s">
        <v>17</v>
      </c>
      <c r="W39" s="715">
        <f t="shared" si="14"/>
        <v>100</v>
      </c>
      <c r="X39" s="1539"/>
      <c r="Y39" s="332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3"/>
      <c r="Q40" s="1536" t="str">
        <f t="shared" si="11"/>
        <v>单套建筑面积</v>
      </c>
      <c r="R40" s="714" t="s">
        <v>17</v>
      </c>
      <c r="S40" s="715">
        <f t="shared" si="12"/>
        <v>100</v>
      </c>
      <c r="T40" s="714" t="s">
        <v>17</v>
      </c>
      <c r="U40" s="715">
        <f t="shared" si="13"/>
        <v>100</v>
      </c>
      <c r="V40" s="714" t="s">
        <v>17</v>
      </c>
      <c r="W40" s="715">
        <f t="shared" si="14"/>
        <v>100</v>
      </c>
      <c r="X40" s="1539"/>
      <c r="Y40" s="332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3"/>
      <c r="Q41" s="716" t="str">
        <f t="shared" si="11"/>
        <v>进深比</v>
      </c>
      <c r="R41" s="717" t="s">
        <v>17</v>
      </c>
      <c r="S41" s="718">
        <f t="shared" si="12"/>
        <v>100</v>
      </c>
      <c r="T41" s="717" t="s">
        <v>17</v>
      </c>
      <c r="U41" s="718">
        <f t="shared" si="13"/>
        <v>100</v>
      </c>
      <c r="V41" s="717" t="s">
        <v>17</v>
      </c>
      <c r="W41" s="718">
        <f t="shared" si="14"/>
        <v>100</v>
      </c>
      <c r="X41" s="719"/>
      <c r="Y41" s="332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3"/>
      <c r="Q42" s="1536" t="str">
        <f t="shared" si="11"/>
        <v>内部装修</v>
      </c>
      <c r="R42" s="714" t="s">
        <v>17</v>
      </c>
      <c r="S42" s="715">
        <f t="shared" si="12"/>
        <v>100</v>
      </c>
      <c r="T42" s="714" t="s">
        <v>17</v>
      </c>
      <c r="U42" s="715">
        <f t="shared" si="13"/>
        <v>100</v>
      </c>
      <c r="V42" s="714" t="s">
        <v>17</v>
      </c>
      <c r="W42" s="715">
        <f t="shared" si="14"/>
        <v>100</v>
      </c>
      <c r="X42" s="1539"/>
      <c r="Y42" s="332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3"/>
      <c r="Q43" s="1536" t="str">
        <f t="shared" si="11"/>
        <v>内部装修维护情况</v>
      </c>
      <c r="R43" s="714" t="s">
        <v>17</v>
      </c>
      <c r="S43" s="715">
        <f t="shared" si="12"/>
        <v>100</v>
      </c>
      <c r="T43" s="714" t="s">
        <v>17</v>
      </c>
      <c r="U43" s="715">
        <f t="shared" si="13"/>
        <v>100</v>
      </c>
      <c r="V43" s="714" t="s">
        <v>17</v>
      </c>
      <c r="W43" s="715">
        <f t="shared" si="14"/>
        <v>100</v>
      </c>
      <c r="X43" s="1539"/>
      <c r="Y43" s="332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3"/>
      <c r="Q44" s="1527">
        <f t="shared" si="11"/>
        <v>111</v>
      </c>
      <c r="R44" s="710" t="s">
        <v>17</v>
      </c>
      <c r="S44" s="711">
        <f t="shared" si="12"/>
        <v>100</v>
      </c>
      <c r="T44" s="710" t="s">
        <v>17</v>
      </c>
      <c r="U44" s="711">
        <f t="shared" si="13"/>
        <v>100</v>
      </c>
      <c r="V44" s="710" t="s">
        <v>17</v>
      </c>
      <c r="W44" s="711">
        <f t="shared" si="14"/>
        <v>100</v>
      </c>
      <c r="X44" s="712"/>
      <c r="Y44" s="332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3"/>
      <c r="Q45" s="1536">
        <f t="shared" si="11"/>
        <v>111</v>
      </c>
      <c r="R45" s="714" t="s">
        <v>17</v>
      </c>
      <c r="S45" s="715">
        <f t="shared" si="12"/>
        <v>100</v>
      </c>
      <c r="T45" s="714" t="s">
        <v>17</v>
      </c>
      <c r="U45" s="715">
        <f t="shared" si="13"/>
        <v>100</v>
      </c>
      <c r="V45" s="714" t="s">
        <v>17</v>
      </c>
      <c r="W45" s="715">
        <f t="shared" si="14"/>
        <v>100</v>
      </c>
      <c r="X45" s="1539"/>
      <c r="Y45" s="33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8" t="str">
        <f>A47</f>
        <v>成交单价（元/平方米）</v>
      </c>
      <c r="Q47" s="3318"/>
      <c r="R47" s="3313">
        <f>E47</f>
        <v>0</v>
      </c>
      <c r="S47" s="3313"/>
      <c r="T47" s="3313">
        <f>G47</f>
        <v>0</v>
      </c>
      <c r="U47" s="3313"/>
      <c r="V47" s="3313">
        <f>I47</f>
        <v>0</v>
      </c>
      <c r="W47" s="3313"/>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35" t="s">
        <v>2472</v>
      </c>
      <c r="Q4" s="3336"/>
      <c r="R4" s="3330" t="s">
        <v>2468</v>
      </c>
      <c r="S4" s="3331"/>
      <c r="T4" s="3330" t="s">
        <v>2469</v>
      </c>
      <c r="U4" s="3331"/>
      <c r="V4" s="3339" t="s">
        <v>2470</v>
      </c>
      <c r="W4" s="3339"/>
      <c r="X4" s="2144"/>
      <c r="Y4" s="3330" t="s">
        <v>2472</v>
      </c>
      <c r="Z4" s="3331"/>
      <c r="AA4" s="3329" t="s">
        <v>2468</v>
      </c>
      <c r="AB4" s="3329" t="s">
        <v>2469</v>
      </c>
      <c r="AC4" s="3332" t="s">
        <v>2470</v>
      </c>
    </row>
    <row r="5" spans="1:29" ht="15">
      <c r="A5" s="364"/>
      <c r="B5" s="365"/>
      <c r="C5" s="3294" t="s">
        <v>2363</v>
      </c>
      <c r="D5" s="3295"/>
      <c r="E5" s="3292" t="s">
        <v>2364</v>
      </c>
      <c r="F5" s="3293"/>
      <c r="G5" s="3294" t="s">
        <v>2365</v>
      </c>
      <c r="H5" s="3295"/>
      <c r="I5" s="3294" t="s">
        <v>2366</v>
      </c>
      <c r="J5" s="3295"/>
      <c r="K5" s="567"/>
      <c r="L5" s="2944"/>
      <c r="M5" s="2945"/>
      <c r="N5" s="2945"/>
      <c r="O5" s="2945"/>
      <c r="P5" s="3337"/>
      <c r="Q5" s="3308"/>
      <c r="R5" s="3290"/>
      <c r="S5" s="3291"/>
      <c r="T5" s="3290"/>
      <c r="U5" s="3291"/>
      <c r="V5" s="3313"/>
      <c r="W5" s="3313"/>
      <c r="X5" s="1539"/>
      <c r="Y5" s="3290"/>
      <c r="Z5" s="3291"/>
      <c r="AA5" s="3284"/>
      <c r="AB5" s="3284"/>
      <c r="AC5" s="3333"/>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38"/>
      <c r="Q6" s="3310"/>
      <c r="R6" s="3290"/>
      <c r="S6" s="3291"/>
      <c r="T6" s="3311"/>
      <c r="U6" s="3312"/>
      <c r="V6" s="3313"/>
      <c r="W6" s="3313"/>
      <c r="X6" s="1539"/>
      <c r="Y6" s="3311"/>
      <c r="Z6" s="3312"/>
      <c r="AA6" s="3285"/>
      <c r="AB6" s="3285"/>
      <c r="AC6" s="3334"/>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0"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0" t="s">
        <v>2373</v>
      </c>
      <c r="Q8" s="3287"/>
      <c r="R8" s="710" t="s">
        <v>17</v>
      </c>
      <c r="S8" s="711">
        <f t="shared" si="0"/>
        <v>0</v>
      </c>
      <c r="T8" s="710" t="s">
        <v>17</v>
      </c>
      <c r="U8" s="711">
        <f t="shared" si="1"/>
        <v>0</v>
      </c>
      <c r="V8" s="710" t="s">
        <v>17</v>
      </c>
      <c r="W8" s="711">
        <f t="shared" si="2"/>
        <v>0</v>
      </c>
      <c r="X8" s="712"/>
      <c r="Y8" s="3286" t="s">
        <v>2373</v>
      </c>
      <c r="Z8" s="328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7" t="s">
        <v>2381</v>
      </c>
      <c r="Q15" s="1536" t="str">
        <f t="shared" si="6"/>
        <v>办公集聚程度</v>
      </c>
      <c r="R15" s="714" t="s">
        <v>17</v>
      </c>
      <c r="S15" s="715">
        <f t="shared" si="0"/>
        <v>100</v>
      </c>
      <c r="T15" s="714" t="s">
        <v>17</v>
      </c>
      <c r="U15" s="715">
        <f t="shared" si="1"/>
        <v>100</v>
      </c>
      <c r="V15" s="714" t="s">
        <v>17</v>
      </c>
      <c r="W15" s="715">
        <f t="shared" si="2"/>
        <v>100</v>
      </c>
      <c r="X15" s="1539"/>
      <c r="Y15" s="332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8"/>
      <c r="Q22" s="1536"/>
      <c r="R22" s="714"/>
      <c r="S22" s="715"/>
      <c r="T22" s="714"/>
      <c r="U22" s="715"/>
      <c r="V22" s="714"/>
      <c r="W22" s="715"/>
      <c r="X22" s="1539"/>
      <c r="Y22" s="3321"/>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8"/>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8"/>
      <c r="Q25" s="1536" t="str">
        <f>B25</f>
        <v>毗邻道路的类型与等级</v>
      </c>
      <c r="R25" s="714" t="s">
        <v>17</v>
      </c>
      <c r="S25" s="715">
        <f>F25</f>
        <v>100</v>
      </c>
      <c r="T25" s="714" t="s">
        <v>17</v>
      </c>
      <c r="U25" s="715">
        <f>H25</f>
        <v>100</v>
      </c>
      <c r="V25" s="714" t="s">
        <v>17</v>
      </c>
      <c r="W25" s="715">
        <f>J25</f>
        <v>100</v>
      </c>
      <c r="X25" s="1539"/>
      <c r="Y25" s="33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8"/>
      <c r="Q26" s="1536"/>
      <c r="R26" s="714"/>
      <c r="S26" s="715"/>
      <c r="T26" s="714"/>
      <c r="U26" s="715"/>
      <c r="V26" s="714"/>
      <c r="W26" s="715"/>
      <c r="X26" s="1539"/>
      <c r="Y26" s="332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8"/>
      <c r="Q27" s="1536" t="str">
        <f t="shared" ref="Q27:Q47" si="11">B27</f>
        <v>楼层</v>
      </c>
      <c r="R27" s="714" t="s">
        <v>17</v>
      </c>
      <c r="S27" s="715">
        <f>F27</f>
        <v>100</v>
      </c>
      <c r="T27" s="714" t="s">
        <v>17</v>
      </c>
      <c r="U27" s="715">
        <f>H27</f>
        <v>100</v>
      </c>
      <c r="V27" s="714" t="s">
        <v>17</v>
      </c>
      <c r="W27" s="715">
        <f>J27</f>
        <v>100</v>
      </c>
      <c r="X27" s="1539"/>
      <c r="Y27" s="332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8"/>
      <c r="Q28" s="1527" t="str">
        <f t="shared" si="11"/>
        <v>朝向</v>
      </c>
      <c r="R28" s="710" t="s">
        <v>17</v>
      </c>
      <c r="S28" s="711">
        <f>F28</f>
        <v>100</v>
      </c>
      <c r="T28" s="710" t="s">
        <v>17</v>
      </c>
      <c r="U28" s="711">
        <f>H28</f>
        <v>100</v>
      </c>
      <c r="V28" s="710" t="s">
        <v>17</v>
      </c>
      <c r="W28" s="711">
        <f>J28</f>
        <v>100</v>
      </c>
      <c r="X28" s="712"/>
      <c r="Y28" s="33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8"/>
      <c r="Q29" s="1536">
        <f t="shared" si="11"/>
        <v>111</v>
      </c>
      <c r="R29" s="714" t="s">
        <v>17</v>
      </c>
      <c r="S29" s="715">
        <f t="shared" ref="S29:S47" si="12">F29</f>
        <v>100</v>
      </c>
      <c r="T29" s="714" t="s">
        <v>17</v>
      </c>
      <c r="U29" s="715">
        <f t="shared" ref="U29:U47" si="13">H29</f>
        <v>100</v>
      </c>
      <c r="V29" s="714" t="s">
        <v>17</v>
      </c>
      <c r="W29" s="715">
        <f t="shared" ref="W29:W47" si="14">J29</f>
        <v>100</v>
      </c>
      <c r="X29" s="1539"/>
      <c r="Y29" s="33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8"/>
      <c r="Q32" s="1536">
        <f t="shared" si="11"/>
        <v>111</v>
      </c>
      <c r="R32" s="714" t="s">
        <v>17</v>
      </c>
      <c r="S32" s="715">
        <f t="shared" si="12"/>
        <v>100</v>
      </c>
      <c r="T32" s="714" t="s">
        <v>17</v>
      </c>
      <c r="U32" s="715">
        <f t="shared" si="13"/>
        <v>100</v>
      </c>
      <c r="V32" s="714" t="s">
        <v>17</v>
      </c>
      <c r="W32" s="715">
        <f t="shared" si="14"/>
        <v>100</v>
      </c>
      <c r="X32" s="1539"/>
      <c r="Y32" s="332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2" t="s">
        <v>2386</v>
      </c>
      <c r="Q33" s="1536" t="str">
        <f t="shared" si="11"/>
        <v>建筑类型</v>
      </c>
      <c r="R33" s="714" t="s">
        <v>17</v>
      </c>
      <c r="S33" s="715">
        <f t="shared" si="12"/>
        <v>100</v>
      </c>
      <c r="T33" s="714" t="s">
        <v>17</v>
      </c>
      <c r="U33" s="715">
        <f t="shared" si="13"/>
        <v>100</v>
      </c>
      <c r="V33" s="714" t="s">
        <v>17</v>
      </c>
      <c r="W33" s="715">
        <f t="shared" si="14"/>
        <v>100</v>
      </c>
      <c r="X33" s="1539"/>
      <c r="Y33" s="332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3"/>
      <c r="Q34" s="716" t="str">
        <f t="shared" si="11"/>
        <v>项目建筑规模</v>
      </c>
      <c r="R34" s="717" t="s">
        <v>17</v>
      </c>
      <c r="S34" s="718" t="e">
        <f t="shared" si="12"/>
        <v>#N/A</v>
      </c>
      <c r="T34" s="717" t="s">
        <v>17</v>
      </c>
      <c r="U34" s="718" t="e">
        <f t="shared" si="13"/>
        <v>#N/A</v>
      </c>
      <c r="V34" s="717" t="s">
        <v>17</v>
      </c>
      <c r="W34" s="718" t="e">
        <f t="shared" si="14"/>
        <v>#N/A</v>
      </c>
      <c r="X34" s="719"/>
      <c r="Y34" s="332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3"/>
      <c r="Q35" s="1536" t="str">
        <f t="shared" si="11"/>
        <v>建筑结构</v>
      </c>
      <c r="R35" s="714" t="s">
        <v>17</v>
      </c>
      <c r="S35" s="715">
        <f t="shared" si="12"/>
        <v>100</v>
      </c>
      <c r="T35" s="714" t="s">
        <v>17</v>
      </c>
      <c r="U35" s="715">
        <f t="shared" si="13"/>
        <v>100</v>
      </c>
      <c r="V35" s="714" t="s">
        <v>17</v>
      </c>
      <c r="W35" s="715">
        <f t="shared" si="14"/>
        <v>100</v>
      </c>
      <c r="X35" s="1539"/>
      <c r="Y35" s="332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3"/>
      <c r="Q36" s="1536" t="str">
        <f t="shared" si="11"/>
        <v>公共部分装修</v>
      </c>
      <c r="R36" s="714" t="s">
        <v>17</v>
      </c>
      <c r="S36" s="715">
        <f t="shared" si="12"/>
        <v>100</v>
      </c>
      <c r="T36" s="714" t="s">
        <v>17</v>
      </c>
      <c r="U36" s="715">
        <f t="shared" si="13"/>
        <v>100</v>
      </c>
      <c r="V36" s="714" t="s">
        <v>17</v>
      </c>
      <c r="W36" s="715">
        <f t="shared" si="14"/>
        <v>100</v>
      </c>
      <c r="X36" s="1539"/>
      <c r="Y36" s="332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3"/>
      <c r="Q37" s="1536" t="str">
        <f t="shared" si="11"/>
        <v>成新度</v>
      </c>
      <c r="R37" s="714" t="s">
        <v>17</v>
      </c>
      <c r="S37" s="715" t="e">
        <f t="shared" si="12"/>
        <v>#N/A</v>
      </c>
      <c r="T37" s="714" t="s">
        <v>17</v>
      </c>
      <c r="U37" s="715" t="e">
        <f t="shared" si="13"/>
        <v>#N/A</v>
      </c>
      <c r="V37" s="714" t="s">
        <v>17</v>
      </c>
      <c r="W37" s="715" t="e">
        <f t="shared" si="14"/>
        <v>#N/A</v>
      </c>
      <c r="X37" s="1539"/>
      <c r="Y37" s="332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3"/>
      <c r="Q38" s="1527" t="str">
        <f t="shared" si="11"/>
        <v>写字楼等级</v>
      </c>
      <c r="R38" s="710" t="s">
        <v>17</v>
      </c>
      <c r="S38" s="711">
        <f t="shared" si="12"/>
        <v>100</v>
      </c>
      <c r="T38" s="710" t="s">
        <v>17</v>
      </c>
      <c r="U38" s="711">
        <f t="shared" si="13"/>
        <v>100</v>
      </c>
      <c r="V38" s="710" t="s">
        <v>17</v>
      </c>
      <c r="W38" s="711">
        <f t="shared" si="14"/>
        <v>100</v>
      </c>
      <c r="X38" s="712"/>
      <c r="Y38" s="332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3" t="s">
        <v>2386</v>
      </c>
      <c r="Q39" s="1536" t="str">
        <f t="shared" si="11"/>
        <v>物业管理</v>
      </c>
      <c r="R39" s="714" t="s">
        <v>17</v>
      </c>
      <c r="S39" s="715">
        <f t="shared" si="12"/>
        <v>100</v>
      </c>
      <c r="T39" s="714" t="s">
        <v>17</v>
      </c>
      <c r="U39" s="715">
        <f t="shared" si="13"/>
        <v>100</v>
      </c>
      <c r="V39" s="714" t="s">
        <v>17</v>
      </c>
      <c r="W39" s="715">
        <f t="shared" si="14"/>
        <v>100</v>
      </c>
      <c r="X39" s="1539"/>
      <c r="Y39" s="332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3"/>
      <c r="Q40" s="1536" t="str">
        <f t="shared" si="11"/>
        <v>市政基础设施</v>
      </c>
      <c r="R40" s="714" t="s">
        <v>17</v>
      </c>
      <c r="S40" s="715">
        <f t="shared" si="12"/>
        <v>100</v>
      </c>
      <c r="T40" s="714" t="s">
        <v>17</v>
      </c>
      <c r="U40" s="715">
        <f t="shared" si="13"/>
        <v>100</v>
      </c>
      <c r="V40" s="714" t="s">
        <v>17</v>
      </c>
      <c r="W40" s="715">
        <f t="shared" si="14"/>
        <v>100</v>
      </c>
      <c r="X40" s="1539"/>
      <c r="Y40" s="332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3"/>
      <c r="Q41" s="1536" t="str">
        <f t="shared" si="11"/>
        <v>层高</v>
      </c>
      <c r="R41" s="714" t="s">
        <v>17</v>
      </c>
      <c r="S41" s="715">
        <f t="shared" si="12"/>
        <v>100</v>
      </c>
      <c r="T41" s="714" t="s">
        <v>17</v>
      </c>
      <c r="U41" s="715">
        <f t="shared" si="13"/>
        <v>100</v>
      </c>
      <c r="V41" s="714" t="s">
        <v>17</v>
      </c>
      <c r="W41" s="715">
        <f t="shared" si="14"/>
        <v>100</v>
      </c>
      <c r="X41" s="1539"/>
      <c r="Y41" s="332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3"/>
      <c r="Q42" s="716" t="str">
        <f t="shared" si="11"/>
        <v>单套建筑面积</v>
      </c>
      <c r="R42" s="717" t="s">
        <v>17</v>
      </c>
      <c r="S42" s="718">
        <f t="shared" si="12"/>
        <v>100</v>
      </c>
      <c r="T42" s="717" t="s">
        <v>17</v>
      </c>
      <c r="U42" s="718">
        <f t="shared" si="13"/>
        <v>100</v>
      </c>
      <c r="V42" s="717" t="s">
        <v>17</v>
      </c>
      <c r="W42" s="718">
        <f t="shared" si="14"/>
        <v>100</v>
      </c>
      <c r="X42" s="719"/>
      <c r="Y42" s="332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3"/>
      <c r="Q43" s="1536" t="str">
        <f t="shared" si="11"/>
        <v>内部装修</v>
      </c>
      <c r="R43" s="714" t="s">
        <v>17</v>
      </c>
      <c r="S43" s="715">
        <f t="shared" si="12"/>
        <v>100</v>
      </c>
      <c r="T43" s="714" t="s">
        <v>17</v>
      </c>
      <c r="U43" s="715">
        <f t="shared" si="13"/>
        <v>100</v>
      </c>
      <c r="V43" s="714" t="s">
        <v>17</v>
      </c>
      <c r="W43" s="715">
        <f t="shared" si="14"/>
        <v>100</v>
      </c>
      <c r="X43" s="1539"/>
      <c r="Y43" s="332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3"/>
      <c r="Q44" s="1536" t="str">
        <f t="shared" si="11"/>
        <v>内部装修维护情况</v>
      </c>
      <c r="R44" s="714" t="s">
        <v>17</v>
      </c>
      <c r="S44" s="715">
        <f t="shared" si="12"/>
        <v>100</v>
      </c>
      <c r="T44" s="714" t="s">
        <v>17</v>
      </c>
      <c r="U44" s="715">
        <f t="shared" si="13"/>
        <v>100</v>
      </c>
      <c r="V44" s="714" t="s">
        <v>17</v>
      </c>
      <c r="W44" s="715">
        <f t="shared" si="14"/>
        <v>100</v>
      </c>
      <c r="X44" s="1539"/>
      <c r="Y44" s="33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3"/>
      <c r="Q45" s="1527">
        <f t="shared" si="11"/>
        <v>111</v>
      </c>
      <c r="R45" s="710" t="s">
        <v>17</v>
      </c>
      <c r="S45" s="711">
        <f t="shared" si="12"/>
        <v>100</v>
      </c>
      <c r="T45" s="710" t="s">
        <v>17</v>
      </c>
      <c r="U45" s="711">
        <f t="shared" si="13"/>
        <v>100</v>
      </c>
      <c r="V45" s="710" t="s">
        <v>17</v>
      </c>
      <c r="W45" s="711">
        <f t="shared" si="14"/>
        <v>100</v>
      </c>
      <c r="X45" s="712"/>
      <c r="Y45" s="33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4"/>
      <c r="Q47" s="1536">
        <f t="shared" si="11"/>
        <v>111</v>
      </c>
      <c r="R47" s="714" t="s">
        <v>17</v>
      </c>
      <c r="S47" s="715">
        <f t="shared" si="12"/>
        <v>100</v>
      </c>
      <c r="T47" s="714" t="s">
        <v>17</v>
      </c>
      <c r="U47" s="715">
        <f t="shared" si="13"/>
        <v>100</v>
      </c>
      <c r="V47" s="714" t="s">
        <v>17</v>
      </c>
      <c r="W47" s="715">
        <f t="shared" si="14"/>
        <v>100</v>
      </c>
      <c r="X47" s="1539"/>
      <c r="Y47" s="332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00" t="str">
        <f>A48</f>
        <v>成交单价（元/平方米）</v>
      </c>
      <c r="Q48" s="3318"/>
      <c r="R48" s="3319">
        <f>E48</f>
        <v>0</v>
      </c>
      <c r="S48" s="3319"/>
      <c r="T48" s="3319">
        <f>G48</f>
        <v>0</v>
      </c>
      <c r="U48" s="3319"/>
      <c r="V48" s="3319">
        <f>I48</f>
        <v>0</v>
      </c>
      <c r="W48" s="3319"/>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300"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4704.8599999999997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1044"/>
      <c r="M4" s="1045"/>
      <c r="N4" s="1045"/>
      <c r="O4" s="10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1044"/>
      <c r="M5" s="1045"/>
      <c r="N5" s="1045"/>
      <c r="O5" s="10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1044"/>
      <c r="M6" s="1045"/>
      <c r="N6" s="1045"/>
      <c r="O6" s="10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1"/>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1"/>
      <c r="Q18" s="1536"/>
      <c r="R18" s="714"/>
      <c r="S18" s="715"/>
      <c r="T18" s="714"/>
      <c r="U18" s="715"/>
      <c r="V18" s="714"/>
      <c r="W18" s="715"/>
      <c r="X18" s="1539"/>
      <c r="Y18" s="332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1"/>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1"/>
      <c r="Q20" s="1536"/>
      <c r="R20" s="714"/>
      <c r="S20" s="715"/>
      <c r="T20" s="714"/>
      <c r="U20" s="715"/>
      <c r="V20" s="714"/>
      <c r="W20" s="715"/>
      <c r="X20" s="1539"/>
      <c r="Y20" s="332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1"/>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1"/>
      <c r="Q22" s="1536"/>
      <c r="R22" s="714"/>
      <c r="S22" s="715"/>
      <c r="T22" s="714"/>
      <c r="U22" s="715"/>
      <c r="V22" s="714"/>
      <c r="W22" s="715"/>
      <c r="X22" s="1539"/>
      <c r="Y22" s="332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1"/>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1"/>
      <c r="Q24" s="1536"/>
      <c r="R24" s="714"/>
      <c r="S24" s="715"/>
      <c r="T24" s="714"/>
      <c r="U24" s="715"/>
      <c r="V24" s="714"/>
      <c r="W24" s="715"/>
      <c r="X24" s="1539"/>
      <c r="Y24" s="33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1"/>
      <c r="Q25" s="1536">
        <f>B25</f>
        <v>111</v>
      </c>
      <c r="R25" s="714" t="s">
        <v>17</v>
      </c>
      <c r="S25" s="715">
        <f>F25</f>
        <v>100</v>
      </c>
      <c r="T25" s="714" t="s">
        <v>17</v>
      </c>
      <c r="U25" s="715">
        <f>H25</f>
        <v>100</v>
      </c>
      <c r="V25" s="714" t="s">
        <v>17</v>
      </c>
      <c r="W25" s="715">
        <f>J25</f>
        <v>100</v>
      </c>
      <c r="X25" s="1539"/>
      <c r="Y25" s="33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1"/>
      <c r="Q26" s="1536">
        <f t="shared" ref="Q26:Q40" si="11">B26</f>
        <v>111</v>
      </c>
      <c r="R26" s="714" t="s">
        <v>17</v>
      </c>
      <c r="S26" s="715">
        <f>F26</f>
        <v>100</v>
      </c>
      <c r="T26" s="714" t="s">
        <v>17</v>
      </c>
      <c r="U26" s="715">
        <f>H26</f>
        <v>100</v>
      </c>
      <c r="V26" s="714" t="s">
        <v>17</v>
      </c>
      <c r="W26" s="715">
        <f>J26</f>
        <v>100</v>
      </c>
      <c r="X26" s="1539"/>
      <c r="Y26" s="33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1"/>
      <c r="Q27" s="1527">
        <f t="shared" si="11"/>
        <v>111</v>
      </c>
      <c r="R27" s="710" t="s">
        <v>17</v>
      </c>
      <c r="S27" s="711">
        <f>F27</f>
        <v>100</v>
      </c>
      <c r="T27" s="710" t="s">
        <v>17</v>
      </c>
      <c r="U27" s="711">
        <f>H27</f>
        <v>100</v>
      </c>
      <c r="V27" s="710" t="s">
        <v>17</v>
      </c>
      <c r="W27" s="711">
        <f>J27</f>
        <v>100</v>
      </c>
      <c r="X27" s="712"/>
      <c r="Y27" s="33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1"/>
      <c r="Q28" s="1536">
        <f t="shared" si="11"/>
        <v>111</v>
      </c>
      <c r="R28" s="714" t="s">
        <v>17</v>
      </c>
      <c r="S28" s="715">
        <f t="shared" ref="S28:S40" si="12">F28</f>
        <v>100</v>
      </c>
      <c r="T28" s="714" t="s">
        <v>17</v>
      </c>
      <c r="U28" s="715">
        <f t="shared" ref="U28:U40" si="13">H28</f>
        <v>100</v>
      </c>
      <c r="V28" s="714" t="s">
        <v>17</v>
      </c>
      <c r="W28" s="715">
        <f t="shared" ref="W28:W40" si="14">J28</f>
        <v>100</v>
      </c>
      <c r="X28" s="1539"/>
      <c r="Y28" s="332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4" t="s">
        <v>2386</v>
      </c>
      <c r="Q29" s="1536" t="str">
        <f t="shared" si="11"/>
        <v>建筑类型</v>
      </c>
      <c r="R29" s="714" t="s">
        <v>17</v>
      </c>
      <c r="S29" s="715">
        <f t="shared" si="12"/>
        <v>100</v>
      </c>
      <c r="T29" s="714" t="s">
        <v>17</v>
      </c>
      <c r="U29" s="715">
        <f t="shared" si="13"/>
        <v>100</v>
      </c>
      <c r="V29" s="714" t="s">
        <v>17</v>
      </c>
      <c r="W29" s="715">
        <f t="shared" si="14"/>
        <v>100</v>
      </c>
      <c r="X29" s="1539"/>
      <c r="Y29" s="332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5"/>
      <c r="Q30" s="716" t="str">
        <f t="shared" si="11"/>
        <v>项目建筑规模</v>
      </c>
      <c r="R30" s="717" t="s">
        <v>17</v>
      </c>
      <c r="S30" s="718" t="e">
        <f t="shared" si="12"/>
        <v>#N/A</v>
      </c>
      <c r="T30" s="717" t="s">
        <v>17</v>
      </c>
      <c r="U30" s="718" t="e">
        <f t="shared" si="13"/>
        <v>#N/A</v>
      </c>
      <c r="V30" s="717" t="s">
        <v>17</v>
      </c>
      <c r="W30" s="718" t="e">
        <f t="shared" si="14"/>
        <v>#N/A</v>
      </c>
      <c r="X30" s="719"/>
      <c r="Y30" s="332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5"/>
      <c r="Q31" s="1536" t="str">
        <f t="shared" si="11"/>
        <v>建筑结构</v>
      </c>
      <c r="R31" s="714" t="s">
        <v>17</v>
      </c>
      <c r="S31" s="715">
        <f t="shared" si="12"/>
        <v>100</v>
      </c>
      <c r="T31" s="714" t="s">
        <v>17</v>
      </c>
      <c r="U31" s="715">
        <f t="shared" si="13"/>
        <v>100</v>
      </c>
      <c r="V31" s="714" t="s">
        <v>17</v>
      </c>
      <c r="W31" s="715">
        <f t="shared" si="14"/>
        <v>100</v>
      </c>
      <c r="X31" s="1539"/>
      <c r="Y31" s="332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5"/>
      <c r="Q32" s="1536" t="str">
        <f t="shared" si="11"/>
        <v>公共部分装修</v>
      </c>
      <c r="R32" s="714" t="s">
        <v>17</v>
      </c>
      <c r="S32" s="715">
        <f t="shared" si="12"/>
        <v>100</v>
      </c>
      <c r="T32" s="714" t="s">
        <v>17</v>
      </c>
      <c r="U32" s="715">
        <f t="shared" si="13"/>
        <v>100</v>
      </c>
      <c r="V32" s="714" t="s">
        <v>17</v>
      </c>
      <c r="W32" s="715">
        <f t="shared" si="14"/>
        <v>100</v>
      </c>
      <c r="X32" s="1539"/>
      <c r="Y32" s="332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5"/>
      <c r="Q33" s="1536" t="str">
        <f t="shared" si="11"/>
        <v>成新度</v>
      </c>
      <c r="R33" s="714" t="s">
        <v>17</v>
      </c>
      <c r="S33" s="715" t="e">
        <f t="shared" si="12"/>
        <v>#N/A</v>
      </c>
      <c r="T33" s="714" t="s">
        <v>17</v>
      </c>
      <c r="U33" s="715" t="e">
        <f t="shared" si="13"/>
        <v>#N/A</v>
      </c>
      <c r="V33" s="714" t="s">
        <v>17</v>
      </c>
      <c r="W33" s="715" t="e">
        <f t="shared" si="14"/>
        <v>#N/A</v>
      </c>
      <c r="X33" s="1539"/>
      <c r="Y33" s="332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5"/>
      <c r="Q34" s="1527" t="str">
        <f t="shared" si="11"/>
        <v>物业管理</v>
      </c>
      <c r="R34" s="710" t="s">
        <v>17</v>
      </c>
      <c r="S34" s="711">
        <f t="shared" si="12"/>
        <v>100</v>
      </c>
      <c r="T34" s="710" t="s">
        <v>17</v>
      </c>
      <c r="U34" s="711">
        <f t="shared" si="13"/>
        <v>100</v>
      </c>
      <c r="V34" s="710" t="s">
        <v>17</v>
      </c>
      <c r="W34" s="711">
        <f t="shared" si="14"/>
        <v>100</v>
      </c>
      <c r="X34" s="712"/>
      <c r="Y34" s="33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5" t="s">
        <v>2386</v>
      </c>
      <c r="Q35" s="1536" t="str">
        <f t="shared" si="11"/>
        <v>市政基础设施</v>
      </c>
      <c r="R35" s="714" t="s">
        <v>17</v>
      </c>
      <c r="S35" s="715">
        <f t="shared" si="12"/>
        <v>100</v>
      </c>
      <c r="T35" s="714" t="s">
        <v>17</v>
      </c>
      <c r="U35" s="715">
        <f t="shared" si="13"/>
        <v>100</v>
      </c>
      <c r="V35" s="714" t="s">
        <v>17</v>
      </c>
      <c r="W35" s="715">
        <f t="shared" si="14"/>
        <v>100</v>
      </c>
      <c r="X35" s="1539"/>
      <c r="Y35" s="332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5"/>
      <c r="Q36" s="1536" t="str">
        <f t="shared" si="11"/>
        <v>内部装修</v>
      </c>
      <c r="R36" s="714" t="s">
        <v>17</v>
      </c>
      <c r="S36" s="715">
        <f t="shared" si="12"/>
        <v>100</v>
      </c>
      <c r="T36" s="714" t="s">
        <v>17</v>
      </c>
      <c r="U36" s="715">
        <f t="shared" si="13"/>
        <v>100</v>
      </c>
      <c r="V36" s="714" t="s">
        <v>17</v>
      </c>
      <c r="W36" s="715">
        <f t="shared" si="14"/>
        <v>100</v>
      </c>
      <c r="X36" s="1539"/>
      <c r="Y36" s="332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5"/>
      <c r="Q37" s="1536" t="str">
        <f t="shared" si="11"/>
        <v>内部装修状况</v>
      </c>
      <c r="R37" s="714" t="s">
        <v>17</v>
      </c>
      <c r="S37" s="715">
        <f t="shared" si="12"/>
        <v>100</v>
      </c>
      <c r="T37" s="714" t="s">
        <v>17</v>
      </c>
      <c r="U37" s="715">
        <f t="shared" si="13"/>
        <v>100</v>
      </c>
      <c r="V37" s="714" t="s">
        <v>17</v>
      </c>
      <c r="W37" s="715">
        <f t="shared" si="14"/>
        <v>100</v>
      </c>
      <c r="X37" s="1539"/>
      <c r="Y37" s="33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5"/>
      <c r="Q38" s="716">
        <f t="shared" si="11"/>
        <v>111</v>
      </c>
      <c r="R38" s="717" t="s">
        <v>17</v>
      </c>
      <c r="S38" s="718">
        <f t="shared" si="12"/>
        <v>100</v>
      </c>
      <c r="T38" s="717" t="s">
        <v>17</v>
      </c>
      <c r="U38" s="718">
        <f t="shared" si="13"/>
        <v>100</v>
      </c>
      <c r="V38" s="717" t="s">
        <v>17</v>
      </c>
      <c r="W38" s="718">
        <f t="shared" si="14"/>
        <v>100</v>
      </c>
      <c r="X38" s="719"/>
      <c r="Y38" s="33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5"/>
      <c r="Q39" s="1536">
        <f t="shared" si="11"/>
        <v>111</v>
      </c>
      <c r="R39" s="714" t="s">
        <v>17</v>
      </c>
      <c r="S39" s="715">
        <f t="shared" si="12"/>
        <v>100</v>
      </c>
      <c r="T39" s="714" t="s">
        <v>17</v>
      </c>
      <c r="U39" s="715">
        <f t="shared" si="13"/>
        <v>100</v>
      </c>
      <c r="V39" s="714" t="s">
        <v>17</v>
      </c>
      <c r="W39" s="715">
        <f t="shared" si="14"/>
        <v>100</v>
      </c>
      <c r="X39" s="1539"/>
      <c r="Y39" s="33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6"/>
      <c r="Q40" s="1536">
        <f t="shared" si="11"/>
        <v>111</v>
      </c>
      <c r="R40" s="714" t="s">
        <v>17</v>
      </c>
      <c r="S40" s="715">
        <f t="shared" si="12"/>
        <v>100</v>
      </c>
      <c r="T40" s="714" t="s">
        <v>17</v>
      </c>
      <c r="U40" s="715">
        <f t="shared" si="13"/>
        <v>100</v>
      </c>
      <c r="V40" s="714" t="s">
        <v>17</v>
      </c>
      <c r="W40" s="715">
        <f t="shared" si="14"/>
        <v>100</v>
      </c>
      <c r="X40" s="1539"/>
      <c r="Y40" s="332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8" t="str">
        <f>A41</f>
        <v>成交单价（元/平方米）</v>
      </c>
      <c r="Q41" s="3318"/>
      <c r="R41" s="3319">
        <f>E41</f>
        <v>0</v>
      </c>
      <c r="S41" s="3319"/>
      <c r="T41" s="3319">
        <f>G41</f>
        <v>0</v>
      </c>
      <c r="U41" s="3319"/>
      <c r="V41" s="3319">
        <f>I41</f>
        <v>0</v>
      </c>
      <c r="W41" s="3319"/>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估价对象为北京市房地产，为所有。根据《国有土地使用证》[]，估价对象（分摊）出让国有建设用地使用权面积为2957.47平方米，建筑面积为4704.86平方米。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估价对象为北京市房地产,属开发建设的商业项目，该项目尚在开发建设中。根据《国有土地使用证》[]，估价对象（分摊）出让国有建设用地使用权面积为2957.47平方米，规划建筑面积为4704.86平方米。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1"/>
      <c r="Q15" s="1536"/>
      <c r="R15" s="714"/>
      <c r="S15" s="715"/>
      <c r="T15" s="714"/>
      <c r="U15" s="715"/>
      <c r="V15" s="714"/>
      <c r="W15" s="715"/>
      <c r="X15" s="1539"/>
      <c r="Y15" s="3321"/>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1"/>
      <c r="Q17" s="1536"/>
      <c r="R17" s="714"/>
      <c r="S17" s="715"/>
      <c r="T17" s="714"/>
      <c r="U17" s="715"/>
      <c r="V17" s="714"/>
      <c r="W17" s="715"/>
      <c r="X17" s="1539"/>
      <c r="Y17" s="3321"/>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1"/>
      <c r="Q19" s="1536"/>
      <c r="R19" s="714"/>
      <c r="S19" s="715"/>
      <c r="T19" s="714"/>
      <c r="U19" s="715"/>
      <c r="V19" s="714"/>
      <c r="W19" s="715"/>
      <c r="X19" s="1539"/>
      <c r="Y19" s="3321"/>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1"/>
      <c r="Q21" s="1536"/>
      <c r="R21" s="714"/>
      <c r="S21" s="715"/>
      <c r="T21" s="714"/>
      <c r="U21" s="715"/>
      <c r="V21" s="714"/>
      <c r="W21" s="715"/>
      <c r="X21" s="1539"/>
      <c r="Y21" s="332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1"/>
      <c r="Q24" s="1536">
        <f t="shared" ref="Q24:Q36"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5"/>
      <c r="Q27" s="716" t="str">
        <f t="shared" si="11"/>
        <v>项目停车位配比</v>
      </c>
      <c r="R27" s="717" t="s">
        <v>17</v>
      </c>
      <c r="S27" s="718">
        <f t="shared" si="12"/>
        <v>100</v>
      </c>
      <c r="T27" s="717" t="s">
        <v>17</v>
      </c>
      <c r="U27" s="718">
        <f t="shared" si="13"/>
        <v>100</v>
      </c>
      <c r="V27" s="717" t="s">
        <v>17</v>
      </c>
      <c r="W27" s="718">
        <f t="shared" si="14"/>
        <v>100</v>
      </c>
      <c r="X27" s="719"/>
      <c r="Y27" s="332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5"/>
      <c r="Q28" s="1536" t="str">
        <f t="shared" si="11"/>
        <v>公共部分装修</v>
      </c>
      <c r="R28" s="714" t="s">
        <v>17</v>
      </c>
      <c r="S28" s="715">
        <f t="shared" si="12"/>
        <v>100</v>
      </c>
      <c r="T28" s="714" t="s">
        <v>17</v>
      </c>
      <c r="U28" s="715">
        <f t="shared" si="13"/>
        <v>100</v>
      </c>
      <c r="V28" s="714" t="s">
        <v>17</v>
      </c>
      <c r="W28" s="715">
        <f t="shared" si="14"/>
        <v>100</v>
      </c>
      <c r="X28" s="1539"/>
      <c r="Y28" s="332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5"/>
      <c r="Q29" s="1536" t="str">
        <f t="shared" si="11"/>
        <v>成新率</v>
      </c>
      <c r="R29" s="714" t="s">
        <v>17</v>
      </c>
      <c r="S29" s="715" t="e">
        <f t="shared" si="12"/>
        <v>#N/A</v>
      </c>
      <c r="T29" s="714" t="s">
        <v>17</v>
      </c>
      <c r="U29" s="715" t="e">
        <f t="shared" si="13"/>
        <v>#N/A</v>
      </c>
      <c r="V29" s="714" t="s">
        <v>17</v>
      </c>
      <c r="W29" s="715" t="e">
        <f t="shared" si="14"/>
        <v>#N/A</v>
      </c>
      <c r="X29" s="1539"/>
      <c r="Y29" s="332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5"/>
      <c r="Q30" s="1536" t="str">
        <f t="shared" si="11"/>
        <v>物业等级</v>
      </c>
      <c r="R30" s="714" t="s">
        <v>17</v>
      </c>
      <c r="S30" s="715">
        <f t="shared" si="12"/>
        <v>100</v>
      </c>
      <c r="T30" s="714" t="s">
        <v>17</v>
      </c>
      <c r="U30" s="715">
        <f t="shared" si="13"/>
        <v>100</v>
      </c>
      <c r="V30" s="714" t="s">
        <v>17</v>
      </c>
      <c r="W30" s="715">
        <f t="shared" si="14"/>
        <v>100</v>
      </c>
      <c r="X30" s="1539"/>
      <c r="Y30" s="332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5"/>
      <c r="Q31" s="1527" t="str">
        <f t="shared" si="11"/>
        <v>停车位面积</v>
      </c>
      <c r="R31" s="710" t="s">
        <v>17</v>
      </c>
      <c r="S31" s="711" t="e">
        <f t="shared" si="12"/>
        <v>#N/A</v>
      </c>
      <c r="T31" s="710" t="s">
        <v>17</v>
      </c>
      <c r="U31" s="711" t="e">
        <f t="shared" si="13"/>
        <v>#N/A</v>
      </c>
      <c r="V31" s="710" t="s">
        <v>17</v>
      </c>
      <c r="W31" s="711" t="e">
        <f t="shared" si="14"/>
        <v>#N/A</v>
      </c>
      <c r="X31" s="712"/>
      <c r="Y31" s="33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5" t="s">
        <v>2386</v>
      </c>
      <c r="Q32" s="1536" t="str">
        <f t="shared" si="11"/>
        <v>车位类型</v>
      </c>
      <c r="R32" s="714" t="s">
        <v>17</v>
      </c>
      <c r="S32" s="715">
        <f t="shared" si="12"/>
        <v>100</v>
      </c>
      <c r="T32" s="714" t="s">
        <v>17</v>
      </c>
      <c r="U32" s="715">
        <f t="shared" si="13"/>
        <v>100</v>
      </c>
      <c r="V32" s="714" t="s">
        <v>17</v>
      </c>
      <c r="W32" s="715">
        <f t="shared" si="14"/>
        <v>100</v>
      </c>
      <c r="X32" s="1539"/>
      <c r="Y32" s="332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5"/>
      <c r="Q33" s="1536" t="str">
        <f t="shared" si="11"/>
        <v>是否直接入户</v>
      </c>
      <c r="R33" s="714" t="s">
        <v>17</v>
      </c>
      <c r="S33" s="715">
        <f t="shared" si="12"/>
        <v>100</v>
      </c>
      <c r="T33" s="714" t="s">
        <v>17</v>
      </c>
      <c r="U33" s="715">
        <f t="shared" si="13"/>
        <v>100</v>
      </c>
      <c r="V33" s="714" t="s">
        <v>17</v>
      </c>
      <c r="W33" s="715">
        <f t="shared" si="14"/>
        <v>100</v>
      </c>
      <c r="X33" s="1539"/>
      <c r="Y33" s="33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5"/>
      <c r="Q35" s="716">
        <f t="shared" si="11"/>
        <v>111</v>
      </c>
      <c r="R35" s="717" t="s">
        <v>17</v>
      </c>
      <c r="S35" s="718">
        <f t="shared" si="12"/>
        <v>100</v>
      </c>
      <c r="T35" s="717" t="s">
        <v>17</v>
      </c>
      <c r="U35" s="718">
        <f t="shared" si="13"/>
        <v>100</v>
      </c>
      <c r="V35" s="717" t="s">
        <v>17</v>
      </c>
      <c r="W35" s="718">
        <f t="shared" si="14"/>
        <v>100</v>
      </c>
      <c r="X35" s="719"/>
      <c r="Y35" s="33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5"/>
      <c r="Q36" s="1536">
        <f t="shared" si="11"/>
        <v>111</v>
      </c>
      <c r="R36" s="714" t="s">
        <v>17</v>
      </c>
      <c r="S36" s="715">
        <f t="shared" si="12"/>
        <v>100</v>
      </c>
      <c r="T36" s="714" t="s">
        <v>17</v>
      </c>
      <c r="U36" s="715">
        <f t="shared" si="13"/>
        <v>100</v>
      </c>
      <c r="V36" s="714" t="s">
        <v>17</v>
      </c>
      <c r="W36" s="715">
        <f t="shared" si="14"/>
        <v>100</v>
      </c>
      <c r="X36" s="1539"/>
      <c r="Y36" s="332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8" t="str">
        <f>A37</f>
        <v>成交单价</v>
      </c>
      <c r="Q37" s="3318"/>
      <c r="R37" s="3319">
        <f>E37</f>
        <v>0</v>
      </c>
      <c r="S37" s="3319"/>
      <c r="T37" s="3319">
        <f>G37</f>
        <v>0</v>
      </c>
      <c r="U37" s="3319"/>
      <c r="V37" s="3319">
        <f>I37</f>
        <v>0</v>
      </c>
      <c r="W37" s="3319"/>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5" t="str">
        <f>A39</f>
        <v>估价对象XX用房的比较价值（楼面单价，元/平方米）</v>
      </c>
      <c r="Q39" s="3316"/>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1"/>
      <c r="Q15" s="1536"/>
      <c r="R15" s="714"/>
      <c r="S15" s="715"/>
      <c r="T15" s="714"/>
      <c r="U15" s="715"/>
      <c r="V15" s="714"/>
      <c r="W15" s="715"/>
      <c r="X15" s="1539"/>
      <c r="Y15" s="3321"/>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1"/>
      <c r="Q17" s="1536"/>
      <c r="R17" s="714"/>
      <c r="S17" s="715"/>
      <c r="T17" s="714"/>
      <c r="U17" s="715"/>
      <c r="V17" s="714"/>
      <c r="W17" s="715"/>
      <c r="X17" s="1539"/>
      <c r="Y17" s="3321"/>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1"/>
      <c r="Q19" s="1536"/>
      <c r="R19" s="714"/>
      <c r="S19" s="715"/>
      <c r="T19" s="714"/>
      <c r="U19" s="715"/>
      <c r="V19" s="714"/>
      <c r="W19" s="715"/>
      <c r="X19" s="1539"/>
      <c r="Y19" s="3321"/>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1"/>
      <c r="Q21" s="1536"/>
      <c r="R21" s="714"/>
      <c r="S21" s="715"/>
      <c r="T21" s="714"/>
      <c r="U21" s="715"/>
      <c r="V21" s="714"/>
      <c r="W21" s="715"/>
      <c r="X21" s="1539"/>
      <c r="Y21" s="332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1"/>
      <c r="Q24" s="1536">
        <f t="shared" ref="Q24:Q34"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5"/>
      <c r="Q27" s="716" t="str">
        <f t="shared" si="11"/>
        <v>成新率</v>
      </c>
      <c r="R27" s="717" t="s">
        <v>17</v>
      </c>
      <c r="S27" s="718" t="e">
        <f t="shared" si="12"/>
        <v>#N/A</v>
      </c>
      <c r="T27" s="717" t="s">
        <v>17</v>
      </c>
      <c r="U27" s="718" t="e">
        <f t="shared" si="13"/>
        <v>#N/A</v>
      </c>
      <c r="V27" s="717" t="s">
        <v>17</v>
      </c>
      <c r="W27" s="718" t="e">
        <f t="shared" si="14"/>
        <v>#N/A</v>
      </c>
      <c r="X27" s="719"/>
      <c r="Y27" s="332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5"/>
      <c r="Q28" s="1536" t="str">
        <f t="shared" si="11"/>
        <v>物业等级</v>
      </c>
      <c r="R28" s="714" t="s">
        <v>17</v>
      </c>
      <c r="S28" s="715">
        <f t="shared" si="12"/>
        <v>100</v>
      </c>
      <c r="T28" s="714" t="s">
        <v>17</v>
      </c>
      <c r="U28" s="715">
        <f t="shared" si="13"/>
        <v>100</v>
      </c>
      <c r="V28" s="714" t="s">
        <v>17</v>
      </c>
      <c r="W28" s="715">
        <f t="shared" si="14"/>
        <v>100</v>
      </c>
      <c r="X28" s="1539"/>
      <c r="Y28" s="332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5"/>
      <c r="Q29" s="1536" t="str">
        <f t="shared" si="11"/>
        <v>有无电梯</v>
      </c>
      <c r="R29" s="714" t="s">
        <v>17</v>
      </c>
      <c r="S29" s="715">
        <f t="shared" si="12"/>
        <v>100</v>
      </c>
      <c r="T29" s="714" t="s">
        <v>17</v>
      </c>
      <c r="U29" s="715">
        <f t="shared" si="13"/>
        <v>100</v>
      </c>
      <c r="V29" s="714" t="s">
        <v>17</v>
      </c>
      <c r="W29" s="715">
        <f t="shared" si="14"/>
        <v>100</v>
      </c>
      <c r="X29" s="1539"/>
      <c r="Y29" s="332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5"/>
      <c r="Q30" s="1536" t="str">
        <f t="shared" si="11"/>
        <v>建筑面积</v>
      </c>
      <c r="R30" s="714" t="s">
        <v>17</v>
      </c>
      <c r="S30" s="715" t="e">
        <f t="shared" si="12"/>
        <v>#N/A</v>
      </c>
      <c r="T30" s="714" t="s">
        <v>17</v>
      </c>
      <c r="U30" s="715" t="e">
        <f t="shared" si="13"/>
        <v>#N/A</v>
      </c>
      <c r="V30" s="714" t="s">
        <v>17</v>
      </c>
      <c r="W30" s="715" t="e">
        <f t="shared" si="14"/>
        <v>#N/A</v>
      </c>
      <c r="X30" s="1539"/>
      <c r="Y30" s="332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5"/>
      <c r="Q31" s="1527" t="str">
        <f t="shared" si="11"/>
        <v>是否封闭</v>
      </c>
      <c r="R31" s="710" t="s">
        <v>17</v>
      </c>
      <c r="S31" s="711">
        <f t="shared" si="12"/>
        <v>100</v>
      </c>
      <c r="T31" s="710" t="s">
        <v>17</v>
      </c>
      <c r="U31" s="711">
        <f t="shared" si="13"/>
        <v>100</v>
      </c>
      <c r="V31" s="710" t="s">
        <v>17</v>
      </c>
      <c r="W31" s="711">
        <f t="shared" si="14"/>
        <v>100</v>
      </c>
      <c r="X31" s="712"/>
      <c r="Y31" s="33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5" t="s">
        <v>2386</v>
      </c>
      <c r="Q32" s="1536">
        <f t="shared" si="11"/>
        <v>111</v>
      </c>
      <c r="R32" s="714" t="s">
        <v>17</v>
      </c>
      <c r="S32" s="715">
        <f t="shared" si="12"/>
        <v>100</v>
      </c>
      <c r="T32" s="714" t="s">
        <v>17</v>
      </c>
      <c r="U32" s="715">
        <f t="shared" si="13"/>
        <v>100</v>
      </c>
      <c r="V32" s="714" t="s">
        <v>17</v>
      </c>
      <c r="W32" s="715">
        <f t="shared" si="14"/>
        <v>100</v>
      </c>
      <c r="X32" s="1539"/>
      <c r="Y32" s="332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5"/>
      <c r="Q33" s="1536">
        <f t="shared" si="11"/>
        <v>111</v>
      </c>
      <c r="R33" s="714" t="s">
        <v>17</v>
      </c>
      <c r="S33" s="715">
        <f t="shared" si="12"/>
        <v>100</v>
      </c>
      <c r="T33" s="714" t="s">
        <v>17</v>
      </c>
      <c r="U33" s="715">
        <f t="shared" si="13"/>
        <v>100</v>
      </c>
      <c r="V33" s="714" t="s">
        <v>17</v>
      </c>
      <c r="W33" s="715">
        <f t="shared" si="14"/>
        <v>100</v>
      </c>
      <c r="X33" s="1539"/>
      <c r="Y33" s="33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8" t="str">
        <f>A35</f>
        <v>成交单价（元/平方米）</v>
      </c>
      <c r="Q35" s="3318"/>
      <c r="R35" s="3319">
        <f>E35</f>
        <v>0</v>
      </c>
      <c r="S35" s="3319"/>
      <c r="T35" s="3319">
        <f>G35</f>
        <v>0</v>
      </c>
      <c r="U35" s="3319"/>
      <c r="V35" s="3319">
        <f>I35</f>
        <v>0</v>
      </c>
      <c r="W35" s="3319"/>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5" t="str">
        <f>A37</f>
        <v>估价对象XX用房的比较价值（楼面单价，元/平方米）</v>
      </c>
      <c r="Q37" s="3316"/>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30"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30"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30" s="113" customFormat="1" ht="15.75" thickBot="1">
      <c r="A7" s="368" t="s">
        <v>2369</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8"/>
      <c r="Q12" s="1527" t="str">
        <f t="shared" si="6"/>
        <v>配建</v>
      </c>
      <c r="R12" s="710" t="s">
        <v>17</v>
      </c>
      <c r="S12" s="711">
        <f t="shared" si="0"/>
        <v>100</v>
      </c>
      <c r="T12" s="710" t="s">
        <v>17</v>
      </c>
      <c r="U12" s="711">
        <f t="shared" si="1"/>
        <v>100</v>
      </c>
      <c r="V12" s="710" t="s">
        <v>17</v>
      </c>
      <c r="W12" s="711">
        <f t="shared" si="2"/>
        <v>100</v>
      </c>
      <c r="X12" s="712"/>
      <c r="Y12" s="322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20" t="s">
        <v>2381</v>
      </c>
      <c r="Q15" s="1536" t="str">
        <f t="shared" si="6"/>
        <v>居住社区成熟度</v>
      </c>
      <c r="R15" s="714" t="s">
        <v>17</v>
      </c>
      <c r="S15" s="715">
        <f t="shared" si="0"/>
        <v>100</v>
      </c>
      <c r="T15" s="714" t="s">
        <v>17</v>
      </c>
      <c r="U15" s="715">
        <f t="shared" si="1"/>
        <v>100</v>
      </c>
      <c r="V15" s="714" t="s">
        <v>17</v>
      </c>
      <c r="W15" s="715">
        <f t="shared" si="2"/>
        <v>100</v>
      </c>
      <c r="X15" s="1539"/>
      <c r="Y15" s="332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1"/>
      <c r="Q17" s="1536" t="str">
        <f>B17</f>
        <v>商业繁华度</v>
      </c>
      <c r="R17" s="714" t="s">
        <v>17</v>
      </c>
      <c r="S17" s="715">
        <f>F17</f>
        <v>100</v>
      </c>
      <c r="T17" s="714" t="s">
        <v>17</v>
      </c>
      <c r="U17" s="715">
        <f>H17</f>
        <v>100</v>
      </c>
      <c r="V17" s="714" t="s">
        <v>17</v>
      </c>
      <c r="W17" s="715">
        <f>J17</f>
        <v>100</v>
      </c>
      <c r="X17" s="1539"/>
      <c r="Y17" s="33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1"/>
      <c r="Q19" s="1536" t="str">
        <f>B19</f>
        <v>办公集聚程度</v>
      </c>
      <c r="R19" s="714" t="s">
        <v>17</v>
      </c>
      <c r="S19" s="715">
        <f>F19</f>
        <v>100</v>
      </c>
      <c r="T19" s="714" t="s">
        <v>17</v>
      </c>
      <c r="U19" s="715">
        <f>H19</f>
        <v>100</v>
      </c>
      <c r="V19" s="714" t="s">
        <v>17</v>
      </c>
      <c r="W19" s="715">
        <f>J19</f>
        <v>100</v>
      </c>
      <c r="X19" s="1539"/>
      <c r="Y19" s="33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1"/>
      <c r="Q20" s="1536"/>
      <c r="R20" s="714"/>
      <c r="S20" s="715"/>
      <c r="T20" s="714"/>
      <c r="U20" s="715"/>
      <c r="V20" s="714"/>
      <c r="W20" s="715"/>
      <c r="X20" s="1539"/>
      <c r="Y20" s="3321"/>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1"/>
      <c r="Q21" s="1536" t="str">
        <f>B21</f>
        <v>交通便捷度</v>
      </c>
      <c r="R21" s="714" t="s">
        <v>17</v>
      </c>
      <c r="S21" s="715">
        <f>F21</f>
        <v>100</v>
      </c>
      <c r="T21" s="714" t="s">
        <v>17</v>
      </c>
      <c r="U21" s="715">
        <f>H21</f>
        <v>100</v>
      </c>
      <c r="V21" s="714" t="s">
        <v>17</v>
      </c>
      <c r="W21" s="715">
        <f>J21</f>
        <v>100</v>
      </c>
      <c r="X21" s="1539"/>
      <c r="Y21" s="33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1"/>
      <c r="Q23" s="1536" t="str">
        <f t="shared" ref="Q23:Q37" si="8">B23</f>
        <v>区域土地利用方向</v>
      </c>
      <c r="R23" s="714" t="s">
        <v>17</v>
      </c>
      <c r="S23" s="715">
        <f>F23</f>
        <v>100</v>
      </c>
      <c r="T23" s="714" t="s">
        <v>17</v>
      </c>
      <c r="U23" s="715">
        <f>H23</f>
        <v>100</v>
      </c>
      <c r="V23" s="714" t="s">
        <v>17</v>
      </c>
      <c r="W23" s="715">
        <f>J23</f>
        <v>100</v>
      </c>
      <c r="X23" s="1539"/>
      <c r="Y23" s="33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1"/>
      <c r="Q24" s="1536"/>
      <c r="R24" s="714"/>
      <c r="S24" s="715"/>
      <c r="T24" s="714"/>
      <c r="U24" s="715"/>
      <c r="V24" s="714"/>
      <c r="W24" s="715"/>
      <c r="X24" s="1539"/>
      <c r="Y24" s="3321"/>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1"/>
      <c r="Q25" s="1536" t="str">
        <f t="shared" si="8"/>
        <v>自然及人文环境状况</v>
      </c>
      <c r="R25" s="714" t="s">
        <v>17</v>
      </c>
      <c r="S25" s="715">
        <f>F25</f>
        <v>100</v>
      </c>
      <c r="T25" s="714" t="s">
        <v>17</v>
      </c>
      <c r="U25" s="715">
        <f>H25</f>
        <v>100</v>
      </c>
      <c r="V25" s="714" t="s">
        <v>17</v>
      </c>
      <c r="W25" s="715">
        <f>J25</f>
        <v>100</v>
      </c>
      <c r="X25" s="1539"/>
      <c r="Y25" s="33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1"/>
      <c r="Q26" s="1536"/>
      <c r="R26" s="714"/>
      <c r="S26" s="715"/>
      <c r="T26" s="714"/>
      <c r="U26" s="715"/>
      <c r="V26" s="714"/>
      <c r="W26" s="715"/>
      <c r="X26" s="1539"/>
      <c r="Y26" s="3321"/>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1"/>
      <c r="Q27" s="1527" t="str">
        <f t="shared" si="8"/>
        <v>公共配套设施</v>
      </c>
      <c r="R27" s="710" t="s">
        <v>17</v>
      </c>
      <c r="S27" s="711">
        <f>F27</f>
        <v>100</v>
      </c>
      <c r="T27" s="710" t="s">
        <v>17</v>
      </c>
      <c r="U27" s="711">
        <f>H27</f>
        <v>100</v>
      </c>
      <c r="V27" s="710" t="s">
        <v>17</v>
      </c>
      <c r="W27" s="711">
        <f>J27</f>
        <v>100</v>
      </c>
      <c r="X27" s="712"/>
      <c r="Y27" s="33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1"/>
      <c r="Q28" s="1527"/>
      <c r="R28" s="710"/>
      <c r="S28" s="711"/>
      <c r="T28" s="710"/>
      <c r="U28" s="711"/>
      <c r="V28" s="710"/>
      <c r="W28" s="711"/>
      <c r="X28" s="712"/>
      <c r="Y28" s="3321"/>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1"/>
      <c r="Q29" s="1527" t="str">
        <f t="shared" ref="Q29" si="9">B29</f>
        <v>基础设施水平</v>
      </c>
      <c r="R29" s="710" t="s">
        <v>17</v>
      </c>
      <c r="S29" s="711">
        <f>F29</f>
        <v>100</v>
      </c>
      <c r="T29" s="710" t="s">
        <v>17</v>
      </c>
      <c r="U29" s="711">
        <f>H29</f>
        <v>100</v>
      </c>
      <c r="V29" s="710" t="s">
        <v>17</v>
      </c>
      <c r="W29" s="711">
        <f>J29</f>
        <v>100</v>
      </c>
      <c r="X29" s="712"/>
      <c r="Y29" s="33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1"/>
      <c r="Q30" s="1527"/>
      <c r="R30" s="710"/>
      <c r="S30" s="711"/>
      <c r="T30" s="710"/>
      <c r="U30" s="711"/>
      <c r="V30" s="710"/>
      <c r="W30" s="711"/>
      <c r="X30" s="712"/>
      <c r="Y30" s="332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1"/>
      <c r="Q32" s="1536" t="str">
        <f t="shared" si="8"/>
        <v>毗邻道路的类型与等级</v>
      </c>
      <c r="R32" s="714" t="s">
        <v>17</v>
      </c>
      <c r="S32" s="715">
        <f t="shared" si="10"/>
        <v>100</v>
      </c>
      <c r="T32" s="714" t="s">
        <v>17</v>
      </c>
      <c r="U32" s="715">
        <f t="shared" si="11"/>
        <v>100</v>
      </c>
      <c r="V32" s="714" t="s">
        <v>17</v>
      </c>
      <c r="W32" s="715">
        <f t="shared" si="12"/>
        <v>100</v>
      </c>
      <c r="X32" s="1539"/>
      <c r="Y32" s="33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1"/>
      <c r="Q33" s="1536"/>
      <c r="R33" s="714"/>
      <c r="S33" s="715"/>
      <c r="T33" s="714"/>
      <c r="U33" s="715"/>
      <c r="V33" s="714"/>
      <c r="W33" s="715"/>
      <c r="X33" s="1539"/>
      <c r="Y33" s="332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1"/>
      <c r="Q34" s="1536" t="str">
        <f t="shared" si="8"/>
        <v>土地级别</v>
      </c>
      <c r="R34" s="714" t="s">
        <v>17</v>
      </c>
      <c r="S34" s="715">
        <f t="shared" si="10"/>
        <v>100</v>
      </c>
      <c r="T34" s="714" t="s">
        <v>17</v>
      </c>
      <c r="U34" s="715">
        <f t="shared" si="11"/>
        <v>100</v>
      </c>
      <c r="V34" s="714" t="s">
        <v>17</v>
      </c>
      <c r="W34" s="715">
        <f t="shared" si="12"/>
        <v>100</v>
      </c>
      <c r="X34" s="1539"/>
      <c r="Y34" s="33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1"/>
      <c r="Q35" s="1536">
        <f t="shared" si="8"/>
        <v>111</v>
      </c>
      <c r="R35" s="714" t="s">
        <v>17</v>
      </c>
      <c r="S35" s="715">
        <f t="shared" si="10"/>
        <v>100</v>
      </c>
      <c r="T35" s="714" t="s">
        <v>17</v>
      </c>
      <c r="U35" s="715">
        <f t="shared" si="11"/>
        <v>100</v>
      </c>
      <c r="V35" s="714" t="s">
        <v>17</v>
      </c>
      <c r="W35" s="715">
        <f t="shared" si="12"/>
        <v>100</v>
      </c>
      <c r="X35" s="1539"/>
      <c r="Y35" s="33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4" t="s">
        <v>2386</v>
      </c>
      <c r="Q36" s="1536">
        <f t="shared" si="8"/>
        <v>111</v>
      </c>
      <c r="R36" s="714" t="s">
        <v>17</v>
      </c>
      <c r="S36" s="715">
        <f t="shared" si="10"/>
        <v>100</v>
      </c>
      <c r="T36" s="714" t="s">
        <v>17</v>
      </c>
      <c r="U36" s="715">
        <f t="shared" si="11"/>
        <v>100</v>
      </c>
      <c r="V36" s="714" t="s">
        <v>17</v>
      </c>
      <c r="W36" s="715">
        <f t="shared" si="12"/>
        <v>100</v>
      </c>
      <c r="X36" s="1539"/>
      <c r="Y36" s="332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5"/>
      <c r="Q37" s="1536">
        <f t="shared" si="8"/>
        <v>111</v>
      </c>
      <c r="R37" s="717" t="s">
        <v>17</v>
      </c>
      <c r="S37" s="718">
        <f t="shared" si="10"/>
        <v>100</v>
      </c>
      <c r="T37" s="717" t="s">
        <v>17</v>
      </c>
      <c r="U37" s="718">
        <f t="shared" si="11"/>
        <v>100</v>
      </c>
      <c r="V37" s="717" t="s">
        <v>17</v>
      </c>
      <c r="W37" s="718">
        <f t="shared" si="12"/>
        <v>100</v>
      </c>
      <c r="X37" s="719"/>
      <c r="Y37" s="332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5"/>
      <c r="Q38" s="1536" t="str">
        <f>B38</f>
        <v>宗地面积</v>
      </c>
      <c r="R38" s="714" t="s">
        <v>17</v>
      </c>
      <c r="S38" s="715" t="e">
        <f t="shared" si="10"/>
        <v>#N/A</v>
      </c>
      <c r="T38" s="714" t="s">
        <v>17</v>
      </c>
      <c r="U38" s="715" t="e">
        <f t="shared" si="11"/>
        <v>#N/A</v>
      </c>
      <c r="V38" s="714" t="s">
        <v>17</v>
      </c>
      <c r="W38" s="715" t="e">
        <f t="shared" si="12"/>
        <v>#N/A</v>
      </c>
      <c r="X38" s="1539"/>
      <c r="Y38" s="332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5"/>
      <c r="Q39" s="1536" t="str">
        <f t="shared" ref="Q39:Q45" si="14">B39</f>
        <v>宗地形状</v>
      </c>
      <c r="R39" s="714" t="s">
        <v>17</v>
      </c>
      <c r="S39" s="715">
        <f t="shared" si="10"/>
        <v>100</v>
      </c>
      <c r="T39" s="714" t="s">
        <v>17</v>
      </c>
      <c r="U39" s="715">
        <f t="shared" si="11"/>
        <v>100</v>
      </c>
      <c r="V39" s="714" t="s">
        <v>17</v>
      </c>
      <c r="W39" s="715">
        <f t="shared" si="12"/>
        <v>100</v>
      </c>
      <c r="X39" s="1539"/>
      <c r="Y39" s="332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5"/>
      <c r="Q40" s="1536" t="str">
        <f t="shared" si="14"/>
        <v>临街宽度及深度</v>
      </c>
      <c r="R40" s="714" t="s">
        <v>17</v>
      </c>
      <c r="S40" s="715">
        <f t="shared" si="10"/>
        <v>100</v>
      </c>
      <c r="T40" s="714" t="s">
        <v>17</v>
      </c>
      <c r="U40" s="715">
        <f t="shared" si="11"/>
        <v>100</v>
      </c>
      <c r="V40" s="714" t="s">
        <v>17</v>
      </c>
      <c r="W40" s="715">
        <f t="shared" si="12"/>
        <v>100</v>
      </c>
      <c r="X40" s="1539"/>
      <c r="Y40" s="332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5"/>
      <c r="Q41" s="1536" t="str">
        <f t="shared" si="14"/>
        <v>宗地开发程度</v>
      </c>
      <c r="R41" s="710" t="s">
        <v>17</v>
      </c>
      <c r="S41" s="711">
        <f t="shared" si="10"/>
        <v>100</v>
      </c>
      <c r="T41" s="710" t="s">
        <v>17</v>
      </c>
      <c r="U41" s="711">
        <f t="shared" si="11"/>
        <v>100</v>
      </c>
      <c r="V41" s="710" t="s">
        <v>17</v>
      </c>
      <c r="W41" s="711">
        <f t="shared" si="12"/>
        <v>100</v>
      </c>
      <c r="X41" s="712"/>
      <c r="Y41" s="332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5" t="s">
        <v>2386</v>
      </c>
      <c r="Q42" s="1536" t="str">
        <f t="shared" si="14"/>
        <v>工程地质条件</v>
      </c>
      <c r="R42" s="714" t="s">
        <v>17</v>
      </c>
      <c r="S42" s="715">
        <f t="shared" si="10"/>
        <v>100</v>
      </c>
      <c r="T42" s="714" t="s">
        <v>17</v>
      </c>
      <c r="U42" s="715">
        <f t="shared" si="11"/>
        <v>100</v>
      </c>
      <c r="V42" s="714" t="s">
        <v>17</v>
      </c>
      <c r="W42" s="715">
        <f t="shared" si="12"/>
        <v>100</v>
      </c>
      <c r="X42" s="1539"/>
      <c r="Y42" s="332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5"/>
      <c r="Q43" s="1536">
        <f t="shared" si="14"/>
        <v>111</v>
      </c>
      <c r="R43" s="714" t="s">
        <v>17</v>
      </c>
      <c r="S43" s="715">
        <f t="shared" si="10"/>
        <v>100</v>
      </c>
      <c r="T43" s="714" t="s">
        <v>17</v>
      </c>
      <c r="U43" s="715">
        <f t="shared" si="11"/>
        <v>100</v>
      </c>
      <c r="V43" s="714" t="s">
        <v>17</v>
      </c>
      <c r="W43" s="715">
        <f t="shared" si="12"/>
        <v>100</v>
      </c>
      <c r="X43" s="1539"/>
      <c r="Y43" s="33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5"/>
      <c r="Q44" s="1536">
        <f t="shared" si="14"/>
        <v>111</v>
      </c>
      <c r="R44" s="714" t="s">
        <v>17</v>
      </c>
      <c r="S44" s="715">
        <f t="shared" si="10"/>
        <v>100</v>
      </c>
      <c r="T44" s="714" t="s">
        <v>17</v>
      </c>
      <c r="U44" s="715">
        <f t="shared" si="11"/>
        <v>100</v>
      </c>
      <c r="V44" s="714" t="s">
        <v>17</v>
      </c>
      <c r="W44" s="715">
        <f t="shared" si="12"/>
        <v>100</v>
      </c>
      <c r="X44" s="1539"/>
      <c r="Y44" s="33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5"/>
      <c r="Q45" s="1536">
        <f t="shared" si="14"/>
        <v>111</v>
      </c>
      <c r="R45" s="717" t="s">
        <v>17</v>
      </c>
      <c r="S45" s="718">
        <f t="shared" si="10"/>
        <v>100</v>
      </c>
      <c r="T45" s="717" t="s">
        <v>17</v>
      </c>
      <c r="U45" s="718">
        <f t="shared" si="11"/>
        <v>100</v>
      </c>
      <c r="V45" s="717" t="s">
        <v>17</v>
      </c>
      <c r="W45" s="718">
        <f t="shared" si="12"/>
        <v>100</v>
      </c>
      <c r="X45" s="719"/>
      <c r="Y45" s="332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8" t="str">
        <f>A46</f>
        <v>成交单价</v>
      </c>
      <c r="Q46" s="3318"/>
      <c r="R46" s="3313">
        <f>E46</f>
        <v>0</v>
      </c>
      <c r="S46" s="3313"/>
      <c r="T46" s="3313">
        <f>G46</f>
        <v>0</v>
      </c>
      <c r="U46" s="3313"/>
      <c r="V46" s="3313">
        <f>I46</f>
        <v>0</v>
      </c>
      <c r="W46" s="3313"/>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8" t="str">
        <f>A47</f>
        <v>比较价值（元/平方米）</v>
      </c>
      <c r="Q47" s="3318"/>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5" t="str">
        <f>A48</f>
        <v>估价对象XX用房的比较价值（楼面单价，元/平方米）</v>
      </c>
      <c r="Q48" s="3316"/>
      <c r="R48" s="3347" t="e">
        <f>ROUND(IF(D47="简单平均",AVERAGE(R47:W47),R47*F47+T47*H47+V47*J47),0)</f>
        <v>#DIV/0!</v>
      </c>
      <c r="S48" s="3347"/>
      <c r="T48" s="3347"/>
      <c r="U48" s="3347"/>
      <c r="V48" s="3347"/>
      <c r="W48" s="334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01" t="s">
        <v>2585</v>
      </c>
      <c r="H55" s="334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4704.8599999999997</v>
      </c>
      <c r="F56" s="1017" t="e">
        <f t="shared" ref="F56:F65" si="15">ROUND(B56*E56/10000,0)</f>
        <v>#DIV/0!</v>
      </c>
      <c r="G56" s="3300"/>
      <c r="H56" s="331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9"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9"/>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9"/>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9"/>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4704.8599999999997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350" t="s">
        <v>2618</v>
      </c>
      <c r="D6" s="3351"/>
      <c r="E6" s="3352" t="s">
        <v>2618</v>
      </c>
      <c r="F6" s="3353"/>
      <c r="G6" s="3350" t="s">
        <v>2618</v>
      </c>
      <c r="H6" s="3351"/>
      <c r="I6" s="3350" t="s">
        <v>2618</v>
      </c>
      <c r="J6" s="3351"/>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1"/>
      <c r="Q19" s="1536" t="str">
        <f t="shared" ref="Q19:Q33" si="8">B19</f>
        <v>区域土地利用方向</v>
      </c>
      <c r="R19" s="714" t="s">
        <v>17</v>
      </c>
      <c r="S19" s="715">
        <f>F19</f>
        <v>100</v>
      </c>
      <c r="T19" s="714" t="s">
        <v>17</v>
      </c>
      <c r="U19" s="715">
        <f>H19</f>
        <v>100</v>
      </c>
      <c r="V19" s="714" t="s">
        <v>17</v>
      </c>
      <c r="W19" s="715">
        <f>J19</f>
        <v>100</v>
      </c>
      <c r="X19" s="1539"/>
      <c r="Y19" s="33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1"/>
      <c r="Q20" s="1536"/>
      <c r="R20" s="714"/>
      <c r="S20" s="715"/>
      <c r="T20" s="714"/>
      <c r="U20" s="715"/>
      <c r="V20" s="714"/>
      <c r="W20" s="715"/>
      <c r="X20" s="1539"/>
      <c r="Y20" s="332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1"/>
      <c r="Q21" s="1536" t="str">
        <f t="shared" si="8"/>
        <v>环境状况</v>
      </c>
      <c r="R21" s="714" t="s">
        <v>17</v>
      </c>
      <c r="S21" s="715">
        <f>F21</f>
        <v>100</v>
      </c>
      <c r="T21" s="714" t="s">
        <v>17</v>
      </c>
      <c r="U21" s="715">
        <f>H21</f>
        <v>100</v>
      </c>
      <c r="V21" s="714" t="s">
        <v>17</v>
      </c>
      <c r="W21" s="715">
        <f>J21</f>
        <v>100</v>
      </c>
      <c r="X21" s="1539"/>
      <c r="Y21" s="33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1"/>
      <c r="Q23" s="1527" t="str">
        <f t="shared" si="8"/>
        <v>公共配套设施</v>
      </c>
      <c r="R23" s="710" t="s">
        <v>17</v>
      </c>
      <c r="S23" s="711">
        <f>F23</f>
        <v>100</v>
      </c>
      <c r="T23" s="710" t="s">
        <v>17</v>
      </c>
      <c r="U23" s="711">
        <f>H23</f>
        <v>100</v>
      </c>
      <c r="V23" s="710" t="s">
        <v>17</v>
      </c>
      <c r="W23" s="711">
        <f>J23</f>
        <v>100</v>
      </c>
      <c r="X23" s="712"/>
      <c r="Y23" s="33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1"/>
      <c r="Q24" s="1527"/>
      <c r="R24" s="710"/>
      <c r="S24" s="711"/>
      <c r="T24" s="710"/>
      <c r="U24" s="711"/>
      <c r="V24" s="710"/>
      <c r="W24" s="711"/>
      <c r="X24" s="712"/>
      <c r="Y24" s="332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1"/>
      <c r="Q25" s="1527" t="str">
        <f t="shared" ref="Q25" si="9">B25</f>
        <v>基础设施水平</v>
      </c>
      <c r="R25" s="710" t="s">
        <v>17</v>
      </c>
      <c r="S25" s="711">
        <f>F25</f>
        <v>100</v>
      </c>
      <c r="T25" s="710" t="s">
        <v>17</v>
      </c>
      <c r="U25" s="711">
        <f>H25</f>
        <v>100</v>
      </c>
      <c r="V25" s="710" t="s">
        <v>17</v>
      </c>
      <c r="W25" s="711">
        <f>J25</f>
        <v>100</v>
      </c>
      <c r="X25" s="712"/>
      <c r="Y25" s="33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1"/>
      <c r="Q26" s="1527"/>
      <c r="R26" s="710"/>
      <c r="S26" s="711"/>
      <c r="T26" s="710"/>
      <c r="U26" s="711"/>
      <c r="V26" s="710"/>
      <c r="W26" s="711"/>
      <c r="X26" s="712"/>
      <c r="Y26" s="33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1"/>
      <c r="Q28" s="1536" t="str">
        <f t="shared" si="8"/>
        <v>毗邻道路的类型与等级</v>
      </c>
      <c r="R28" s="714" t="s">
        <v>17</v>
      </c>
      <c r="S28" s="715">
        <f t="shared" si="10"/>
        <v>100</v>
      </c>
      <c r="T28" s="714" t="s">
        <v>17</v>
      </c>
      <c r="U28" s="715">
        <f t="shared" si="11"/>
        <v>100</v>
      </c>
      <c r="V28" s="714" t="s">
        <v>17</v>
      </c>
      <c r="W28" s="715">
        <f t="shared" si="12"/>
        <v>100</v>
      </c>
      <c r="X28" s="1539"/>
      <c r="Y28" s="33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1"/>
      <c r="Q29" s="1536"/>
      <c r="R29" s="714"/>
      <c r="S29" s="715"/>
      <c r="T29" s="714"/>
      <c r="U29" s="715"/>
      <c r="V29" s="714"/>
      <c r="W29" s="715"/>
      <c r="X29" s="1539"/>
      <c r="Y29" s="332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1"/>
      <c r="Q30" s="1536" t="str">
        <f t="shared" si="8"/>
        <v>土地级别</v>
      </c>
      <c r="R30" s="714" t="s">
        <v>17</v>
      </c>
      <c r="S30" s="715">
        <f t="shared" si="10"/>
        <v>100</v>
      </c>
      <c r="T30" s="714" t="s">
        <v>17</v>
      </c>
      <c r="U30" s="715">
        <f t="shared" si="11"/>
        <v>100</v>
      </c>
      <c r="V30" s="714" t="s">
        <v>17</v>
      </c>
      <c r="W30" s="715">
        <f t="shared" si="12"/>
        <v>100</v>
      </c>
      <c r="X30" s="1539"/>
      <c r="Y30" s="33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1"/>
      <c r="Q31" s="1536">
        <f t="shared" si="8"/>
        <v>111</v>
      </c>
      <c r="R31" s="714" t="s">
        <v>17</v>
      </c>
      <c r="S31" s="715">
        <f t="shared" si="10"/>
        <v>100</v>
      </c>
      <c r="T31" s="714" t="s">
        <v>17</v>
      </c>
      <c r="U31" s="715">
        <f t="shared" si="11"/>
        <v>100</v>
      </c>
      <c r="V31" s="714" t="s">
        <v>17</v>
      </c>
      <c r="W31" s="715">
        <f t="shared" si="12"/>
        <v>100</v>
      </c>
      <c r="X31" s="1539"/>
      <c r="Y31" s="33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4" t="s">
        <v>2386</v>
      </c>
      <c r="Q32" s="1536">
        <f t="shared" si="8"/>
        <v>111</v>
      </c>
      <c r="R32" s="714" t="s">
        <v>17</v>
      </c>
      <c r="S32" s="715">
        <f t="shared" si="10"/>
        <v>100</v>
      </c>
      <c r="T32" s="714" t="s">
        <v>17</v>
      </c>
      <c r="U32" s="715">
        <f t="shared" si="11"/>
        <v>100</v>
      </c>
      <c r="V32" s="714" t="s">
        <v>17</v>
      </c>
      <c r="W32" s="715">
        <f t="shared" si="12"/>
        <v>100</v>
      </c>
      <c r="X32" s="1539"/>
      <c r="Y32" s="332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5"/>
      <c r="Q33" s="1536">
        <f t="shared" si="8"/>
        <v>111</v>
      </c>
      <c r="R33" s="717" t="s">
        <v>17</v>
      </c>
      <c r="S33" s="718">
        <f t="shared" si="10"/>
        <v>100</v>
      </c>
      <c r="T33" s="717" t="s">
        <v>17</v>
      </c>
      <c r="U33" s="718">
        <f t="shared" si="11"/>
        <v>100</v>
      </c>
      <c r="V33" s="717" t="s">
        <v>17</v>
      </c>
      <c r="W33" s="718">
        <f t="shared" si="12"/>
        <v>100</v>
      </c>
      <c r="X33" s="719"/>
      <c r="Y33" s="332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5"/>
      <c r="Q34" s="1536" t="str">
        <f>B34</f>
        <v>宗地面积</v>
      </c>
      <c r="R34" s="714" t="s">
        <v>17</v>
      </c>
      <c r="S34" s="715" t="e">
        <f t="shared" si="10"/>
        <v>#N/A</v>
      </c>
      <c r="T34" s="714" t="s">
        <v>17</v>
      </c>
      <c r="U34" s="715" t="e">
        <f t="shared" si="11"/>
        <v>#N/A</v>
      </c>
      <c r="V34" s="714" t="s">
        <v>17</v>
      </c>
      <c r="W34" s="715" t="e">
        <f t="shared" si="12"/>
        <v>#N/A</v>
      </c>
      <c r="X34" s="1539"/>
      <c r="Y34" s="332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5"/>
      <c r="Q35" s="1536" t="str">
        <f t="shared" ref="Q35:Q40" si="14">B35</f>
        <v>宗地形状</v>
      </c>
      <c r="R35" s="714" t="s">
        <v>17</v>
      </c>
      <c r="S35" s="715">
        <f t="shared" si="10"/>
        <v>100</v>
      </c>
      <c r="T35" s="714" t="s">
        <v>17</v>
      </c>
      <c r="U35" s="715">
        <f t="shared" si="11"/>
        <v>100</v>
      </c>
      <c r="V35" s="714" t="s">
        <v>17</v>
      </c>
      <c r="W35" s="715">
        <f t="shared" si="12"/>
        <v>100</v>
      </c>
      <c r="X35" s="1539"/>
      <c r="Y35" s="332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5"/>
      <c r="Q36" s="1536" t="str">
        <f t="shared" si="14"/>
        <v>宗地开发程度</v>
      </c>
      <c r="R36" s="710" t="s">
        <v>17</v>
      </c>
      <c r="S36" s="711">
        <f t="shared" si="10"/>
        <v>100</v>
      </c>
      <c r="T36" s="710" t="s">
        <v>17</v>
      </c>
      <c r="U36" s="711">
        <f t="shared" si="11"/>
        <v>100</v>
      </c>
      <c r="V36" s="710" t="s">
        <v>17</v>
      </c>
      <c r="W36" s="711">
        <f t="shared" si="12"/>
        <v>100</v>
      </c>
      <c r="X36" s="712"/>
      <c r="Y36" s="332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5" t="s">
        <v>2386</v>
      </c>
      <c r="Q37" s="1536" t="str">
        <f t="shared" si="14"/>
        <v>工程地质条件</v>
      </c>
      <c r="R37" s="714" t="s">
        <v>17</v>
      </c>
      <c r="S37" s="715">
        <f t="shared" si="10"/>
        <v>100</v>
      </c>
      <c r="T37" s="714" t="s">
        <v>17</v>
      </c>
      <c r="U37" s="715">
        <f t="shared" si="11"/>
        <v>100</v>
      </c>
      <c r="V37" s="714" t="s">
        <v>17</v>
      </c>
      <c r="W37" s="715">
        <f t="shared" si="12"/>
        <v>100</v>
      </c>
      <c r="X37" s="1539"/>
      <c r="Y37" s="332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5"/>
      <c r="Q38" s="1536">
        <f t="shared" si="14"/>
        <v>111</v>
      </c>
      <c r="R38" s="714" t="s">
        <v>17</v>
      </c>
      <c r="S38" s="715">
        <f t="shared" si="10"/>
        <v>100</v>
      </c>
      <c r="T38" s="714" t="s">
        <v>17</v>
      </c>
      <c r="U38" s="715">
        <f t="shared" si="11"/>
        <v>100</v>
      </c>
      <c r="V38" s="714" t="s">
        <v>17</v>
      </c>
      <c r="W38" s="715">
        <f t="shared" si="12"/>
        <v>100</v>
      </c>
      <c r="X38" s="1539"/>
      <c r="Y38" s="33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5"/>
      <c r="Q39" s="1536">
        <f t="shared" si="14"/>
        <v>111</v>
      </c>
      <c r="R39" s="714" t="s">
        <v>17</v>
      </c>
      <c r="S39" s="715">
        <f t="shared" si="10"/>
        <v>100</v>
      </c>
      <c r="T39" s="714" t="s">
        <v>17</v>
      </c>
      <c r="U39" s="715">
        <f t="shared" si="11"/>
        <v>100</v>
      </c>
      <c r="V39" s="714" t="s">
        <v>17</v>
      </c>
      <c r="W39" s="715">
        <f t="shared" si="12"/>
        <v>100</v>
      </c>
      <c r="X39" s="1539"/>
      <c r="Y39" s="33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5"/>
      <c r="Q40" s="1536">
        <f t="shared" si="14"/>
        <v>111</v>
      </c>
      <c r="R40" s="717" t="s">
        <v>17</v>
      </c>
      <c r="S40" s="718">
        <f t="shared" si="10"/>
        <v>100</v>
      </c>
      <c r="T40" s="717" t="s">
        <v>17</v>
      </c>
      <c r="U40" s="718">
        <f t="shared" si="11"/>
        <v>100</v>
      </c>
      <c r="V40" s="717" t="s">
        <v>17</v>
      </c>
      <c r="W40" s="718">
        <f t="shared" si="12"/>
        <v>100</v>
      </c>
      <c r="X40" s="719"/>
      <c r="Y40" s="332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8" t="str">
        <f>A41</f>
        <v>成交单价</v>
      </c>
      <c r="Q41" s="3318"/>
      <c r="R41" s="3313">
        <f>E41</f>
        <v>0</v>
      </c>
      <c r="S41" s="3313"/>
      <c r="T41" s="3313">
        <f>G41</f>
        <v>0</v>
      </c>
      <c r="U41" s="3313"/>
      <c r="V41" s="3313">
        <f>I41</f>
        <v>0</v>
      </c>
      <c r="W41" s="3313"/>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8" t="str">
        <f>A42</f>
        <v>比较价值（元/平方米）</v>
      </c>
      <c r="Q42" s="3318"/>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5" t="str">
        <f>A43</f>
        <v>估价对象XX用房的比较价值（楼面单价，元/平方米）</v>
      </c>
      <c r="Q43" s="3316"/>
      <c r="R43" s="3347" t="e">
        <f>ROUND(IF(D42="简单平均",AVERAGE(R42:W42),R42*F42+T42*H42+V42*J42),0)</f>
        <v>#DIV/0!</v>
      </c>
      <c r="S43" s="3347"/>
      <c r="T43" s="3347"/>
      <c r="U43" s="3347"/>
      <c r="V43" s="3347"/>
      <c r="W43" s="334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01" t="s">
        <v>2585</v>
      </c>
      <c r="H50" s="3348"/>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4704.8599999999997</v>
      </c>
      <c r="F51" s="647" t="e">
        <f t="shared" ref="F51:F60" si="15">ROUND(B51*E51/10000,0)</f>
        <v>#DIV/0!</v>
      </c>
      <c r="G51" s="3300"/>
      <c r="H51" s="331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9"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9"/>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9"/>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9"/>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2957.47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K13" sqref="K1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1645.9899999999998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6762</v>
      </c>
      <c r="C2" s="2185" t="s">
        <v>2634</v>
      </c>
      <c r="D2" s="2186" t="s">
        <v>2635</v>
      </c>
      <c r="E2" s="2187" t="s">
        <v>1343</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Ⅵ-19</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19232</v>
      </c>
      <c r="U2" s="3062">
        <f>1065.52+15.57+286.54+278.36</f>
        <v>1645.9899999999998</v>
      </c>
      <c r="V2" s="1374">
        <f>ROUND(T2*U2/10000,0)</f>
        <v>3166</v>
      </c>
      <c r="W2" s="1378"/>
      <c r="X2" s="1378"/>
      <c r="Y2" s="1378"/>
      <c r="Z2" s="1378"/>
      <c r="AA2" s="1378"/>
      <c r="AB2" s="1378"/>
      <c r="AC2" s="1379"/>
      <c r="AD2" s="1380"/>
      <c r="AE2" s="1380"/>
      <c r="AF2" s="1380"/>
      <c r="AG2" s="1380"/>
      <c r="AH2" s="1380"/>
      <c r="AI2" s="1380"/>
      <c r="AJ2" s="1381"/>
    </row>
    <row r="3" spans="1:36" ht="15.75">
      <c r="A3" s="209" t="s">
        <v>2639</v>
      </c>
      <c r="B3" s="210">
        <f>ROUND(B2*10000/D1,0)</f>
        <v>41082</v>
      </c>
      <c r="C3" s="2185" t="s">
        <v>2640</v>
      </c>
      <c r="D3" s="2186" t="s">
        <v>2641</v>
      </c>
      <c r="E3" s="2191" t="s">
        <v>3085</v>
      </c>
      <c r="F3" s="2192" t="s">
        <v>3086</v>
      </c>
      <c r="G3" s="855">
        <f>IF(F3="宗地容积率",'数据-汇总表'!I4,IF(F3="估价对象容积率",'数据-汇总表'!I6,'数据-汇总表'!I7))</f>
        <v>1.59</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13805</v>
      </c>
      <c r="U3" s="3062">
        <f>1128.37+133.75</f>
        <v>1262.1199999999999</v>
      </c>
      <c r="V3" s="1374">
        <f t="shared" ref="V3:V16" si="1">ROUND(T3*U3/10000,0)</f>
        <v>1742</v>
      </c>
      <c r="W3" s="1378"/>
      <c r="X3" s="1378"/>
      <c r="Y3" s="1378"/>
      <c r="Z3" s="1378"/>
      <c r="AA3" s="1378"/>
      <c r="AB3" s="1378"/>
      <c r="AC3" s="1379"/>
      <c r="AD3" s="1380"/>
      <c r="AE3" s="1380"/>
      <c r="AF3" s="1380"/>
      <c r="AG3" s="1380"/>
      <c r="AH3" s="1380"/>
      <c r="AI3" s="1380"/>
      <c r="AJ3" s="1381"/>
    </row>
    <row r="4" spans="1:36" ht="15.75">
      <c r="A4" s="3373"/>
      <c r="B4" s="3374"/>
      <c r="C4" s="3374"/>
      <c r="D4" s="3375"/>
      <c r="E4" s="3375"/>
      <c r="F4" s="3375"/>
      <c r="G4" s="3375"/>
      <c r="H4" s="3375"/>
      <c r="I4" s="3375"/>
      <c r="J4" s="3376"/>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11137</v>
      </c>
      <c r="U4" s="3062">
        <v>1128.3699999999999</v>
      </c>
      <c r="V4" s="1374">
        <f t="shared" si="1"/>
        <v>1257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9184</v>
      </c>
      <c r="D5" s="1523">
        <f>ROUND(C6+C16,0)</f>
        <v>9184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8936</v>
      </c>
      <c r="U5" s="3062">
        <v>668.38</v>
      </c>
      <c r="V5" s="1374">
        <f t="shared" si="1"/>
        <v>597</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9200</v>
      </c>
      <c r="D6" s="2205" t="s">
        <v>2650</v>
      </c>
      <c r="E6" s="2206"/>
      <c r="F6" s="2206"/>
      <c r="G6" s="2207"/>
      <c r="H6" s="2207"/>
      <c r="I6" s="2207"/>
      <c r="J6" s="2208"/>
      <c r="K6" s="1568"/>
      <c r="L6" s="2190"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si="0"/>
        <v>7609</v>
      </c>
      <c r="U6" s="1375"/>
      <c r="V6" s="1374">
        <f t="shared" si="1"/>
        <v>0</v>
      </c>
      <c r="W6" s="1378"/>
      <c r="X6" s="1378"/>
      <c r="Y6" s="1378"/>
      <c r="Z6" s="1378"/>
      <c r="AA6" s="1378"/>
      <c r="AB6" s="1378"/>
      <c r="AC6" s="2199"/>
      <c r="AD6" s="2200"/>
      <c r="AE6" s="2200"/>
      <c r="AF6" s="2200"/>
      <c r="AG6" s="2200"/>
      <c r="AH6" s="2200"/>
      <c r="AI6" s="2200"/>
      <c r="AJ6" s="2201"/>
    </row>
    <row r="7" spans="1:36" ht="24">
      <c r="A7" s="3354"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6692</v>
      </c>
      <c r="U7" s="1375"/>
      <c r="V7" s="1374">
        <f t="shared" si="1"/>
        <v>0</v>
      </c>
      <c r="W7" s="1542" t="s">
        <v>2655</v>
      </c>
      <c r="X7" s="1376" t="str">
        <f>G2</f>
        <v>六级</v>
      </c>
      <c r="Y7" s="1376" t="s">
        <v>2656</v>
      </c>
      <c r="Z7" s="1377">
        <f>G3</f>
        <v>1.59</v>
      </c>
      <c r="AA7" s="1378"/>
      <c r="AB7" s="1378"/>
      <c r="AC7" s="1379"/>
      <c r="AD7" s="1380"/>
      <c r="AE7" s="1380"/>
      <c r="AF7" s="1380"/>
      <c r="AG7" s="1380"/>
      <c r="AH7" s="1380"/>
      <c r="AI7" s="1380"/>
      <c r="AJ7" s="1381"/>
    </row>
    <row r="8" spans="1:36" ht="25.5">
      <c r="A8" s="3377"/>
      <c r="B8" s="175" t="s">
        <v>2657</v>
      </c>
      <c r="C8" s="2214" t="s">
        <v>3087</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0" t="s">
        <v>2660</v>
      </c>
      <c r="X8" s="33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7"/>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2" t="s">
        <v>2684</v>
      </c>
      <c r="X11" s="1386" t="s">
        <v>2685</v>
      </c>
      <c r="Y11" s="1387">
        <f>$G$3</f>
        <v>1.59</v>
      </c>
      <c r="Z11" s="1387">
        <f t="shared" ref="Z11:AJ11" si="3">$G$3</f>
        <v>1.59</v>
      </c>
      <c r="AA11" s="1387">
        <f t="shared" si="3"/>
        <v>1.59</v>
      </c>
      <c r="AB11" s="1387">
        <f t="shared" si="3"/>
        <v>1.59</v>
      </c>
      <c r="AC11" s="1387">
        <f t="shared" si="3"/>
        <v>1.59</v>
      </c>
      <c r="AD11" s="1387">
        <f t="shared" si="3"/>
        <v>1.59</v>
      </c>
      <c r="AE11" s="1387">
        <f t="shared" si="3"/>
        <v>1.59</v>
      </c>
      <c r="AF11" s="1387">
        <f t="shared" si="3"/>
        <v>1.59</v>
      </c>
      <c r="AG11" s="1387">
        <f t="shared" si="3"/>
        <v>1.59</v>
      </c>
      <c r="AH11" s="1387">
        <f t="shared" si="3"/>
        <v>1.59</v>
      </c>
      <c r="AI11" s="1387">
        <f t="shared" si="3"/>
        <v>1.59</v>
      </c>
      <c r="AJ11" s="1387">
        <f t="shared" si="3"/>
        <v>1.59</v>
      </c>
    </row>
    <row r="12" spans="1:36" ht="25.5" thickBot="1">
      <c r="A12" s="3354"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2"/>
      <c r="X13" s="1388"/>
      <c r="Y13" s="1385">
        <f>(-0.163*(Y12^2)-0.59*Y12+7617)*(10^(-4))/Y11</f>
        <v>0.47905660377358489</v>
      </c>
      <c r="Z13" s="1385">
        <f t="shared" ref="Z13:AJ13" si="5">(-0.163*(Z12^2)-0.59*Z12+7617)*(10^(-4))/Z11</f>
        <v>0.47905660377358489</v>
      </c>
      <c r="AA13" s="1385">
        <f t="shared" si="5"/>
        <v>0.47905660377358489</v>
      </c>
      <c r="AB13" s="1385">
        <f t="shared" si="5"/>
        <v>0.47905660377358489</v>
      </c>
      <c r="AC13" s="1385">
        <f t="shared" si="5"/>
        <v>0.47905660377358489</v>
      </c>
      <c r="AD13" s="1385">
        <f t="shared" si="5"/>
        <v>0.47905660377358489</v>
      </c>
      <c r="AE13" s="1385">
        <f t="shared" si="5"/>
        <v>0.47905660377358489</v>
      </c>
      <c r="AF13" s="1385">
        <f t="shared" si="5"/>
        <v>0.47905660377358489</v>
      </c>
      <c r="AG13" s="1385">
        <f t="shared" si="5"/>
        <v>0.47905660377358489</v>
      </c>
      <c r="AH13" s="1385">
        <f t="shared" si="5"/>
        <v>0.47905660377358489</v>
      </c>
      <c r="AI13" s="1385">
        <f t="shared" si="5"/>
        <v>0.47905660377358489</v>
      </c>
      <c r="AJ13" s="1385">
        <f t="shared" si="5"/>
        <v>0.47905660377358489</v>
      </c>
    </row>
    <row r="14" spans="1:36" ht="15">
      <c r="A14" s="3378"/>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9"/>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4" t="s">
        <v>2703</v>
      </c>
      <c r="B16" s="2209" t="s">
        <v>2704</v>
      </c>
      <c r="C16" s="2371">
        <f>ROUND(IF(F17="与级别开发程度一致",0,(G17-E17)/C17),0)</f>
        <v>-16</v>
      </c>
      <c r="D16" s="3367" t="s">
        <v>2708</v>
      </c>
      <c r="E16" s="3368"/>
      <c r="F16" s="3367" t="s">
        <v>2705</v>
      </c>
      <c r="G16" s="3368"/>
      <c r="H16" s="2241" t="s">
        <v>3075</v>
      </c>
      <c r="I16" s="2241" t="s">
        <v>3076</v>
      </c>
      <c r="J16" s="2375" t="s">
        <v>3077</v>
      </c>
      <c r="K16" s="2241" t="s">
        <v>3079</v>
      </c>
      <c r="L16" s="2241" t="s">
        <v>3078</v>
      </c>
      <c r="M16" s="2241" t="s">
        <v>3088</v>
      </c>
      <c r="N16" s="2241" t="s">
        <v>3089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5"/>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3090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0.8</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1.3469</v>
      </c>
      <c r="D19" s="2251" t="s">
        <v>2712</v>
      </c>
      <c r="E19" s="864">
        <v>41640</v>
      </c>
      <c r="F19" s="2251" t="s">
        <v>2713</v>
      </c>
      <c r="G19" s="865">
        <f>'数据-取费表'!B2</f>
        <v>44306</v>
      </c>
      <c r="H19" s="2252" t="s">
        <v>3091</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1</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40</v>
      </c>
      <c r="J20" s="875">
        <f>IF(E2="住宅",70,IF(E2="商业",40,50))</f>
        <v>40</v>
      </c>
      <c r="K20" s="1287"/>
      <c r="L20" s="2259" t="s">
        <v>2719</v>
      </c>
      <c r="M20" s="1497">
        <f>ROUND(SUMPRODUCT((地价!A4:A34=YEAR(G19)&amp;"-"&amp;ROUNDUP(MONTH(G19)/3,0))*(地价!B2:F2=E2)*(地价!B4:F34)),0)</f>
        <v>347</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1.8629</v>
      </c>
      <c r="D21" s="2265"/>
      <c r="E21" s="2265"/>
      <c r="F21" s="2265"/>
      <c r="G21" s="2265"/>
      <c r="H21" s="2265"/>
      <c r="I21" s="2265"/>
      <c r="J21" s="2266"/>
      <c r="K21" s="1287"/>
      <c r="L21" s="3019"/>
      <c r="M21" s="3019"/>
      <c r="N21" s="2267" t="s">
        <v>2724</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1.1818</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536" t="s">
        <v>155</v>
      </c>
      <c r="J22" s="877" t="str">
        <f>IF(G3&gt;10,D113,"——")</f>
        <v>——</v>
      </c>
      <c r="K22" s="1287"/>
      <c r="L22" s="3019"/>
      <c r="M22" s="3019"/>
      <c r="N22" s="2267" t="s">
        <v>2728</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2731</v>
      </c>
      <c r="O23" s="1335"/>
      <c r="P23" s="1336">
        <f>SUMPRODUCT((地价!A3:A34=YEAR(G19)&amp;"-"&amp;ROUNDUP(MONTH(G19)/3,0))*(地价!AD2:AH2=N23)*(地价!AD3:AH34))</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1.0431999999999999</v>
      </c>
      <c r="D24" s="2248"/>
      <c r="E24" s="2275"/>
      <c r="F24" s="2275"/>
      <c r="G24" s="2275"/>
      <c r="H24" s="2275"/>
      <c r="I24" s="2275"/>
      <c r="J24" s="2276"/>
      <c r="K24" s="1287"/>
      <c r="L24" s="3019"/>
      <c r="M24" s="3019"/>
      <c r="N24" s="2277" t="s">
        <v>2733</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1.6899999999999998E-2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6762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19232</v>
      </c>
      <c r="D29" s="2296">
        <f>基准地价修正!U2</f>
        <v>1645.9899999999998</v>
      </c>
      <c r="E29" s="879">
        <f>ROUND(C29*D29/10000,0)</f>
        <v>3166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4808</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4"/>
      <c r="B33" s="2312" t="s">
        <v>2750</v>
      </c>
      <c r="C33" s="180">
        <f>ROUND(D5*C19*C20*C24*F33,0)</f>
        <v>9033</v>
      </c>
      <c r="D33" s="2296"/>
      <c r="E33" s="176">
        <f>ROUND(C33*D33/10000,0)</f>
        <v>0</v>
      </c>
      <c r="F33" s="176">
        <f>SUMIF(修正!A45:A56,G2,修正!B45:B56)</f>
        <v>0.7</v>
      </c>
      <c r="G33" s="176">
        <f t="shared" ref="G33" si="6">ROUND(IF(E2="工业",C33*$M$39,C33*$M$38),0)</f>
        <v>2258</v>
      </c>
      <c r="H33" s="176">
        <f>D33</f>
        <v>0</v>
      </c>
      <c r="I33" s="176">
        <f>ROUND(G33*H33/10000,0)</f>
        <v>0</v>
      </c>
      <c r="J33" s="3369"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5"/>
      <c r="B34" s="2229" t="s">
        <v>2751</v>
      </c>
      <c r="C34" s="180">
        <f>ROUND(D5*C19*C20*C24*F34,0)</f>
        <v>5162</v>
      </c>
      <c r="D34" s="2296"/>
      <c r="E34" s="176">
        <f t="shared" ref="E34:E39" si="7">ROUND(C34*D34/10000,0)</f>
        <v>0</v>
      </c>
      <c r="F34" s="176">
        <f>SUMIF(修正!A45:A56,G2,修正!C45:C56)</f>
        <v>0.4</v>
      </c>
      <c r="G34" s="176">
        <f>ROUND(IF(E2="工业",C34*$M$39,C34*$M$38),0)</f>
        <v>1291</v>
      </c>
      <c r="H34" s="176">
        <f t="shared" ref="H34:H39" si="8">D34</f>
        <v>0</v>
      </c>
      <c r="I34" s="176">
        <f t="shared" ref="I34:I39" si="9">ROUND(G34*H34/10000,0)</f>
        <v>0</v>
      </c>
      <c r="J34" s="33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5"/>
      <c r="B35" s="2229" t="s">
        <v>2752</v>
      </c>
      <c r="C35" s="180">
        <f>ROUND(D5*C19*C20*C24*F35,0)</f>
        <v>3613</v>
      </c>
      <c r="D35" s="2296"/>
      <c r="E35" s="176">
        <f t="shared" si="7"/>
        <v>0</v>
      </c>
      <c r="F35" s="176">
        <f>SUMIF(修正!A45:A56,G2,修正!D45:D56)</f>
        <v>0.28000000000000003</v>
      </c>
      <c r="G35" s="176">
        <f>ROUND(IF(E2="工业",C35*$M$39,C35*$M$38),0)</f>
        <v>903</v>
      </c>
      <c r="H35" s="176">
        <f t="shared" si="8"/>
        <v>0</v>
      </c>
      <c r="I35" s="176">
        <f t="shared" si="9"/>
        <v>0</v>
      </c>
      <c r="J35" s="33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6"/>
      <c r="B36" s="2229" t="s">
        <v>2753</v>
      </c>
      <c r="C36" s="180">
        <f>ROUND(D5*C19*C20*C24*F36,0)</f>
        <v>3226</v>
      </c>
      <c r="D36" s="2296"/>
      <c r="E36" s="176">
        <f t="shared" si="7"/>
        <v>0</v>
      </c>
      <c r="F36" s="176">
        <f>SUMIF(修正!A45:A56,G2,修正!E45:E56)</f>
        <v>0.25</v>
      </c>
      <c r="G36" s="176">
        <f>ROUND(IF(E2="工业",C36*$M$39,C36*$M$38),0)</f>
        <v>807</v>
      </c>
      <c r="H36" s="176">
        <f t="shared" si="8"/>
        <v>0</v>
      </c>
      <c r="I36" s="176">
        <f t="shared" si="9"/>
        <v>0</v>
      </c>
      <c r="J36" s="336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3226</v>
      </c>
      <c r="D37" s="2296"/>
      <c r="E37" s="176">
        <f t="shared" si="7"/>
        <v>0</v>
      </c>
      <c r="F37" s="180">
        <f>SUMIF(修正!A45:A56,G2,修正!F45:F56)</f>
        <v>0.25</v>
      </c>
      <c r="G37" s="176">
        <f>ROUND(IF(E2="工业",C37*$M$39,C37*$M$38),0)</f>
        <v>807</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3053</v>
      </c>
      <c r="D38" s="2296"/>
      <c r="E38" s="176">
        <f t="shared" si="7"/>
        <v>0</v>
      </c>
      <c r="F38" s="180">
        <f>SUMIF(修正!A45:A56,G2,修正!G45:G56)</f>
        <v>0.25</v>
      </c>
      <c r="G38" s="176">
        <f>ROUND(IF(E2="工业",C38*$M$39,C38*$M$38),0)</f>
        <v>763</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2442</v>
      </c>
      <c r="D39" s="2302"/>
      <c r="E39" s="193">
        <f t="shared" si="7"/>
        <v>0</v>
      </c>
      <c r="F39" s="871">
        <f>SUMIF(修正!A45:A56,G2,修正!H45:H56)</f>
        <v>0.2</v>
      </c>
      <c r="G39" s="193">
        <f>ROUND(IF(E2="工业",C39*$M$39,C39*$M$38),0)</f>
        <v>611</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0.94620000000000004</v>
      </c>
      <c r="D41" s="176" t="s">
        <v>2709</v>
      </c>
      <c r="E41" s="2369">
        <f>G20</f>
        <v>5.3999999999999999E-2</v>
      </c>
      <c r="F41" s="176" t="s">
        <v>2718</v>
      </c>
      <c r="G41" s="189">
        <v>40</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1.0431999999999999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3092</v>
      </c>
      <c r="D48" s="1196">
        <f t="shared" ref="D48:D56" si="10">SUMIF($J$47:$N$47,C48,J48:N48)</f>
        <v>0</v>
      </c>
      <c r="E48" s="760">
        <f>ROUND(SUM(D48:D56),4)</f>
        <v>4.3200000000000002E-2</v>
      </c>
      <c r="F48" s="2000">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3093</v>
      </c>
      <c r="D49" s="1196">
        <f t="shared" si="10"/>
        <v>1.4999999999999999E-2</v>
      </c>
      <c r="E49" s="761"/>
      <c r="F49" s="2000"/>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0</v>
      </c>
      <c r="E50" s="761"/>
      <c r="F50" s="2000"/>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29" t="s">
        <v>2772</v>
      </c>
      <c r="B51" s="2334" t="s">
        <v>2773</v>
      </c>
      <c r="C51" s="2234" t="s">
        <v>3093</v>
      </c>
      <c r="D51" s="1196">
        <f t="shared" si="10"/>
        <v>3.0000000000000001E-3</v>
      </c>
      <c r="E51" s="761"/>
      <c r="F51" s="2000"/>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3093</v>
      </c>
      <c r="D52" s="1196">
        <f t="shared" si="10"/>
        <v>4.7999999999999996E-3</v>
      </c>
      <c r="E52" s="761"/>
      <c r="F52" s="2000"/>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29" t="s">
        <v>2775</v>
      </c>
      <c r="B53" s="2335" t="s">
        <v>2776</v>
      </c>
      <c r="C53" s="2234" t="s">
        <v>3093</v>
      </c>
      <c r="D53" s="1196">
        <f t="shared" si="10"/>
        <v>1.8E-3</v>
      </c>
      <c r="E53" s="761"/>
      <c r="F53" s="200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3093</v>
      </c>
      <c r="D54" s="1196">
        <f t="shared" si="10"/>
        <v>3.0000000000000001E-3</v>
      </c>
      <c r="E54" s="761"/>
      <c r="F54" s="2000"/>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3094</v>
      </c>
      <c r="D55" s="1196">
        <f t="shared" si="10"/>
        <v>1.2E-2</v>
      </c>
      <c r="E55" s="761"/>
      <c r="F55" s="2000"/>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3093</v>
      </c>
      <c r="D56" s="1196">
        <f t="shared" si="10"/>
        <v>3.5999999999999999E-3</v>
      </c>
      <c r="E56" s="764"/>
      <c r="F56" s="2000"/>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6" t="s">
        <v>2791</v>
      </c>
      <c r="B90" s="3356"/>
      <c r="C90" s="3356"/>
      <c r="D90" s="3356"/>
      <c r="E90" s="3356"/>
      <c r="F90" s="3356"/>
      <c r="G90" s="3356"/>
      <c r="H90" s="3356"/>
      <c r="I90" s="3356"/>
      <c r="J90" s="3356"/>
      <c r="K90" s="2343"/>
      <c r="L90" s="2343"/>
      <c r="M90" s="2343"/>
      <c r="N90" s="2343"/>
    </row>
    <row r="91" spans="1:37">
      <c r="A91" s="3358" t="s">
        <v>2792</v>
      </c>
      <c r="B91" s="3358" t="s">
        <v>2793</v>
      </c>
      <c r="C91" s="2297" t="s">
        <v>2794</v>
      </c>
      <c r="D91" s="2298"/>
      <c r="E91" s="2298"/>
      <c r="F91" s="2298"/>
      <c r="G91" s="2298"/>
      <c r="H91" s="2298"/>
      <c r="I91" s="2298"/>
      <c r="J91" s="2344"/>
      <c r="K91" s="2345"/>
      <c r="L91" s="2345"/>
      <c r="M91" s="2345"/>
      <c r="N91" s="2345"/>
    </row>
    <row r="92" spans="1:37">
      <c r="A92" s="3358"/>
      <c r="B92" s="335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9"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0"/>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61"/>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59" t="s">
        <v>2796</v>
      </c>
      <c r="B101" s="2350" t="s">
        <v>2797</v>
      </c>
      <c r="C101" s="2351">
        <f>$G$3</f>
        <v>1.59</v>
      </c>
      <c r="D101" s="2351">
        <f t="shared" ref="D101:N101" si="31">$G$3</f>
        <v>1.59</v>
      </c>
      <c r="E101" s="2351">
        <f t="shared" si="31"/>
        <v>1.59</v>
      </c>
      <c r="F101" s="2351">
        <f t="shared" si="31"/>
        <v>1.59</v>
      </c>
      <c r="G101" s="2351">
        <f t="shared" si="31"/>
        <v>1.59</v>
      </c>
      <c r="H101" s="2351">
        <f t="shared" si="31"/>
        <v>1.59</v>
      </c>
      <c r="I101" s="2351">
        <f t="shared" si="31"/>
        <v>1.59</v>
      </c>
      <c r="J101" s="2351">
        <f t="shared" si="31"/>
        <v>1.59</v>
      </c>
      <c r="K101" s="2351">
        <f t="shared" si="31"/>
        <v>1.59</v>
      </c>
      <c r="L101" s="2351">
        <f t="shared" si="31"/>
        <v>1.59</v>
      </c>
      <c r="M101" s="2351">
        <f t="shared" si="31"/>
        <v>1.59</v>
      </c>
      <c r="N101" s="2351">
        <f t="shared" si="31"/>
        <v>1.59</v>
      </c>
    </row>
    <row r="102" spans="1:14">
      <c r="A102" s="3360"/>
      <c r="B102" s="2346">
        <v>1</v>
      </c>
      <c r="C102" s="2347">
        <f>1.9362/C101</f>
        <v>1.2177358490566037</v>
      </c>
      <c r="D102" s="2347">
        <f>1.9362/D101</f>
        <v>1.2177358490566037</v>
      </c>
      <c r="E102" s="2347">
        <f>1.8629/E101</f>
        <v>1.171635220125786</v>
      </c>
      <c r="F102" s="2347">
        <f>1.8629/F101</f>
        <v>1.171635220125786</v>
      </c>
      <c r="G102" s="2347">
        <f>1.8629/G101</f>
        <v>1.171635220125786</v>
      </c>
      <c r="H102" s="2347">
        <f>1.8629/H101</f>
        <v>1.171635220125786</v>
      </c>
      <c r="I102" s="2347">
        <f>1.8629/I101</f>
        <v>1.171635220125786</v>
      </c>
      <c r="J102" s="2347">
        <f>1.942/J101</f>
        <v>1.2213836477987421</v>
      </c>
      <c r="K102" s="2347">
        <f>1.942/K101</f>
        <v>1.2213836477987421</v>
      </c>
      <c r="L102" s="2347">
        <f>1.942/L101</f>
        <v>1.2213836477987421</v>
      </c>
      <c r="M102" s="2347">
        <f>1.942/M101</f>
        <v>1.2213836477987421</v>
      </c>
      <c r="N102" s="2347">
        <f>1.942/N101</f>
        <v>1.2213836477987421</v>
      </c>
    </row>
    <row r="103" spans="1:14">
      <c r="A103" s="3360"/>
      <c r="B103" s="2346">
        <v>2</v>
      </c>
      <c r="C103" s="2347">
        <f>1.4198/C101</f>
        <v>0.89295597484276723</v>
      </c>
      <c r="D103" s="2347">
        <f>1.4198/D101</f>
        <v>0.89295597484276723</v>
      </c>
      <c r="E103" s="2347">
        <f>1.3372/E101</f>
        <v>0.841006289308176</v>
      </c>
      <c r="F103" s="2347">
        <f>1.3372/F101</f>
        <v>0.841006289308176</v>
      </c>
      <c r="G103" s="2347">
        <f>1.3372/G101</f>
        <v>0.841006289308176</v>
      </c>
      <c r="H103" s="2347">
        <f>1.3372/H101</f>
        <v>0.841006289308176</v>
      </c>
      <c r="I103" s="2347">
        <f>1.3372/I101</f>
        <v>0.841006289308176</v>
      </c>
      <c r="J103" s="2347">
        <f>1.2799/J101</f>
        <v>0.80496855345911944</v>
      </c>
      <c r="K103" s="2347">
        <f>1.2799/K101</f>
        <v>0.80496855345911944</v>
      </c>
      <c r="L103" s="2347">
        <f>1.2799/L101</f>
        <v>0.80496855345911944</v>
      </c>
      <c r="M103" s="2347">
        <f>1.2799/M101</f>
        <v>0.80496855345911944</v>
      </c>
      <c r="N103" s="2347">
        <f>1.2799/N101</f>
        <v>0.80496855345911944</v>
      </c>
    </row>
    <row r="104" spans="1:14">
      <c r="A104" s="3360"/>
      <c r="B104" s="2346">
        <v>3</v>
      </c>
      <c r="C104" s="2347">
        <f>1.1594/C101</f>
        <v>0.72918238993710682</v>
      </c>
      <c r="D104" s="2347">
        <f>1.1594/D101</f>
        <v>0.72918238993710682</v>
      </c>
      <c r="E104" s="2347">
        <f>1.0788/E101</f>
        <v>0.67849056603773583</v>
      </c>
      <c r="F104" s="2347">
        <f>1.0788/F101</f>
        <v>0.67849056603773583</v>
      </c>
      <c r="G104" s="2347">
        <f>1.0788/G101</f>
        <v>0.67849056603773583</v>
      </c>
      <c r="H104" s="2347">
        <f>1.0788/H101</f>
        <v>0.67849056603773583</v>
      </c>
      <c r="I104" s="2347">
        <f>1.0788/I101</f>
        <v>0.67849056603773583</v>
      </c>
      <c r="J104" s="2347">
        <f>1.0072/J101</f>
        <v>0.63345911949685541</v>
      </c>
      <c r="K104" s="2347">
        <f>1.0072/K101</f>
        <v>0.63345911949685541</v>
      </c>
      <c r="L104" s="2347">
        <f>1.0072/L101</f>
        <v>0.63345911949685541</v>
      </c>
      <c r="M104" s="2347">
        <f>1.0072/M101</f>
        <v>0.63345911949685541</v>
      </c>
      <c r="N104" s="2347">
        <f>1.0072/N101</f>
        <v>0.63345911949685541</v>
      </c>
    </row>
    <row r="105" spans="1:14">
      <c r="A105" s="3360"/>
      <c r="B105" s="2346">
        <v>4</v>
      </c>
      <c r="C105" s="2347">
        <f>0.9622/C101</f>
        <v>0.60515723270440247</v>
      </c>
      <c r="D105" s="2347">
        <f>0.9622/D101</f>
        <v>0.60515723270440247</v>
      </c>
      <c r="E105" s="2347">
        <f>0.8656/E101</f>
        <v>0.54440251572327047</v>
      </c>
      <c r="F105" s="2347">
        <f>0.8656/F101</f>
        <v>0.54440251572327047</v>
      </c>
      <c r="G105" s="2347">
        <f>0.8656/G101</f>
        <v>0.54440251572327047</v>
      </c>
      <c r="H105" s="2347">
        <f>0.8656/H101</f>
        <v>0.54440251572327047</v>
      </c>
      <c r="I105" s="2347">
        <f>0.8656/I101</f>
        <v>0.54440251572327047</v>
      </c>
      <c r="J105" s="2347">
        <f>0.7525/J101</f>
        <v>0.47327044025157228</v>
      </c>
      <c r="K105" s="2347">
        <f>0.7525/K101</f>
        <v>0.47327044025157228</v>
      </c>
      <c r="L105" s="2347">
        <f>0.7525/L101</f>
        <v>0.47327044025157228</v>
      </c>
      <c r="M105" s="2347">
        <f>0.7525/M101</f>
        <v>0.47327044025157228</v>
      </c>
      <c r="N105" s="2347">
        <f>0.7525/N101</f>
        <v>0.47327044025157228</v>
      </c>
    </row>
    <row r="106" spans="1:14">
      <c r="A106" s="3360"/>
      <c r="B106" s="2346">
        <v>5</v>
      </c>
      <c r="C106" s="2347">
        <f>0.8417/C101</f>
        <v>0.52937106918238996</v>
      </c>
      <c r="D106" s="2347">
        <f>0.8417/D101</f>
        <v>0.52937106918238996</v>
      </c>
      <c r="E106" s="2347">
        <f>0.7371/E101</f>
        <v>0.4635849056603773</v>
      </c>
      <c r="F106" s="2347">
        <f>0.7371/F101</f>
        <v>0.4635849056603773</v>
      </c>
      <c r="G106" s="2347">
        <f>0.7371/G101</f>
        <v>0.4635849056603773</v>
      </c>
      <c r="H106" s="2347">
        <f>0.7371/H101</f>
        <v>0.4635849056603773</v>
      </c>
      <c r="I106" s="2347">
        <f>0.7371/I101</f>
        <v>0.4635849056603773</v>
      </c>
      <c r="J106" s="2347">
        <f>0.5659/J101</f>
        <v>0.35591194968553452</v>
      </c>
      <c r="K106" s="2347">
        <f>0.5659/K101</f>
        <v>0.35591194968553452</v>
      </c>
      <c r="L106" s="2347">
        <f>0.5659/L101</f>
        <v>0.35591194968553452</v>
      </c>
      <c r="M106" s="2347">
        <f>0.5659/M101</f>
        <v>0.35591194968553452</v>
      </c>
      <c r="N106" s="2347">
        <f>0.5659/N101</f>
        <v>0.35591194968553452</v>
      </c>
    </row>
    <row r="107" spans="1:14">
      <c r="A107" s="3360"/>
      <c r="B107" s="2346">
        <v>6</v>
      </c>
      <c r="C107" s="2347">
        <f>0.7608/C101</f>
        <v>0.47849056603773582</v>
      </c>
      <c r="D107" s="2347">
        <f>0.7608/D101</f>
        <v>0.47849056603773582</v>
      </c>
      <c r="E107" s="2347">
        <f>0.6482/E101</f>
        <v>0.40767295597484277</v>
      </c>
      <c r="F107" s="2347">
        <f>0.6482/F101</f>
        <v>0.40767295597484277</v>
      </c>
      <c r="G107" s="2347">
        <f>0.6482/G101</f>
        <v>0.40767295597484277</v>
      </c>
      <c r="H107" s="2347">
        <f>0.6482/H101</f>
        <v>0.40767295597484277</v>
      </c>
      <c r="I107" s="2347">
        <f>0.6482/I101</f>
        <v>0.40767295597484277</v>
      </c>
      <c r="J107" s="2347">
        <f>0.4525/J101</f>
        <v>0.28459119496855345</v>
      </c>
      <c r="K107" s="2347">
        <f>0.4525/K101</f>
        <v>0.28459119496855345</v>
      </c>
      <c r="L107" s="2347">
        <f>0.4525/L101</f>
        <v>0.28459119496855345</v>
      </c>
      <c r="M107" s="2347">
        <f>0.4525/M101</f>
        <v>0.28459119496855345</v>
      </c>
      <c r="N107" s="2347">
        <f>0.4525/N101</f>
        <v>0.28459119496855345</v>
      </c>
    </row>
    <row r="108" spans="1:14">
      <c r="A108" s="3360"/>
      <c r="B108" s="3362" t="s">
        <v>2798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61"/>
      <c r="B109" s="3363"/>
      <c r="C109" s="2349">
        <f>(-0.163*(C108^2)-0.59*C108+7617)*(10^(-4))/C101</f>
        <v>0.47900924528301886</v>
      </c>
      <c r="D109" s="2349">
        <f>(-0.163*(D108^2)-0.59*D108+7617)*(10^(-4))/D101</f>
        <v>0.47900924528301886</v>
      </c>
      <c r="E109" s="2349">
        <f>(-0.161*(E108^2)-7.509*E108+6533)*(10^(-4))/E101</f>
        <v>0.41039811320754715</v>
      </c>
      <c r="F109" s="2349">
        <f>(-0.161*(F108^2)-7.509*F108+6533)*(10^(-4))/F101</f>
        <v>0.41039811320754715</v>
      </c>
      <c r="G109" s="2349">
        <f>(-0.161*(G108^2)-7.509*G108+6533)*(10^(-4))/G101</f>
        <v>0.41039811320754715</v>
      </c>
      <c r="H109" s="2349">
        <f>(-0.161*(H108^2)-7.509*H108+6533)*(10^(-4))/H101</f>
        <v>0.41039811320754715</v>
      </c>
      <c r="I109" s="2349">
        <f>(-0.161*(I108^2)-7.509*I108+6533)*(10^(-4))/I101</f>
        <v>0.41039811320754715</v>
      </c>
      <c r="J109" s="2349">
        <f>(-0.214*(J108^2)-21.991*J108+4665)*(10^(-4))/J101</f>
        <v>0.29199968553459121</v>
      </c>
      <c r="K109" s="2349">
        <f>(-0.214*(K108^2)-21.991*K108+4665)*(10^(-4))/K101</f>
        <v>0.29199968553459121</v>
      </c>
      <c r="L109" s="2349">
        <f>(-0.214*(L108^2)-21.991*L108+4665)*(10^(-4))/L101</f>
        <v>0.29199968553459121</v>
      </c>
      <c r="M109" s="2349">
        <f>(-0.214*(M108^2)-21.991*M108+4665)*(10^(-4))/M101</f>
        <v>0.29199968553459121</v>
      </c>
      <c r="N109" s="2349">
        <f>(-0.214*(N108^2)-21.991*N108+4665)*(10^(-4))/N101</f>
        <v>0.29199968553459121</v>
      </c>
    </row>
    <row r="110" spans="1:14">
      <c r="A110" s="3357" t="s">
        <v>2799</v>
      </c>
      <c r="B110" s="3357"/>
      <c r="C110" s="3357"/>
      <c r="D110" s="3357"/>
      <c r="E110" s="3357"/>
      <c r="F110" s="3357"/>
      <c r="G110" s="3357"/>
      <c r="H110" s="3357"/>
      <c r="I110" s="3357"/>
      <c r="J110" s="3357"/>
      <c r="K110" s="2352"/>
      <c r="L110" s="2352"/>
      <c r="M110" s="2352"/>
      <c r="N110" s="2352"/>
    </row>
    <row r="112" spans="1:14" ht="13.5" thickBot="1"/>
    <row r="113" spans="1:13" ht="25.5" thickBot="1">
      <c r="A113" s="842" t="s">
        <v>2800</v>
      </c>
      <c r="B113" s="1197">
        <f>G3</f>
        <v>1.59</v>
      </c>
      <c r="C113" s="843" t="s">
        <v>2801</v>
      </c>
      <c r="D113" s="844">
        <f>SUMPRODUCT((A115:A118=F113)*(B114:M114=H113)*B115:M118)</f>
        <v>0.81579999999999997</v>
      </c>
      <c r="E113" s="2188" t="s">
        <v>2635</v>
      </c>
      <c r="F113" s="2354" t="str">
        <f>E2</f>
        <v>商业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0.91859999999999997</v>
      </c>
      <c r="C115" s="849">
        <f>B115</f>
        <v>0.91859999999999997</v>
      </c>
      <c r="D115" s="849">
        <f>ROUND(0.8331-0.0109*B113,4)</f>
        <v>0.81579999999999997</v>
      </c>
      <c r="E115" s="849">
        <f>D115</f>
        <v>0.81579999999999997</v>
      </c>
      <c r="F115" s="849">
        <f>E115</f>
        <v>0.81579999999999997</v>
      </c>
      <c r="G115" s="849">
        <f>F115</f>
        <v>0.81579999999999997</v>
      </c>
      <c r="H115" s="849">
        <f>G115</f>
        <v>0.81579999999999997</v>
      </c>
      <c r="I115" s="849">
        <f>ROUND(0.689-0.0155*B113,4)</f>
        <v>0.66439999999999999</v>
      </c>
      <c r="J115" s="849">
        <f t="shared" ref="J115:M118" si="33">I115</f>
        <v>0.66439999999999999</v>
      </c>
      <c r="K115" s="849">
        <f t="shared" si="33"/>
        <v>0.66439999999999999</v>
      </c>
      <c r="L115" s="849">
        <f t="shared" si="33"/>
        <v>0.66439999999999999</v>
      </c>
      <c r="M115" s="850">
        <f t="shared" si="33"/>
        <v>0.66439999999999999</v>
      </c>
    </row>
    <row r="116" spans="1:13">
      <c r="A116" s="848" t="s">
        <v>2700</v>
      </c>
      <c r="B116" s="849">
        <f>ROUND(0.949-0.012*B113,4)</f>
        <v>0.92989999999999995</v>
      </c>
      <c r="C116" s="849">
        <f>B116</f>
        <v>0.92989999999999995</v>
      </c>
      <c r="D116" s="849">
        <f>ROUND(0.8567-0.013*B113,4)</f>
        <v>0.83599999999999997</v>
      </c>
      <c r="E116" s="849">
        <f t="shared" ref="E116:H117" si="34">D116</f>
        <v>0.83599999999999997</v>
      </c>
      <c r="F116" s="849">
        <f t="shared" si="34"/>
        <v>0.83599999999999997</v>
      </c>
      <c r="G116" s="849">
        <f t="shared" si="34"/>
        <v>0.83599999999999997</v>
      </c>
      <c r="H116" s="849">
        <f t="shared" si="34"/>
        <v>0.83599999999999997</v>
      </c>
      <c r="I116" s="849">
        <f>ROUND(0.7694-0.014*B113,4)</f>
        <v>0.74709999999999999</v>
      </c>
      <c r="J116" s="849">
        <f t="shared" si="33"/>
        <v>0.74709999999999999</v>
      </c>
      <c r="K116" s="849">
        <f t="shared" si="33"/>
        <v>0.74709999999999999</v>
      </c>
      <c r="L116" s="849">
        <f t="shared" si="33"/>
        <v>0.74709999999999999</v>
      </c>
      <c r="M116" s="850">
        <f t="shared" si="33"/>
        <v>0.74709999999999999</v>
      </c>
    </row>
    <row r="117" spans="1:13">
      <c r="A117" s="848" t="s">
        <v>2701</v>
      </c>
      <c r="B117" s="849">
        <f>ROUND(0.8808-0.006*B113,4)</f>
        <v>0.87129999999999996</v>
      </c>
      <c r="C117" s="849">
        <f>B117</f>
        <v>0.87129999999999996</v>
      </c>
      <c r="D117" s="849">
        <f>ROUND(0.8748-0.008*B113,4)</f>
        <v>0.86209999999999998</v>
      </c>
      <c r="E117" s="849">
        <f t="shared" si="34"/>
        <v>0.86209999999999998</v>
      </c>
      <c r="F117" s="849">
        <f t="shared" si="34"/>
        <v>0.86209999999999998</v>
      </c>
      <c r="G117" s="849">
        <f t="shared" si="34"/>
        <v>0.86209999999999998</v>
      </c>
      <c r="H117" s="849">
        <f t="shared" si="34"/>
        <v>0.86209999999999998</v>
      </c>
      <c r="I117" s="849">
        <f>ROUND(0.7412-0.0095*B113,4)</f>
        <v>0.72609999999999997</v>
      </c>
      <c r="J117" s="849">
        <f t="shared" si="33"/>
        <v>0.72609999999999997</v>
      </c>
      <c r="K117" s="849">
        <f t="shared" si="33"/>
        <v>0.72609999999999997</v>
      </c>
      <c r="L117" s="849">
        <f t="shared" si="33"/>
        <v>0.72609999999999997</v>
      </c>
      <c r="M117" s="850">
        <f t="shared" si="33"/>
        <v>0.72609999999999997</v>
      </c>
    </row>
    <row r="118" spans="1:13" ht="13.5" thickBot="1">
      <c r="A118" s="670" t="s">
        <v>2702</v>
      </c>
      <c r="B118" s="851">
        <f>ROUND(0.7275-0.01*B113,4)</f>
        <v>0.71160000000000001</v>
      </c>
      <c r="C118" s="851">
        <f>B118</f>
        <v>0.71160000000000001</v>
      </c>
      <c r="D118" s="851">
        <f>ROUND(0.7043-0.012*B113,4)</f>
        <v>0.68520000000000003</v>
      </c>
      <c r="E118" s="851">
        <f>D118</f>
        <v>0.68520000000000003</v>
      </c>
      <c r="F118" s="851">
        <f>E118</f>
        <v>0.68520000000000003</v>
      </c>
      <c r="G118" s="851">
        <f>ROUND(0.6299-0.0122*B113,4)</f>
        <v>0.61050000000000004</v>
      </c>
      <c r="H118" s="851">
        <f>G118</f>
        <v>0.61050000000000004</v>
      </c>
      <c r="I118" s="851">
        <f>ROUND(0.5667-0.0136*B113,4)</f>
        <v>0.54510000000000003</v>
      </c>
      <c r="J118" s="851">
        <f t="shared" si="33"/>
        <v>0.54510000000000003</v>
      </c>
      <c r="K118" s="851">
        <f t="shared" si="33"/>
        <v>0.54510000000000003</v>
      </c>
      <c r="L118" s="851">
        <f t="shared" si="33"/>
        <v>0.54510000000000003</v>
      </c>
      <c r="M118" s="852">
        <f t="shared" si="33"/>
        <v>0.54510000000000003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8" activeCellId="1" sqref="H3 D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6762</v>
      </c>
      <c r="C2" s="2361" t="s">
        <v>2815</v>
      </c>
      <c r="D2" s="2361" t="s">
        <v>2816</v>
      </c>
      <c r="E2" s="2838">
        <f ca="1">SUMIF(E6:E13,"&lt;&gt;#ref!",E6:E13)</f>
        <v>1645.9899999999998</v>
      </c>
      <c r="F2" s="3024"/>
      <c r="G2" s="3024"/>
      <c r="H2" s="3024"/>
      <c r="I2" s="3024"/>
      <c r="J2" s="3024"/>
      <c r="K2" s="3024"/>
      <c r="L2" s="3024"/>
      <c r="M2" s="3024"/>
      <c r="N2" s="3024"/>
      <c r="O2" s="3024"/>
      <c r="P2" s="3024"/>
    </row>
    <row r="3" spans="1:16" ht="15.75">
      <c r="A3" s="2361" t="s">
        <v>2817</v>
      </c>
      <c r="B3" s="2828">
        <f ca="1">ROUND(B2*10000/E2,0)</f>
        <v>41082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6762</v>
      </c>
      <c r="C6" s="2361" t="s">
        <v>2815</v>
      </c>
      <c r="D6" s="3024"/>
      <c r="E6" s="2838">
        <f ca="1">SUMIF(INDIRECT("'"&amp;A6&amp;"'"&amp;"!C:C"),"建筑面积",INDIRECT("'"&amp;A6&amp;"'"&amp;"!D:D"))</f>
        <v>1645.9899999999998</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52" sqref="F5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6" t="s">
        <v>1117</v>
      </c>
      <c r="C1" s="3386"/>
      <c r="D1" s="3386"/>
      <c r="E1" s="3386"/>
      <c r="F1" s="3386"/>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4">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2856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3059</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3">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3058</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40">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2872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2870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2869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2868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2866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2864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2867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4">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2862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4"/>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2861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4"/>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2854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1"/>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7">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4"/>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3"/>
        <v>419.31181600000002</v>
      </c>
      <c r="C21" s="2424">
        <f t="shared" si="164"/>
        <v>313.95436800000004</v>
      </c>
      <c r="D21" s="2424">
        <f t="shared" si="165"/>
        <v>313.95436800000004</v>
      </c>
      <c r="E21" s="2424">
        <f t="shared" si="166"/>
        <v>596.63028431999999</v>
      </c>
      <c r="F21" s="2424">
        <f t="shared" si="167"/>
        <v>274.74220703999998</v>
      </c>
      <c r="G21" s="3384"/>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1"/>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7">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4"/>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6"/>
        <v>360.06949782209392</v>
      </c>
      <c r="C25" s="2424">
        <f t="shared" si="176"/>
        <v>289.84672674747821</v>
      </c>
      <c r="D25" s="2424">
        <f t="shared" si="177"/>
        <v>289.84672674747821</v>
      </c>
      <c r="E25" s="2424">
        <f t="shared" si="178"/>
        <v>501.06543001181495</v>
      </c>
      <c r="F25" s="2424">
        <f t="shared" si="178"/>
        <v>256.82882500744967</v>
      </c>
      <c r="G25" s="3384"/>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6"/>
        <v>346.720748986128</v>
      </c>
      <c r="C26" s="2424">
        <f t="shared" si="176"/>
        <v>284.30282172386285</v>
      </c>
      <c r="D26" s="2424">
        <f t="shared" si="177"/>
        <v>284.30282172386285</v>
      </c>
      <c r="E26" s="2424">
        <f t="shared" si="178"/>
        <v>479.58023546306947</v>
      </c>
      <c r="F26" s="2424">
        <f t="shared" si="178"/>
        <v>253.25788877571213</v>
      </c>
      <c r="G26" s="3385"/>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77"/>
        <v>277</v>
      </c>
      <c r="E27" s="2438">
        <v>459</v>
      </c>
      <c r="F27" s="2439">
        <v>249</v>
      </c>
      <c r="G27" s="3383">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4"/>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0"/>
        <v>322.34053690220776</v>
      </c>
      <c r="C29" s="2424">
        <f t="shared" si="180"/>
        <v>271.46160770422546</v>
      </c>
      <c r="D29" s="2424">
        <f t="shared" si="177"/>
        <v>271.46160770422546</v>
      </c>
      <c r="E29" s="2424">
        <f t="shared" si="181"/>
        <v>442.69434542172456</v>
      </c>
      <c r="F29" s="2424">
        <f t="shared" si="181"/>
        <v>241.34030753190925</v>
      </c>
      <c r="G29" s="3384"/>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0"/>
        <v>319.87748030386797</v>
      </c>
      <c r="C30" s="2424">
        <f t="shared" si="180"/>
        <v>269.60135833173649</v>
      </c>
      <c r="D30" s="2424">
        <f t="shared" si="177"/>
        <v>269.60135833173649</v>
      </c>
      <c r="E30" s="2424">
        <f t="shared" si="181"/>
        <v>439.18089823583784</v>
      </c>
      <c r="F30" s="2424">
        <f t="shared" si="181"/>
        <v>239.23503918706311</v>
      </c>
      <c r="G30" s="3385"/>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77"/>
        <v>268</v>
      </c>
      <c r="E31" s="2452">
        <v>437</v>
      </c>
      <c r="F31" s="2453">
        <v>237</v>
      </c>
      <c r="G31" s="3383">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4"/>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2"/>
        <v>314.72141172386546</v>
      </c>
      <c r="C33" s="2424">
        <f t="shared" si="182"/>
        <v>263.03901319069001</v>
      </c>
      <c r="D33" s="2424">
        <f t="shared" si="177"/>
        <v>263.03901319069001</v>
      </c>
      <c r="E33" s="2424">
        <f t="shared" si="183"/>
        <v>433.65745506782821</v>
      </c>
      <c r="F33" s="2424">
        <f t="shared" si="183"/>
        <v>233.23005080045735</v>
      </c>
      <c r="G33" s="3384"/>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144</v>
      </c>
      <c r="B34" s="2457">
        <f t="shared" si="182"/>
        <v>307.34512863658733</v>
      </c>
      <c r="C34" s="2457">
        <f t="shared" si="182"/>
        <v>257.80556031626975</v>
      </c>
      <c r="D34" s="2457">
        <f t="shared" si="177"/>
        <v>257.80556031626975</v>
      </c>
      <c r="E34" s="2457">
        <f t="shared" si="183"/>
        <v>422.70928459677179</v>
      </c>
      <c r="F34" s="2457">
        <f t="shared" si="183"/>
        <v>229.73803270336617</v>
      </c>
      <c r="G34" s="3385"/>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77"/>
        <v>252</v>
      </c>
      <c r="E35" s="2438">
        <v>409</v>
      </c>
      <c r="F35" s="2439">
        <v>227</v>
      </c>
      <c r="G35" s="3388">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1131</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89"/>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1132</v>
      </c>
      <c r="B37" s="2424">
        <f t="shared" si="186"/>
        <v>288.2649053828776</v>
      </c>
      <c r="C37" s="2424">
        <f t="shared" si="186"/>
        <v>243.64564425013293</v>
      </c>
      <c r="D37" s="2424">
        <f t="shared" si="177"/>
        <v>243.64564425013293</v>
      </c>
      <c r="E37" s="2424">
        <f t="shared" si="187"/>
        <v>393.31080825986544</v>
      </c>
      <c r="F37" s="2424">
        <f t="shared" si="187"/>
        <v>223.07903790551154</v>
      </c>
      <c r="G37" s="3389"/>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1133</v>
      </c>
      <c r="B38" s="2424">
        <f t="shared" si="186"/>
        <v>282.50186729015837</v>
      </c>
      <c r="C38" s="2424">
        <f t="shared" si="186"/>
        <v>238.09796174155468</v>
      </c>
      <c r="D38" s="2424">
        <f t="shared" si="177"/>
        <v>238.09796174155468</v>
      </c>
      <c r="E38" s="2424">
        <f t="shared" si="187"/>
        <v>385.33438646014054</v>
      </c>
      <c r="F38" s="2424">
        <f t="shared" si="187"/>
        <v>221.55034055567739</v>
      </c>
      <c r="G38" s="3390"/>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77"/>
        <v>234</v>
      </c>
      <c r="E39" s="2473">
        <v>379</v>
      </c>
      <c r="F39" s="2474">
        <v>220</v>
      </c>
      <c r="G39" s="3383">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77"/>
        <v>232.41954707985698</v>
      </c>
      <c r="E40" s="2424">
        <f t="shared" ref="E40:F42" si="188">E39/(1+P39)</f>
        <v>375.32184591008121</v>
      </c>
      <c r="F40" s="2424">
        <f t="shared" si="188"/>
        <v>218.03766105054513</v>
      </c>
      <c r="G40" s="3384"/>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1136</v>
      </c>
      <c r="B41" s="2424">
        <f>B40/(1+N40)</f>
        <v>275.24529281292263</v>
      </c>
      <c r="C41" s="2424">
        <f>C40/(1+O40)</f>
        <v>231.74747938962707</v>
      </c>
      <c r="D41" s="2424">
        <f t="shared" si="177"/>
        <v>231.74747938962707</v>
      </c>
      <c r="E41" s="2424">
        <f t="shared" si="188"/>
        <v>375.35938184826603</v>
      </c>
      <c r="F41" s="2424">
        <f t="shared" si="188"/>
        <v>216.78033510692495</v>
      </c>
      <c r="G41" s="3384"/>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1137</v>
      </c>
      <c r="B42" s="2424">
        <f>B41/(1+N41)</f>
        <v>275.19025476197027</v>
      </c>
      <c r="C42" s="2475">
        <v>232</v>
      </c>
      <c r="D42" s="2475">
        <f t="shared" si="177"/>
        <v>232</v>
      </c>
      <c r="E42" s="2424">
        <f t="shared" si="188"/>
        <v>375.65990977608692</v>
      </c>
      <c r="F42" s="2424">
        <f t="shared" si="188"/>
        <v>214.12518283971252</v>
      </c>
      <c r="G42" s="3385"/>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77"/>
        <v>232</v>
      </c>
      <c r="E43" s="2438">
        <v>376</v>
      </c>
      <c r="F43" s="2439">
        <v>213</v>
      </c>
      <c r="G43" s="3383">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1139</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4">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1140</v>
      </c>
      <c r="B45" s="2424">
        <f t="shared" si="189"/>
        <v>275.19335084830601</v>
      </c>
      <c r="C45" s="2424">
        <f t="shared" si="189"/>
        <v>230.18088050139744</v>
      </c>
      <c r="D45" s="2424">
        <f t="shared" si="177"/>
        <v>230.18088050139744</v>
      </c>
      <c r="E45" s="2424">
        <f t="shared" si="190"/>
        <v>377.58482925212331</v>
      </c>
      <c r="F45" s="2424">
        <f t="shared" si="190"/>
        <v>210.90687997847917</v>
      </c>
      <c r="G45" s="3384">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1141</v>
      </c>
      <c r="B46" s="2424">
        <f t="shared" si="189"/>
        <v>276.29854502841971</v>
      </c>
      <c r="C46" s="2424">
        <f t="shared" si="189"/>
        <v>229.79023709833027</v>
      </c>
      <c r="D46" s="2424">
        <f t="shared" si="177"/>
        <v>229.79023709833027</v>
      </c>
      <c r="E46" s="2424">
        <f t="shared" si="190"/>
        <v>379.78759731655936</v>
      </c>
      <c r="F46" s="2424">
        <f t="shared" si="190"/>
        <v>211.32953905659235</v>
      </c>
      <c r="G46" s="3385">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77"/>
        <v>221</v>
      </c>
      <c r="E47" s="2438">
        <v>373</v>
      </c>
      <c r="F47" s="2439">
        <v>196</v>
      </c>
      <c r="G47" s="3383">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1143</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4">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1144</v>
      </c>
      <c r="B49" s="2424">
        <f t="shared" si="191"/>
        <v>242.95398227588385</v>
      </c>
      <c r="C49" s="2424">
        <f t="shared" si="191"/>
        <v>199.59137053614126</v>
      </c>
      <c r="D49" s="2424">
        <f t="shared" si="177"/>
        <v>199.59137053614126</v>
      </c>
      <c r="E49" s="2424">
        <f t="shared" si="192"/>
        <v>335.92189522342125</v>
      </c>
      <c r="F49" s="2424">
        <f t="shared" si="192"/>
        <v>183.10139991109489</v>
      </c>
      <c r="G49" s="3384">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1145</v>
      </c>
      <c r="B50" s="2424">
        <f t="shared" si="191"/>
        <v>232.06990378821649</v>
      </c>
      <c r="C50" s="2424">
        <f t="shared" si="191"/>
        <v>192.74878854286936</v>
      </c>
      <c r="D50" s="2424">
        <f t="shared" si="177"/>
        <v>192.74878854286936</v>
      </c>
      <c r="E50" s="2424">
        <f t="shared" si="192"/>
        <v>319.71247284992984</v>
      </c>
      <c r="F50" s="2424">
        <f t="shared" si="192"/>
        <v>175.67053622862409</v>
      </c>
      <c r="G50" s="3385">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77"/>
        <v>187</v>
      </c>
      <c r="E51" s="2438">
        <v>301</v>
      </c>
      <c r="F51" s="2439">
        <v>168</v>
      </c>
      <c r="G51" s="3383">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1147</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4">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1148</v>
      </c>
      <c r="B53" s="2424">
        <f t="shared" si="193"/>
        <v>210.630522469011</v>
      </c>
      <c r="C53" s="2424">
        <f t="shared" si="193"/>
        <v>181.69567812247232</v>
      </c>
      <c r="D53" s="2424">
        <f t="shared" si="177"/>
        <v>181.69567812247232</v>
      </c>
      <c r="E53" s="2424">
        <f t="shared" si="194"/>
        <v>286.13517466736738</v>
      </c>
      <c r="F53" s="2424">
        <f t="shared" si="194"/>
        <v>165.47535084591149</v>
      </c>
      <c r="G53" s="3384">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1149</v>
      </c>
      <c r="B54" s="2424">
        <f t="shared" si="193"/>
        <v>208.83454537875372</v>
      </c>
      <c r="C54" s="2424">
        <f t="shared" si="193"/>
        <v>183.77230517090351</v>
      </c>
      <c r="D54" s="2424">
        <f t="shared" si="177"/>
        <v>183.77230517090351</v>
      </c>
      <c r="E54" s="2424">
        <f t="shared" si="194"/>
        <v>281.10342338870947</v>
      </c>
      <c r="F54" s="2424">
        <f t="shared" si="194"/>
        <v>168.97309388942256</v>
      </c>
      <c r="G54" s="3385">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77"/>
        <v>188</v>
      </c>
      <c r="E55" s="2473">
        <v>289</v>
      </c>
      <c r="F55" s="2474">
        <v>166</v>
      </c>
      <c r="G55" s="3383">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1151</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4">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1152</v>
      </c>
      <c r="B57" s="2424">
        <f t="shared" si="195"/>
        <v>206.31694671589116</v>
      </c>
      <c r="C57" s="2424">
        <f t="shared" si="195"/>
        <v>183.61041121036101</v>
      </c>
      <c r="D57" s="2424">
        <f t="shared" si="177"/>
        <v>183.61041121036101</v>
      </c>
      <c r="E57" s="2424">
        <f t="shared" si="196"/>
        <v>276.66850301795557</v>
      </c>
      <c r="F57" s="2424">
        <f t="shared" si="196"/>
        <v>165.1360938278614</v>
      </c>
      <c r="G57" s="3384">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1153</v>
      </c>
      <c r="B58" s="2476">
        <f t="shared" si="195"/>
        <v>196.62341248059772</v>
      </c>
      <c r="C58" s="2476">
        <f t="shared" si="195"/>
        <v>170.99125648199012</v>
      </c>
      <c r="D58" s="2476">
        <f t="shared" si="177"/>
        <v>170.99125648199012</v>
      </c>
      <c r="E58" s="2476">
        <f t="shared" si="196"/>
        <v>266.07857570490052</v>
      </c>
      <c r="F58" s="2476">
        <f t="shared" si="196"/>
        <v>154.53499328828505</v>
      </c>
      <c r="G58" s="3385">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77"/>
        <v>165</v>
      </c>
      <c r="E59" s="2438">
        <v>254</v>
      </c>
      <c r="F59" s="2439">
        <v>148</v>
      </c>
      <c r="G59" s="3383">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1155</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4">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1156</v>
      </c>
      <c r="B61" s="2424">
        <f t="shared" si="199"/>
        <v>168.82017748715555</v>
      </c>
      <c r="C61" s="2424">
        <f t="shared" si="199"/>
        <v>148.06267029972753</v>
      </c>
      <c r="D61" s="2424">
        <f t="shared" si="177"/>
        <v>148.06267029972753</v>
      </c>
      <c r="E61" s="2424">
        <f t="shared" si="200"/>
        <v>216.46288379323747</v>
      </c>
      <c r="F61" s="2424">
        <f t="shared" si="200"/>
        <v>134.23529411764704</v>
      </c>
      <c r="G61" s="3384">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1157</v>
      </c>
      <c r="B62" s="2424">
        <f t="shared" si="199"/>
        <v>163.84913591779542</v>
      </c>
      <c r="C62" s="2424">
        <f t="shared" si="199"/>
        <v>145.0283378746594</v>
      </c>
      <c r="D62" s="2424">
        <f t="shared" si="177"/>
        <v>145.0283378746594</v>
      </c>
      <c r="E62" s="2424">
        <f t="shared" si="200"/>
        <v>204.95180722891567</v>
      </c>
      <c r="F62" s="2424">
        <f t="shared" si="200"/>
        <v>125.95920303605313</v>
      </c>
      <c r="G62" s="3385">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77"/>
        <v>141</v>
      </c>
      <c r="E63" s="2452">
        <v>195</v>
      </c>
      <c r="F63" s="2453">
        <v>122</v>
      </c>
      <c r="G63" s="3383">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1159</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4">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1160</v>
      </c>
      <c r="B65" s="2424">
        <f t="shared" si="203"/>
        <v>146.57412060301507</v>
      </c>
      <c r="C65" s="2424">
        <f t="shared" si="203"/>
        <v>136.46831955922866</v>
      </c>
      <c r="D65" s="2424">
        <f t="shared" si="177"/>
        <v>136.46831955922866</v>
      </c>
      <c r="E65" s="2424">
        <f t="shared" si="204"/>
        <v>166.73864894795128</v>
      </c>
      <c r="F65" s="2424">
        <f t="shared" si="204"/>
        <v>115.05882352941177</v>
      </c>
      <c r="G65" s="3384">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1161</v>
      </c>
      <c r="B66" s="2424">
        <f t="shared" si="203"/>
        <v>144.04145728643215</v>
      </c>
      <c r="C66" s="2424">
        <f t="shared" si="203"/>
        <v>136.12396694214877</v>
      </c>
      <c r="D66" s="2424">
        <f t="shared" si="177"/>
        <v>136.12396694214877</v>
      </c>
      <c r="E66" s="2424">
        <f t="shared" si="204"/>
        <v>158.32225913621264</v>
      </c>
      <c r="F66" s="2424">
        <f t="shared" si="204"/>
        <v>114.04278074866311</v>
      </c>
      <c r="G66" s="3385">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77"/>
        <v>131</v>
      </c>
      <c r="E67" s="2452">
        <v>155</v>
      </c>
      <c r="F67" s="2453">
        <v>114</v>
      </c>
      <c r="G67" s="3383">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1163</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4">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1164</v>
      </c>
      <c r="B69" s="2424">
        <f t="shared" si="207"/>
        <v>124.29032258064517</v>
      </c>
      <c r="C69" s="2424">
        <f t="shared" si="207"/>
        <v>123.8968609865471</v>
      </c>
      <c r="D69" s="2424">
        <f t="shared" si="177"/>
        <v>123.8968609865471</v>
      </c>
      <c r="E69" s="2424">
        <f t="shared" si="208"/>
        <v>138.00507614213197</v>
      </c>
      <c r="F69" s="2424">
        <f t="shared" si="208"/>
        <v>107.96106557377048</v>
      </c>
      <c r="G69" s="3384">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1165</v>
      </c>
      <c r="B70" s="2424">
        <f t="shared" si="207"/>
        <v>122.57204301075269</v>
      </c>
      <c r="C70" s="2424">
        <f t="shared" si="207"/>
        <v>123.4932735426009</v>
      </c>
      <c r="D70" s="2424">
        <f t="shared" si="177"/>
        <v>123.4932735426009</v>
      </c>
      <c r="E70" s="2424">
        <f t="shared" si="208"/>
        <v>129.82233502538071</v>
      </c>
      <c r="F70" s="2424">
        <f t="shared" si="208"/>
        <v>107.39446721311475</v>
      </c>
      <c r="G70" s="3385">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77"/>
        <v>122</v>
      </c>
      <c r="E71" s="2473">
        <v>124</v>
      </c>
      <c r="F71" s="2474">
        <v>107</v>
      </c>
      <c r="G71" s="3383">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1167</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4">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1168</v>
      </c>
      <c r="B73" s="2424">
        <f t="shared" si="211"/>
        <v>116.99099099099099</v>
      </c>
      <c r="C73" s="2424">
        <f t="shared" si="211"/>
        <v>118.84848484848486</v>
      </c>
      <c r="D73" s="2424">
        <f t="shared" si="177"/>
        <v>118.84848484848486</v>
      </c>
      <c r="E73" s="2424">
        <f t="shared" si="212"/>
        <v>117.60960960960961</v>
      </c>
      <c r="F73" s="2424">
        <f t="shared" si="212"/>
        <v>104</v>
      </c>
      <c r="G73" s="3384">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1169</v>
      </c>
      <c r="B74" s="2476">
        <f t="shared" si="211"/>
        <v>112.48648648648648</v>
      </c>
      <c r="C74" s="2476">
        <f t="shared" si="211"/>
        <v>115.21212121212122</v>
      </c>
      <c r="D74" s="2476">
        <f t="shared" si="177"/>
        <v>115.21212121212122</v>
      </c>
      <c r="E74" s="2476">
        <f t="shared" si="212"/>
        <v>110.4024024024024</v>
      </c>
      <c r="F74" s="2476">
        <f t="shared" si="212"/>
        <v>104</v>
      </c>
      <c r="G74" s="3385">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77"/>
        <v>114</v>
      </c>
      <c r="E75" s="2493">
        <v>108</v>
      </c>
      <c r="F75" s="2494">
        <v>104</v>
      </c>
      <c r="G75" s="3383">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3">B77+(B$75-B$79)/4</f>
        <v>109.75</v>
      </c>
      <c r="C76" s="2497">
        <f t="shared" si="213"/>
        <v>112.25</v>
      </c>
      <c r="D76" s="2497">
        <f t="shared" si="177"/>
        <v>112.25</v>
      </c>
      <c r="E76" s="2497">
        <f t="shared" ref="E76:F78" si="214">E77+(E$75-E$79)/4</f>
        <v>107.25</v>
      </c>
      <c r="F76" s="2497">
        <f t="shared" si="214"/>
        <v>103.5</v>
      </c>
      <c r="G76" s="3384">
        <v>2003</v>
      </c>
      <c r="H76" s="2449">
        <v>3</v>
      </c>
      <c r="I76" s="2495"/>
      <c r="J76" s="2495"/>
      <c r="K76" s="2495"/>
      <c r="L76" s="2495"/>
      <c r="X76" s="2487"/>
      <c r="Y76" s="2487"/>
      <c r="Z76" s="2487"/>
    </row>
    <row r="77" spans="1:26">
      <c r="A77" s="2423" t="s">
        <v>1172</v>
      </c>
      <c r="B77" s="2497">
        <f t="shared" si="213"/>
        <v>108.5</v>
      </c>
      <c r="C77" s="2497">
        <f t="shared" si="213"/>
        <v>110.5</v>
      </c>
      <c r="D77" s="2497">
        <f t="shared" si="177"/>
        <v>110.5</v>
      </c>
      <c r="E77" s="2497">
        <f t="shared" si="214"/>
        <v>106.5</v>
      </c>
      <c r="F77" s="2497">
        <f t="shared" si="214"/>
        <v>103</v>
      </c>
      <c r="G77" s="3384">
        <v>2003</v>
      </c>
      <c r="H77" s="2436">
        <v>2</v>
      </c>
      <c r="I77" s="2495"/>
      <c r="J77" s="2495"/>
      <c r="K77" s="2495"/>
      <c r="L77" s="2495"/>
      <c r="X77" s="2487"/>
      <c r="Y77" s="2487"/>
      <c r="Z77" s="2487"/>
    </row>
    <row r="78" spans="1:26" ht="13.5" thickBot="1">
      <c r="A78" s="2423" t="s">
        <v>1173</v>
      </c>
      <c r="B78" s="2497">
        <f t="shared" si="213"/>
        <v>107.25</v>
      </c>
      <c r="C78" s="2497">
        <f t="shared" si="213"/>
        <v>108.75</v>
      </c>
      <c r="D78" s="2497">
        <f t="shared" si="177"/>
        <v>108.75</v>
      </c>
      <c r="E78" s="2497">
        <f t="shared" si="214"/>
        <v>105.75</v>
      </c>
      <c r="F78" s="2497">
        <f t="shared" si="214"/>
        <v>102.5</v>
      </c>
      <c r="G78" s="3385">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77"/>
        <v>107</v>
      </c>
      <c r="E79" s="2499">
        <v>105</v>
      </c>
      <c r="F79" s="2500">
        <v>102</v>
      </c>
      <c r="G79" s="3383">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5">B81+(B$79-B$83)/4</f>
        <v>105</v>
      </c>
      <c r="C80" s="2497">
        <f t="shared" si="215"/>
        <v>106</v>
      </c>
      <c r="D80" s="2497">
        <f t="shared" si="177"/>
        <v>106</v>
      </c>
      <c r="E80" s="2497">
        <f t="shared" ref="E80:F82" si="216">E81+(E$79-E$83)/4</f>
        <v>104.5</v>
      </c>
      <c r="F80" s="2497">
        <f t="shared" si="216"/>
        <v>101.5</v>
      </c>
      <c r="G80" s="3384">
        <v>2002</v>
      </c>
      <c r="H80" s="2449">
        <v>3</v>
      </c>
      <c r="I80" s="2495"/>
      <c r="J80" s="2495"/>
      <c r="K80" s="2495"/>
      <c r="L80" s="2495"/>
      <c r="X80" s="2487"/>
      <c r="Y80" s="2487"/>
      <c r="Z80" s="2487"/>
    </row>
    <row r="81" spans="1:26">
      <c r="A81" s="2423" t="s">
        <v>1176</v>
      </c>
      <c r="B81" s="2497">
        <f t="shared" si="215"/>
        <v>104</v>
      </c>
      <c r="C81" s="2497">
        <f t="shared" si="215"/>
        <v>105</v>
      </c>
      <c r="D81" s="2497">
        <f t="shared" si="177"/>
        <v>105</v>
      </c>
      <c r="E81" s="2497">
        <f t="shared" si="216"/>
        <v>104</v>
      </c>
      <c r="F81" s="2497">
        <f t="shared" si="216"/>
        <v>101</v>
      </c>
      <c r="G81" s="3384">
        <v>2002</v>
      </c>
      <c r="H81" s="2436">
        <v>2</v>
      </c>
      <c r="I81" s="2495"/>
      <c r="J81" s="2495"/>
      <c r="K81" s="2495"/>
      <c r="L81" s="2495"/>
      <c r="X81" s="2487"/>
      <c r="Y81" s="2487"/>
      <c r="Z81" s="2487"/>
    </row>
    <row r="82" spans="1:26" s="2460" customFormat="1" ht="13.5" thickBot="1">
      <c r="A82" s="2456" t="s">
        <v>1177</v>
      </c>
      <c r="B82" s="2463">
        <f t="shared" si="215"/>
        <v>103</v>
      </c>
      <c r="C82" s="2463">
        <f t="shared" si="215"/>
        <v>104</v>
      </c>
      <c r="D82" s="2463">
        <f t="shared" si="177"/>
        <v>104</v>
      </c>
      <c r="E82" s="2463">
        <f t="shared" si="216"/>
        <v>103.5</v>
      </c>
      <c r="F82" s="2463">
        <f t="shared" si="216"/>
        <v>100.5</v>
      </c>
      <c r="G82" s="3385">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8" activeCellId="1" sqref="H3 D38"/>
      <selection pane="bottomLeft" activeCell="D38" activeCellId="1" sqref="H3 D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5" t="s">
        <v>2825</v>
      </c>
      <c r="D1" s="3396"/>
      <c r="E1" s="3396"/>
      <c r="F1" s="3396"/>
      <c r="G1" s="3396"/>
      <c r="H1" s="3396"/>
      <c r="I1" s="3396"/>
      <c r="J1" s="3396"/>
      <c r="K1" s="3396"/>
      <c r="L1" s="3396"/>
      <c r="M1" s="3396"/>
      <c r="N1" s="3396"/>
      <c r="O1" s="3396"/>
      <c r="P1" s="3396"/>
      <c r="Q1" s="3396"/>
      <c r="R1" s="3396"/>
      <c r="S1" s="339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8"/>
      <c r="B4" s="3067" t="s">
        <v>1595</v>
      </c>
      <c r="C4" s="3067"/>
      <c r="D4" s="3067"/>
      <c r="E4" s="1678"/>
    </row>
    <row r="5" spans="1:5" ht="16.5" thickTop="1">
      <c r="A5" s="1676"/>
      <c r="B5" s="3065" t="s">
        <v>1587</v>
      </c>
      <c r="C5" s="1679" t="s">
        <v>1588</v>
      </c>
      <c r="D5" s="959">
        <f ca="1">结果表!H101</f>
        <v>11075</v>
      </c>
      <c r="E5" s="1676"/>
    </row>
    <row r="6" spans="1:5" ht="15.75">
      <c r="A6" s="1676"/>
      <c r="B6" s="3065"/>
      <c r="C6" s="1679" t="s">
        <v>1589</v>
      </c>
      <c r="D6" s="959" t="str">
        <f ca="1">NUMBERSTRING(INT(D5*10000),2)&amp;"元整"</f>
        <v>壹亿壹仟零柒拾伍万元整</v>
      </c>
      <c r="E6" s="1676"/>
    </row>
    <row r="7" spans="1:5" ht="15.75">
      <c r="A7" s="1676"/>
      <c r="B7" s="3070"/>
      <c r="C7" s="1680" t="s">
        <v>1590</v>
      </c>
      <c r="D7" s="960">
        <f ca="1">结果表!H102</f>
        <v>23539</v>
      </c>
      <c r="E7" s="1676"/>
    </row>
    <row r="8" spans="1:5" ht="15.75">
      <c r="A8" s="1676"/>
      <c r="B8" s="3071" t="str">
        <f>结果表!E103</f>
        <v>2.估价师知悉的法定优先受偿款</v>
      </c>
      <c r="C8" s="1681" t="s">
        <v>1591</v>
      </c>
      <c r="D8" s="960">
        <f>结果表!H103</f>
        <v>0</v>
      </c>
      <c r="E8" s="1676"/>
    </row>
    <row r="9" spans="1:5" ht="15.75">
      <c r="A9" s="1676"/>
      <c r="B9" s="307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4" t="str">
        <f>结果表!E107</f>
        <v>3.房地产抵押价值</v>
      </c>
      <c r="C13" s="1684" t="s">
        <v>1588</v>
      </c>
      <c r="D13" s="962">
        <f ca="1">结果表!H107</f>
        <v>11075</v>
      </c>
      <c r="E13" s="1676"/>
    </row>
    <row r="14" spans="1:5" ht="15.75">
      <c r="A14" s="1676"/>
      <c r="B14" s="3065"/>
      <c r="C14" s="1679" t="s">
        <v>1589</v>
      </c>
      <c r="D14" s="959" t="str">
        <f ca="1">NUMBERSTRING(INT(D13*10000),2)&amp;"元整"</f>
        <v>壹亿壹仟零柒拾伍万元整</v>
      </c>
      <c r="E14" s="1676"/>
    </row>
    <row r="15" spans="1:5" ht="15">
      <c r="A15" s="1676"/>
      <c r="B15" s="3070"/>
      <c r="C15" s="1680" t="s">
        <v>1599</v>
      </c>
      <c r="D15" s="968">
        <f ca="1">结果表!H108</f>
        <v>23539</v>
      </c>
      <c r="E15" s="1676"/>
    </row>
    <row r="16" spans="1:5" ht="15">
      <c r="A16" s="1676"/>
      <c r="B16" s="3071" t="str">
        <f>结果表!E109</f>
        <v>——</v>
      </c>
      <c r="C16" s="1684" t="s">
        <v>1600</v>
      </c>
      <c r="D16" s="1685" t="str">
        <f>结果表!H109</f>
        <v>——</v>
      </c>
      <c r="E16" s="1676"/>
    </row>
    <row r="17" spans="1:5" ht="15.75">
      <c r="A17" s="1676"/>
      <c r="B17" s="3072"/>
      <c r="C17" s="1679" t="s">
        <v>1601</v>
      </c>
      <c r="D17" s="959" t="e">
        <f>NUMBERSTRING(INT(D16*10000),2)&amp;"元整"</f>
        <v>#VALUE!</v>
      </c>
      <c r="E17" s="1676"/>
    </row>
    <row r="18" spans="1:5" ht="15">
      <c r="A18" s="1676"/>
      <c r="B18" s="3073"/>
      <c r="C18" s="1680" t="s">
        <v>1590</v>
      </c>
      <c r="D18" s="968" t="str">
        <f>结果表!H110</f>
        <v>——</v>
      </c>
      <c r="E18" s="1676"/>
    </row>
    <row r="19" spans="1:5" ht="15.75">
      <c r="A19" s="1676"/>
      <c r="B19" s="3064" t="str">
        <f>结果表!E111</f>
        <v>——</v>
      </c>
      <c r="C19" s="1684" t="s">
        <v>1588</v>
      </c>
      <c r="D19" s="960" t="str">
        <f>结果表!H111</f>
        <v>——</v>
      </c>
      <c r="E19" s="1676"/>
    </row>
    <row r="20" spans="1:5" ht="15.75">
      <c r="A20" s="1676"/>
      <c r="B20" s="3065"/>
      <c r="C20" s="1679" t="s">
        <v>1601</v>
      </c>
      <c r="D20" s="959" t="e">
        <f>NUMBERSTRING(INT(D19*10000),2)&amp;"元整"</f>
        <v>#VALUE!</v>
      </c>
      <c r="E20" s="1676"/>
    </row>
    <row r="21" spans="1:5" ht="15.75" thickBot="1">
      <c r="A21" s="1676"/>
      <c r="B21" s="306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33128</v>
      </c>
      <c r="C2" s="2" t="s">
        <v>133</v>
      </c>
      <c r="D2" s="205"/>
      <c r="E2" s="205"/>
      <c r="F2" s="205"/>
      <c r="G2" s="205"/>
    </row>
    <row r="3" spans="1:7" s="206" customFormat="1" ht="18" customHeight="1" thickBot="1">
      <c r="A3" s="209" t="s">
        <v>85</v>
      </c>
      <c r="B3" s="210">
        <f ca="1">ROUND(B2*10000/'数据-汇总表'!E3,0)</f>
        <v>70412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v>
      </c>
      <c r="D10" s="954">
        <f>'数据-汇总表'!E6</f>
        <v>4704.8599999999997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94</v>
      </c>
      <c r="D19" s="958">
        <f>'数据-汇总表'!E3</f>
        <v>4704.8599999999997</v>
      </c>
      <c r="E19" s="217">
        <f>'数据-取费表'!B31</f>
        <v>200</v>
      </c>
      <c r="F19" s="237"/>
      <c r="G19" s="1" t="s">
        <v>1042</v>
      </c>
    </row>
    <row r="20" spans="1:7" s="220" customFormat="1" ht="13.5" customHeight="1">
      <c r="A20" s="885" t="s">
        <v>1025</v>
      </c>
      <c r="B20" s="216" t="s">
        <v>104</v>
      </c>
      <c r="C20" s="238">
        <f>ROUND((C5+C19)*F20,0)</f>
        <v>621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1867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27</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5331</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5331</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1411</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94</v>
      </c>
      <c r="D37" s="223">
        <f>'数据-汇总表'!E3</f>
        <v>4704.8599999999997</v>
      </c>
      <c r="E37" s="255">
        <f>'数据-取费表'!B35</f>
        <v>200</v>
      </c>
      <c r="F37" s="265"/>
      <c r="G37" s="267" t="s">
        <v>119</v>
      </c>
    </row>
    <row r="38" spans="1:7" ht="13.5" customHeight="1">
      <c r="A38" s="888" t="s">
        <v>799</v>
      </c>
      <c r="B38" s="221" t="s">
        <v>63</v>
      </c>
      <c r="C38" s="226">
        <f>ROUND(C34*F38,0)</f>
        <v>21</v>
      </c>
      <c r="D38" s="226"/>
      <c r="E38" s="226"/>
      <c r="F38" s="265">
        <f>'数据-取费表'!B36</f>
        <v>1.4999999999999999E-2</v>
      </c>
      <c r="G38" s="225" t="s">
        <v>117</v>
      </c>
    </row>
    <row r="39" spans="1:7" s="220" customFormat="1" ht="13.5" customHeight="1">
      <c r="A39" s="885" t="s">
        <v>783</v>
      </c>
      <c r="B39" s="216" t="s">
        <v>104</v>
      </c>
      <c r="C39" s="238">
        <f>ROUND(C33*F20,0)</f>
        <v>48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71</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69</v>
      </c>
      <c r="D42" s="244"/>
      <c r="E42" s="244"/>
      <c r="F42" s="245"/>
      <c r="G42" s="3252" t="s">
        <v>121</v>
      </c>
    </row>
    <row r="43" spans="1:7" ht="13.5" customHeight="1">
      <c r="A43" s="888" t="s">
        <v>792</v>
      </c>
      <c r="B43" s="221" t="s">
        <v>1032</v>
      </c>
      <c r="C43" s="244">
        <f ca="1">ROUND(IF('数据-取费表'!B22&lt;=1,C39*F22*'数据-取费表'!B21/2,C39*(POWER((1+F22),'数据-取费表'!B21/2)-1)),0)</f>
        <v>2</v>
      </c>
      <c r="D43" s="244"/>
      <c r="E43" s="244"/>
      <c r="F43" s="245"/>
      <c r="G43" s="3253"/>
    </row>
    <row r="44" spans="1:7" ht="13.5" customHeight="1">
      <c r="A44" s="888" t="s">
        <v>793</v>
      </c>
      <c r="B44" s="221" t="s">
        <v>1034</v>
      </c>
      <c r="C44" s="244">
        <f ca="1">ROUND(IF('数据-取费表'!B22&lt;=1,C40*F22*'数据-取费表'!B21/2,C40*(POWER((1+F22),'数据-取费表'!B21/2)-1)),4)</f>
        <v>1.2999999999999999E-3</v>
      </c>
      <c r="D44" s="244"/>
      <c r="E44" s="244"/>
      <c r="F44" s="245"/>
      <c r="G44" s="3254"/>
    </row>
    <row r="45" spans="1:7" s="220" customFormat="1" ht="13.5" customHeight="1">
      <c r="A45" s="885" t="s">
        <v>786</v>
      </c>
      <c r="B45" s="250" t="s">
        <v>112</v>
      </c>
      <c r="C45" s="251">
        <f>C46</f>
        <v>411</v>
      </c>
      <c r="D45" s="241">
        <f>C47</f>
        <v>7.4999999999999997E-3</v>
      </c>
      <c r="E45" s="242" t="s">
        <v>129</v>
      </c>
      <c r="F45" s="252"/>
      <c r="G45" s="253" t="s">
        <v>1040</v>
      </c>
    </row>
    <row r="46" spans="1:7" s="220" customFormat="1" ht="13.5" customHeight="1">
      <c r="A46" s="888" t="s">
        <v>794</v>
      </c>
      <c r="B46" s="254" t="s">
        <v>1033</v>
      </c>
      <c r="C46" s="255">
        <f>ROUND((C33+C39)*F27,0)</f>
        <v>411</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2343</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1710</v>
      </c>
      <c r="D51" s="238"/>
      <c r="E51" s="238"/>
      <c r="F51" s="270"/>
      <c r="G51" s="240" t="s">
        <v>64</v>
      </c>
    </row>
    <row r="52" spans="1:7" s="214" customFormat="1" ht="16.5" thickBot="1">
      <c r="A52" s="271" t="s">
        <v>65</v>
      </c>
      <c r="B52" s="272"/>
      <c r="C52" s="273">
        <f ca="1">C31+C51</f>
        <v>33128</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8" activeCellId="1" sqref="H3 D3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1606</v>
      </c>
      <c r="B2" s="3075" t="s">
        <v>1607</v>
      </c>
      <c r="C2" s="3075" t="s">
        <v>1608</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
      <c r="A3" s="3076"/>
      <c r="B3" s="3076"/>
      <c r="C3" s="3076"/>
      <c r="D3" s="963" t="s">
        <v>1603</v>
      </c>
      <c r="E3" s="963" t="s">
        <v>1609</v>
      </c>
      <c r="F3" s="963" t="s">
        <v>1603</v>
      </c>
      <c r="G3" s="963" t="s">
        <v>1604</v>
      </c>
      <c r="H3" s="963" t="s">
        <v>1603</v>
      </c>
      <c r="I3" s="963" t="s">
        <v>1604</v>
      </c>
    </row>
    <row r="4" spans="1:9" ht="15">
      <c r="A4" s="1690" t="str">
        <f>项目基本情况!S2</f>
        <v>北京市房地产</v>
      </c>
      <c r="B4" s="963">
        <f>项目基本情况!C17</f>
        <v>4704.8599999999997</v>
      </c>
      <c r="C4" s="963">
        <f>项目基本情况!C18</f>
        <v>2957.47</v>
      </c>
      <c r="D4" s="963">
        <f ca="1">结果表!D118</f>
        <v>9365</v>
      </c>
      <c r="E4" s="963">
        <f ca="1">结果表!E118</f>
        <v>19905</v>
      </c>
      <c r="F4" s="963">
        <f ca="1">结果表!F118</f>
        <v>1710</v>
      </c>
      <c r="G4" s="963">
        <f ca="1">结果表!G118</f>
        <v>3635</v>
      </c>
      <c r="H4" s="963">
        <f ca="1">结果表!H118</f>
        <v>11075</v>
      </c>
      <c r="I4" s="963">
        <f ca="1">结果表!I118</f>
        <v>23539</v>
      </c>
    </row>
    <row r="5" spans="1:9" ht="30" customHeight="1">
      <c r="A5" s="3076" t="s">
        <v>1605</v>
      </c>
      <c r="B5" s="3076"/>
      <c r="C5" s="3076"/>
      <c r="D5" s="3077" t="str">
        <f ca="1">结果表!D119</f>
        <v>玖仟叁佰陆拾伍万元整</v>
      </c>
      <c r="E5" s="3077"/>
      <c r="F5" s="3077" t="str">
        <f ca="1">结果表!F119</f>
        <v>壹仟柒佰壹拾万元整</v>
      </c>
      <c r="G5" s="3077"/>
      <c r="H5" s="3077" t="str">
        <f ca="1">结果表!H119</f>
        <v>壹亿壹仟零柒拾伍万元整</v>
      </c>
      <c r="I5" s="3077"/>
    </row>
    <row r="6" spans="1:9" ht="15.75">
      <c r="A6" s="3078" t="str">
        <f>结果表!A120</f>
        <v>估价师知悉的法定优先受偿款</v>
      </c>
      <c r="B6" s="3078"/>
      <c r="C6" s="3078"/>
      <c r="D6" s="3078">
        <f>结果表!D120</f>
        <v>0</v>
      </c>
      <c r="E6" s="3078"/>
      <c r="F6" s="3078"/>
      <c r="G6" s="3078"/>
      <c r="H6" s="3078"/>
      <c r="I6" s="3078"/>
    </row>
    <row r="7" spans="1:9" ht="15">
      <c r="A7" s="3076" t="s">
        <v>1605</v>
      </c>
      <c r="B7" s="3076"/>
      <c r="C7" s="3076"/>
      <c r="D7" s="3079" t="str">
        <f>结果表!D121</f>
        <v>零元整</v>
      </c>
      <c r="E7" s="3080"/>
      <c r="F7" s="3080"/>
      <c r="G7" s="3080"/>
      <c r="H7" s="3080"/>
      <c r="I7" s="3081"/>
    </row>
    <row r="8" spans="1:9" ht="15.75">
      <c r="A8" s="3078" t="str">
        <f>结果表!A122</f>
        <v>房地产抵押价值</v>
      </c>
      <c r="B8" s="3078"/>
      <c r="C8" s="3078"/>
      <c r="D8" s="3078">
        <f ca="1">结果表!D122</f>
        <v>11075</v>
      </c>
      <c r="E8" s="3078"/>
      <c r="F8" s="3078"/>
      <c r="G8" s="3078"/>
      <c r="H8" s="3078"/>
      <c r="I8" s="3078"/>
    </row>
    <row r="9" spans="1:9" ht="15">
      <c r="A9" s="3076" t="s">
        <v>1605</v>
      </c>
      <c r="B9" s="3076"/>
      <c r="C9" s="3076"/>
      <c r="D9" s="3077" t="str">
        <f ca="1">结果表!D123</f>
        <v>壹亿壹仟零柒拾伍万元整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1605</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5" t="s">
        <v>1627</v>
      </c>
      <c r="B1" s="3085"/>
      <c r="C1" s="3085"/>
      <c r="D1" s="3085"/>
    </row>
    <row r="2" spans="1:4" ht="18">
      <c r="A2" s="3086" t="s">
        <v>1611</v>
      </c>
      <c r="B2" s="3086"/>
      <c r="C2" s="3086"/>
      <c r="D2" s="3086"/>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86" t="s">
        <v>1617</v>
      </c>
      <c r="B6" s="3086"/>
      <c r="C6" s="3086"/>
      <c r="D6" s="308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7"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1" t="s">
        <v>1621</v>
      </c>
      <c r="B16" s="3091"/>
      <c r="C16" s="3091"/>
      <c r="D16" s="3091"/>
    </row>
    <row r="17" spans="1:4" ht="144" customHeight="1">
      <c r="A17" s="3091" t="s">
        <v>1622</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9" t="s">
        <v>1634</v>
      </c>
      <c r="B15" s="3094" t="s">
        <v>136</v>
      </c>
      <c r="C15" s="3095"/>
    </row>
    <row r="16" spans="1:7" ht="13.5">
      <c r="A16" s="3100"/>
      <c r="B16" s="3094" t="s">
        <v>69</v>
      </c>
      <c r="C16" s="3095"/>
    </row>
    <row r="17" spans="1:3" ht="13.5">
      <c r="A17" s="3100"/>
      <c r="B17" s="3097" t="s">
        <v>1635</v>
      </c>
      <c r="C17" s="1717" t="s">
        <v>1634</v>
      </c>
    </row>
    <row r="18" spans="1:3" ht="13.5">
      <c r="A18" s="3100"/>
      <c r="B18" s="3097"/>
      <c r="C18" s="1717" t="s">
        <v>1636</v>
      </c>
    </row>
    <row r="19" spans="1:3" ht="13.5">
      <c r="A19" s="3100"/>
      <c r="B19" s="3097"/>
      <c r="C19" s="1717" t="s">
        <v>1637</v>
      </c>
    </row>
    <row r="20" spans="1:3" ht="13.5">
      <c r="A20" s="3101"/>
      <c r="B20" s="3096" t="s">
        <v>1638</v>
      </c>
      <c r="C20" s="3095"/>
    </row>
    <row r="21" spans="1:3" ht="13.5">
      <c r="A21" s="1718" t="s">
        <v>1639</v>
      </c>
      <c r="B21" s="1719"/>
      <c r="C21" s="1720"/>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7" t="s">
        <v>1645</v>
      </c>
    </row>
    <row r="26" spans="1:3" ht="13.5">
      <c r="A26" s="3098"/>
      <c r="B26" s="3097"/>
      <c r="C26" s="1717" t="s">
        <v>1646</v>
      </c>
    </row>
    <row r="27" spans="1:3" ht="13.5">
      <c r="A27" s="3098"/>
      <c r="B27" s="3097"/>
      <c r="C27" s="1717" t="s">
        <v>1647</v>
      </c>
    </row>
    <row r="28" spans="1:3" ht="13.5">
      <c r="A28" s="3098"/>
      <c r="B28" s="3097"/>
      <c r="C28" s="1717" t="s">
        <v>1648</v>
      </c>
    </row>
    <row r="29" spans="1:3" ht="13.5">
      <c r="A29" s="3098"/>
      <c r="B29" s="3097"/>
      <c r="C29" s="1717" t="s">
        <v>1649</v>
      </c>
    </row>
    <row r="30" spans="1:3" ht="13.5">
      <c r="A30" s="3098"/>
      <c r="B30" s="3097"/>
      <c r="C30" s="1717" t="s">
        <v>1650</v>
      </c>
    </row>
    <row r="31" spans="1:3" ht="13.5">
      <c r="A31" s="3098"/>
      <c r="B31" s="3097"/>
      <c r="C31" s="1717" t="s">
        <v>1651</v>
      </c>
    </row>
    <row r="32" spans="1:3" ht="13.5">
      <c r="A32" s="3098"/>
      <c r="B32" s="3097"/>
      <c r="C32" s="1717" t="s">
        <v>1652</v>
      </c>
    </row>
    <row r="33" spans="1:3" ht="13.5">
      <c r="A33" s="3098"/>
      <c r="B33" s="309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44328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2" t="s">
        <v>2902</v>
      </c>
      <c r="B17" s="3102"/>
      <c r="C17" s="3102"/>
      <c r="D17" s="3102"/>
      <c r="E17" s="3102"/>
      <c r="F17" s="3102"/>
      <c r="G17" s="3102"/>
      <c r="H17" s="3102"/>
    </row>
    <row r="18" spans="1:8" ht="24" customHeight="1">
      <c r="A18" s="3103" t="s">
        <v>2903</v>
      </c>
      <c r="B18" s="3103"/>
      <c r="C18" s="3103"/>
      <c r="D18" s="2566"/>
      <c r="E18" s="3104" t="s">
        <v>2904</v>
      </c>
      <c r="F18" s="3103"/>
      <c r="G18" s="3103"/>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2021-05-12T02:07:17Z</dcterms:modified>
</cp:coreProperties>
</file>