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120" windowWidth="11475" windowHeight="954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X22" i="1" l="1"/>
  <c r="P30" i="1"/>
  <c r="P31" i="1"/>
  <c r="P32" i="1"/>
  <c r="P33" i="1"/>
  <c r="P28" i="1"/>
  <c r="P37" i="1" s="1"/>
  <c r="O37" i="1" s="1"/>
  <c r="O29" i="1"/>
  <c r="P29" i="1" s="1"/>
  <c r="N33" i="1"/>
  <c r="N32" i="1"/>
  <c r="N31" i="1"/>
  <c r="N30" i="1"/>
  <c r="N29" i="1"/>
  <c r="N28" i="1"/>
  <c r="P35" i="1" l="1"/>
  <c r="O35" i="1" s="1"/>
  <c r="H7" i="1"/>
  <c r="H9" i="1"/>
  <c r="I9" i="1"/>
  <c r="I7" i="1"/>
  <c r="H9" i="77"/>
  <c r="H10" i="77"/>
  <c r="H11" i="77"/>
  <c r="H12" i="77"/>
  <c r="H8" i="77"/>
  <c r="P25" i="1"/>
  <c r="H13" i="77" l="1"/>
  <c r="I47" i="89"/>
  <c r="G47" i="89"/>
  <c r="E47" i="89"/>
  <c r="B130" i="89"/>
  <c r="B128" i="89"/>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D91" i="89"/>
  <c r="E91" i="89" s="1"/>
  <c r="F91" i="89" s="1"/>
  <c r="G91" i="89" s="1"/>
  <c r="H91" i="89" s="1"/>
  <c r="I91" i="89" s="1"/>
  <c r="J91" i="89" s="1"/>
  <c r="K91" i="89" s="1"/>
  <c r="L91" i="89" s="1"/>
  <c r="M91" i="89" s="1"/>
  <c r="B90" i="89"/>
  <c r="B88" i="89"/>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B70" i="89"/>
  <c r="E69" i="89"/>
  <c r="F69" i="89" s="1"/>
  <c r="G69" i="89" s="1"/>
  <c r="H69" i="89" s="1"/>
  <c r="I69" i="89" s="1"/>
  <c r="J69" i="89" s="1"/>
  <c r="K69" i="89" s="1"/>
  <c r="L69" i="89" s="1"/>
  <c r="M69" i="89" s="1"/>
  <c r="D69" i="89"/>
  <c r="M67" i="89"/>
  <c r="L67" i="89"/>
  <c r="K67" i="89"/>
  <c r="J67" i="89"/>
  <c r="I67" i="89"/>
  <c r="H67" i="89"/>
  <c r="G67" i="89"/>
  <c r="F67" i="89"/>
  <c r="E67" i="89"/>
  <c r="D67" i="89"/>
  <c r="C67" i="89"/>
  <c r="H66" i="89"/>
  <c r="I66" i="89" s="1"/>
  <c r="G66" i="89"/>
  <c r="C63" i="89"/>
  <c r="P49" i="89"/>
  <c r="P48" i="89"/>
  <c r="K48" i="89"/>
  <c r="P47" i="89"/>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J27" i="89"/>
  <c r="AC27" i="89" s="1"/>
  <c r="H27" i="89"/>
  <c r="AB27" i="89" s="1"/>
  <c r="F27" i="89"/>
  <c r="AA27" i="89" s="1"/>
  <c r="Q26" i="89"/>
  <c r="Z26" i="89" s="1"/>
  <c r="J26" i="89"/>
  <c r="AC26" i="89" s="1"/>
  <c r="H26" i="89"/>
  <c r="AB26" i="89" s="1"/>
  <c r="F26" i="89"/>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U8" i="89"/>
  <c r="J8" i="89"/>
  <c r="W8" i="89" s="1"/>
  <c r="H8" i="89"/>
  <c r="AB8" i="89" s="1"/>
  <c r="F8" i="89"/>
  <c r="S8" i="89" s="1"/>
  <c r="C7" i="89"/>
  <c r="C58" i="89" s="1"/>
  <c r="D58" i="89" s="1"/>
  <c r="E58" i="89" s="1"/>
  <c r="F58" i="89" s="1"/>
  <c r="G58" i="89" s="1"/>
  <c r="H58" i="89" s="1"/>
  <c r="I58" i="89" s="1"/>
  <c r="J58" i="89" s="1"/>
  <c r="K58" i="89" s="1"/>
  <c r="L58" i="89" s="1"/>
  <c r="M58" i="89" s="1"/>
  <c r="N58" i="89" s="1"/>
  <c r="O58" i="89" s="1"/>
  <c r="D3" i="89"/>
  <c r="B25" i="88"/>
  <c r="B24"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S270" i="88"/>
  <c r="R270" i="88"/>
  <c r="Q270" i="88"/>
  <c r="O270" i="88"/>
  <c r="M270" i="88"/>
  <c r="K270" i="88"/>
  <c r="I270" i="88"/>
  <c r="G270" i="88"/>
  <c r="E270" i="88"/>
  <c r="C270" i="88"/>
  <c r="S269" i="88"/>
  <c r="R269" i="88"/>
  <c r="Q269" i="88"/>
  <c r="O269" i="88"/>
  <c r="M269" i="88"/>
  <c r="K269" i="88"/>
  <c r="I269" i="88"/>
  <c r="G269" i="88"/>
  <c r="E269" i="88"/>
  <c r="C269" i="88"/>
  <c r="S268" i="88"/>
  <c r="R268" i="88"/>
  <c r="Q268" i="88"/>
  <c r="O268" i="88"/>
  <c r="M268" i="88"/>
  <c r="K268" i="88"/>
  <c r="I268" i="88"/>
  <c r="G268" i="88"/>
  <c r="E268" i="88"/>
  <c r="C268" i="88"/>
  <c r="S267" i="88"/>
  <c r="R267" i="88"/>
  <c r="Q267" i="88"/>
  <c r="O267" i="88"/>
  <c r="M267" i="88"/>
  <c r="K267" i="88"/>
  <c r="I267" i="88"/>
  <c r="G267" i="88"/>
  <c r="E267" i="88"/>
  <c r="C267" i="88"/>
  <c r="S266" i="88"/>
  <c r="R266" i="88"/>
  <c r="Q266" i="88"/>
  <c r="O266" i="88"/>
  <c r="M266" i="88"/>
  <c r="K266" i="88"/>
  <c r="I266" i="88"/>
  <c r="G266" i="88"/>
  <c r="E266" i="88"/>
  <c r="C266" i="88"/>
  <c r="S265" i="88"/>
  <c r="R265" i="88"/>
  <c r="Q265" i="88"/>
  <c r="O265" i="88"/>
  <c r="M265" i="88"/>
  <c r="K265" i="88"/>
  <c r="I265" i="88"/>
  <c r="G265" i="88"/>
  <c r="E265" i="88"/>
  <c r="C265" i="88"/>
  <c r="S264" i="88"/>
  <c r="R264" i="88"/>
  <c r="Q264" i="88"/>
  <c r="O264" i="88"/>
  <c r="M264" i="88"/>
  <c r="K264" i="88"/>
  <c r="I264" i="88"/>
  <c r="G264" i="88"/>
  <c r="E264" i="88"/>
  <c r="C264" i="88"/>
  <c r="S263" i="88"/>
  <c r="R263" i="88"/>
  <c r="Q263" i="88"/>
  <c r="O263" i="88"/>
  <c r="M263" i="88"/>
  <c r="K263" i="88"/>
  <c r="I263" i="88"/>
  <c r="G263" i="88"/>
  <c r="E263" i="88"/>
  <c r="C263" i="88"/>
  <c r="S262" i="88"/>
  <c r="R262" i="88"/>
  <c r="Q262" i="88"/>
  <c r="O262" i="88"/>
  <c r="M262" i="88"/>
  <c r="K262" i="88"/>
  <c r="I262" i="88"/>
  <c r="G262" i="88"/>
  <c r="E262" i="88"/>
  <c r="C262" i="88"/>
  <c r="S261" i="88"/>
  <c r="R261" i="88"/>
  <c r="Q261" i="88"/>
  <c r="O261" i="88"/>
  <c r="M261" i="88"/>
  <c r="K261" i="88"/>
  <c r="I261" i="88"/>
  <c r="G261" i="88"/>
  <c r="E261" i="88"/>
  <c r="C261" i="88"/>
  <c r="S260" i="88"/>
  <c r="R260" i="88"/>
  <c r="Q260" i="88"/>
  <c r="O260" i="88"/>
  <c r="M260" i="88"/>
  <c r="K260" i="88"/>
  <c r="I260" i="88"/>
  <c r="G260" i="88"/>
  <c r="E260" i="88"/>
  <c r="C260" i="88"/>
  <c r="S259" i="88"/>
  <c r="R259" i="88"/>
  <c r="Q259" i="88"/>
  <c r="O259" i="88"/>
  <c r="M259" i="88"/>
  <c r="K259" i="88"/>
  <c r="I259" i="88"/>
  <c r="G259" i="88"/>
  <c r="E259" i="88"/>
  <c r="C259" i="88"/>
  <c r="S258" i="88"/>
  <c r="R258" i="88"/>
  <c r="Q258" i="88"/>
  <c r="O258" i="88"/>
  <c r="M258" i="88"/>
  <c r="K258" i="88"/>
  <c r="I258" i="88"/>
  <c r="G258" i="88"/>
  <c r="E258" i="88"/>
  <c r="C258" i="88"/>
  <c r="S257" i="88"/>
  <c r="R257" i="88"/>
  <c r="Q257" i="88"/>
  <c r="O257" i="88"/>
  <c r="M257" i="88"/>
  <c r="K257" i="88"/>
  <c r="I257" i="88"/>
  <c r="G257" i="88"/>
  <c r="E257" i="88"/>
  <c r="C257" i="88"/>
  <c r="S256" i="88"/>
  <c r="R256" i="88"/>
  <c r="Q256" i="88"/>
  <c r="O256" i="88"/>
  <c r="M256" i="88"/>
  <c r="K256" i="88"/>
  <c r="I256" i="88"/>
  <c r="G256" i="88"/>
  <c r="E256" i="88"/>
  <c r="C256" i="88"/>
  <c r="S255" i="88"/>
  <c r="R255" i="88"/>
  <c r="Q255" i="88"/>
  <c r="O255" i="88"/>
  <c r="M255" i="88"/>
  <c r="K255" i="88"/>
  <c r="I255" i="88"/>
  <c r="G255" i="88"/>
  <c r="E255" i="88"/>
  <c r="C255" i="88"/>
  <c r="S254" i="88"/>
  <c r="R254" i="88"/>
  <c r="Q254" i="88"/>
  <c r="O254" i="88"/>
  <c r="M254" i="88"/>
  <c r="K254" i="88"/>
  <c r="I254" i="88"/>
  <c r="G254" i="88"/>
  <c r="E254" i="88"/>
  <c r="C254" i="88"/>
  <c r="S253" i="88"/>
  <c r="R253" i="88"/>
  <c r="Q253" i="88"/>
  <c r="O253" i="88"/>
  <c r="M253" i="88"/>
  <c r="K253" i="88"/>
  <c r="I253" i="88"/>
  <c r="G253" i="88"/>
  <c r="E253" i="88"/>
  <c r="C253" i="88"/>
  <c r="S252" i="88"/>
  <c r="R252" i="88"/>
  <c r="Q252" i="88"/>
  <c r="O252" i="88"/>
  <c r="M252" i="88"/>
  <c r="K252" i="88"/>
  <c r="I252" i="88"/>
  <c r="G252" i="88"/>
  <c r="E252" i="88"/>
  <c r="C252" i="88"/>
  <c r="S251" i="88"/>
  <c r="R251" i="88"/>
  <c r="Q251" i="88"/>
  <c r="O251" i="88"/>
  <c r="M251" i="88"/>
  <c r="K251" i="88"/>
  <c r="I251" i="88"/>
  <c r="G251" i="88"/>
  <c r="E251" i="88"/>
  <c r="C251" i="88"/>
  <c r="S250" i="88"/>
  <c r="R250" i="88"/>
  <c r="Q250" i="88"/>
  <c r="O250" i="88"/>
  <c r="M250" i="88"/>
  <c r="K250" i="88"/>
  <c r="I250" i="88"/>
  <c r="G250" i="88"/>
  <c r="E250" i="88"/>
  <c r="C250" i="88"/>
  <c r="S249" i="88"/>
  <c r="R249" i="88"/>
  <c r="Q249" i="88"/>
  <c r="O249" i="88"/>
  <c r="M249" i="88"/>
  <c r="K249" i="88"/>
  <c r="I249" i="88"/>
  <c r="G249" i="88"/>
  <c r="E249" i="88"/>
  <c r="C249" i="88"/>
  <c r="S248" i="88"/>
  <c r="R248" i="88"/>
  <c r="Q248" i="88"/>
  <c r="O248" i="88"/>
  <c r="M248" i="88"/>
  <c r="K248" i="88"/>
  <c r="I248" i="88"/>
  <c r="G248" i="88"/>
  <c r="E248" i="88"/>
  <c r="C248" i="88"/>
  <c r="S247" i="88"/>
  <c r="R247" i="88"/>
  <c r="Q247" i="88"/>
  <c r="O247" i="88"/>
  <c r="M247" i="88"/>
  <c r="K247" i="88"/>
  <c r="I247" i="88"/>
  <c r="G247" i="88"/>
  <c r="E247" i="88"/>
  <c r="C247" i="88"/>
  <c r="S246" i="88"/>
  <c r="R246" i="88"/>
  <c r="Q246" i="88"/>
  <c r="O246" i="88"/>
  <c r="M246" i="88"/>
  <c r="K246" i="88"/>
  <c r="I246" i="88"/>
  <c r="G246" i="88"/>
  <c r="E246" i="88"/>
  <c r="C246" i="88"/>
  <c r="S245" i="88"/>
  <c r="R245" i="88"/>
  <c r="Q245" i="88"/>
  <c r="O245" i="88"/>
  <c r="M245" i="88"/>
  <c r="K245" i="88"/>
  <c r="I245" i="88"/>
  <c r="G245" i="88"/>
  <c r="E245" i="88"/>
  <c r="C245" i="88"/>
  <c r="S244" i="88"/>
  <c r="R244" i="88"/>
  <c r="Q244" i="88"/>
  <c r="O244" i="88"/>
  <c r="M244" i="88"/>
  <c r="K244" i="88"/>
  <c r="I244" i="88"/>
  <c r="G244" i="88"/>
  <c r="E244" i="88"/>
  <c r="C244" i="88"/>
  <c r="S243" i="88"/>
  <c r="R243" i="88"/>
  <c r="Q243" i="88"/>
  <c r="O243" i="88"/>
  <c r="M243" i="88"/>
  <c r="K243" i="88"/>
  <c r="I243" i="88"/>
  <c r="G243" i="88"/>
  <c r="E243" i="88"/>
  <c r="C243" i="88"/>
  <c r="S242" i="88"/>
  <c r="R242" i="88"/>
  <c r="Q242" i="88"/>
  <c r="O242" i="88"/>
  <c r="M242" i="88"/>
  <c r="K242" i="88"/>
  <c r="I242" i="88"/>
  <c r="G242" i="88"/>
  <c r="E242" i="88"/>
  <c r="C242" i="88"/>
  <c r="S241" i="88"/>
  <c r="R241" i="88"/>
  <c r="Q241" i="88"/>
  <c r="O241" i="88"/>
  <c r="M241" i="88"/>
  <c r="K241" i="88"/>
  <c r="I241" i="88"/>
  <c r="G241" i="88"/>
  <c r="E241" i="88"/>
  <c r="C241" i="88"/>
  <c r="S240" i="88"/>
  <c r="R240" i="88"/>
  <c r="Q240" i="88"/>
  <c r="O240" i="88"/>
  <c r="M240" i="88"/>
  <c r="K240" i="88"/>
  <c r="I240" i="88"/>
  <c r="G240" i="88"/>
  <c r="E240" i="88"/>
  <c r="C240" i="88"/>
  <c r="S239" i="88"/>
  <c r="R239" i="88"/>
  <c r="Q239" i="88"/>
  <c r="O239" i="88"/>
  <c r="M239" i="88"/>
  <c r="K239" i="88"/>
  <c r="I239" i="88"/>
  <c r="G239" i="88"/>
  <c r="E239" i="88"/>
  <c r="C239" i="88"/>
  <c r="S238" i="88"/>
  <c r="R238" i="88"/>
  <c r="Q238" i="88"/>
  <c r="O238" i="88"/>
  <c r="M238" i="88"/>
  <c r="K238" i="88"/>
  <c r="I238" i="88"/>
  <c r="G238" i="88"/>
  <c r="E238" i="88"/>
  <c r="C238" i="88"/>
  <c r="S237" i="88"/>
  <c r="R237" i="88"/>
  <c r="Q237" i="88"/>
  <c r="O237" i="88"/>
  <c r="M237" i="88"/>
  <c r="K237" i="88"/>
  <c r="I237" i="88"/>
  <c r="G237" i="88"/>
  <c r="E237" i="88"/>
  <c r="C237" i="88"/>
  <c r="S236" i="88"/>
  <c r="R236" i="88"/>
  <c r="Q236" i="88"/>
  <c r="O236" i="88"/>
  <c r="M236" i="88"/>
  <c r="K236" i="88"/>
  <c r="I236" i="88"/>
  <c r="G236" i="88"/>
  <c r="E236" i="88"/>
  <c r="C236" i="88"/>
  <c r="S235" i="88"/>
  <c r="R235" i="88"/>
  <c r="Q235" i="88"/>
  <c r="O235" i="88"/>
  <c r="M235" i="88"/>
  <c r="K235" i="88"/>
  <c r="I235" i="88"/>
  <c r="G235" i="88"/>
  <c r="E235" i="88"/>
  <c r="C235" i="88"/>
  <c r="S234" i="88"/>
  <c r="R234" i="88"/>
  <c r="Q234" i="88"/>
  <c r="O234" i="88"/>
  <c r="M234" i="88"/>
  <c r="K234" i="88"/>
  <c r="I234" i="88"/>
  <c r="G234" i="88"/>
  <c r="E234" i="88"/>
  <c r="C234" i="88"/>
  <c r="S233" i="88"/>
  <c r="R233" i="88"/>
  <c r="Q233" i="88"/>
  <c r="O233" i="88"/>
  <c r="M233" i="88"/>
  <c r="K233" i="88"/>
  <c r="I233" i="88"/>
  <c r="G233" i="88"/>
  <c r="E233" i="88"/>
  <c r="C233" i="88"/>
  <c r="S232" i="88"/>
  <c r="R232" i="88"/>
  <c r="Q232" i="88"/>
  <c r="O232" i="88"/>
  <c r="M232" i="88"/>
  <c r="K232" i="88"/>
  <c r="I232" i="88"/>
  <c r="G232" i="88"/>
  <c r="E232" i="88"/>
  <c r="C232" i="88"/>
  <c r="S231" i="88"/>
  <c r="R231" i="88"/>
  <c r="Q231" i="88"/>
  <c r="O231" i="88"/>
  <c r="M231" i="88"/>
  <c r="K231" i="88"/>
  <c r="I231" i="88"/>
  <c r="G231" i="88"/>
  <c r="E231" i="88"/>
  <c r="C231" i="88"/>
  <c r="S230" i="88"/>
  <c r="R230" i="88"/>
  <c r="Q230" i="88"/>
  <c r="O230" i="88"/>
  <c r="M230" i="88"/>
  <c r="K230" i="88"/>
  <c r="I230" i="88"/>
  <c r="G230" i="88"/>
  <c r="E230" i="88"/>
  <c r="C230" i="88"/>
  <c r="S229" i="88"/>
  <c r="R229" i="88"/>
  <c r="Q229" i="88"/>
  <c r="O229" i="88"/>
  <c r="M229" i="88"/>
  <c r="K229" i="88"/>
  <c r="I229" i="88"/>
  <c r="G229" i="88"/>
  <c r="E229" i="88"/>
  <c r="C229" i="88"/>
  <c r="S228" i="88"/>
  <c r="R228" i="88"/>
  <c r="Q228" i="88"/>
  <c r="O228" i="88"/>
  <c r="M228" i="88"/>
  <c r="K228" i="88"/>
  <c r="I228" i="88"/>
  <c r="G228" i="88"/>
  <c r="E228" i="88"/>
  <c r="C228" i="88"/>
  <c r="S227" i="88"/>
  <c r="R227" i="88"/>
  <c r="Q227" i="88"/>
  <c r="O227" i="88"/>
  <c r="M227" i="88"/>
  <c r="K227" i="88"/>
  <c r="I227" i="88"/>
  <c r="G227" i="88"/>
  <c r="E227" i="88"/>
  <c r="C227" i="88"/>
  <c r="S226" i="88"/>
  <c r="R226" i="88"/>
  <c r="Q226" i="88"/>
  <c r="O226" i="88"/>
  <c r="M226" i="88"/>
  <c r="K226" i="88"/>
  <c r="I226" i="88"/>
  <c r="G226" i="88"/>
  <c r="E226" i="88"/>
  <c r="C226" i="88"/>
  <c r="S225" i="88"/>
  <c r="R225" i="88"/>
  <c r="Q225" i="88"/>
  <c r="O225" i="88"/>
  <c r="M225" i="88"/>
  <c r="K225" i="88"/>
  <c r="I225" i="88"/>
  <c r="G225" i="88"/>
  <c r="E225" i="88"/>
  <c r="C225" i="88"/>
  <c r="S224" i="88"/>
  <c r="R224" i="88"/>
  <c r="Q224" i="88"/>
  <c r="O224" i="88"/>
  <c r="M224" i="88"/>
  <c r="K224" i="88"/>
  <c r="I224" i="88"/>
  <c r="G224" i="88"/>
  <c r="E224" i="88"/>
  <c r="C224" i="88"/>
  <c r="S223" i="88"/>
  <c r="R223" i="88"/>
  <c r="Q223" i="88"/>
  <c r="O223" i="88"/>
  <c r="M223" i="88"/>
  <c r="K223" i="88"/>
  <c r="I223" i="88"/>
  <c r="G223" i="88"/>
  <c r="E223" i="88"/>
  <c r="C223" i="88"/>
  <c r="S222" i="88"/>
  <c r="R222" i="88"/>
  <c r="Q222" i="88"/>
  <c r="O222" i="88"/>
  <c r="M222" i="88"/>
  <c r="K222" i="88"/>
  <c r="I222" i="88"/>
  <c r="G222" i="88"/>
  <c r="E222" i="88"/>
  <c r="C222" i="88"/>
  <c r="S221" i="88"/>
  <c r="R221" i="88"/>
  <c r="Q221" i="88"/>
  <c r="O221" i="88"/>
  <c r="M221" i="88"/>
  <c r="K221" i="88"/>
  <c r="I221" i="88"/>
  <c r="G221" i="88"/>
  <c r="E221" i="88"/>
  <c r="C221" i="88"/>
  <c r="S220" i="88"/>
  <c r="R220" i="88"/>
  <c r="Q220" i="88"/>
  <c r="O220" i="88"/>
  <c r="M220" i="88"/>
  <c r="K220" i="88"/>
  <c r="I220" i="88"/>
  <c r="G220" i="88"/>
  <c r="E220" i="88"/>
  <c r="C220" i="88"/>
  <c r="S219" i="88"/>
  <c r="R219" i="88"/>
  <c r="Q219" i="88"/>
  <c r="O219" i="88"/>
  <c r="M219" i="88"/>
  <c r="K219" i="88"/>
  <c r="I219" i="88"/>
  <c r="G219" i="88"/>
  <c r="E219" i="88"/>
  <c r="C219" i="88"/>
  <c r="S218" i="88"/>
  <c r="R218" i="88"/>
  <c r="Q218" i="88"/>
  <c r="O218" i="88"/>
  <c r="M218" i="88"/>
  <c r="K218" i="88"/>
  <c r="I218" i="88"/>
  <c r="G218" i="88"/>
  <c r="E218" i="88"/>
  <c r="C218" i="88"/>
  <c r="S217" i="88"/>
  <c r="R217" i="88"/>
  <c r="Q217" i="88"/>
  <c r="O217" i="88"/>
  <c r="M217" i="88"/>
  <c r="K217" i="88"/>
  <c r="I217" i="88"/>
  <c r="G217" i="88"/>
  <c r="E217" i="88"/>
  <c r="C217" i="88"/>
  <c r="S216" i="88"/>
  <c r="R216" i="88"/>
  <c r="Q216" i="88"/>
  <c r="O216" i="88"/>
  <c r="M216" i="88"/>
  <c r="K216" i="88"/>
  <c r="I216" i="88"/>
  <c r="G216" i="88"/>
  <c r="E216" i="88"/>
  <c r="C216" i="88"/>
  <c r="S215" i="88"/>
  <c r="R215" i="88"/>
  <c r="Q215" i="88"/>
  <c r="O215" i="88"/>
  <c r="M215" i="88"/>
  <c r="K215" i="88"/>
  <c r="I215" i="88"/>
  <c r="G215" i="88"/>
  <c r="E215" i="88"/>
  <c r="C215" i="88"/>
  <c r="S214" i="88"/>
  <c r="R214" i="88"/>
  <c r="Q214" i="88"/>
  <c r="O214" i="88"/>
  <c r="M214" i="88"/>
  <c r="K214" i="88"/>
  <c r="I214" i="88"/>
  <c r="G214" i="88"/>
  <c r="E214" i="88"/>
  <c r="C214" i="88"/>
  <c r="S213" i="88"/>
  <c r="R213" i="88"/>
  <c r="Q213" i="88"/>
  <c r="O213" i="88"/>
  <c r="M213" i="88"/>
  <c r="K213" i="88"/>
  <c r="I213" i="88"/>
  <c r="G213" i="88"/>
  <c r="E213" i="88"/>
  <c r="C213" i="88"/>
  <c r="S212" i="88"/>
  <c r="R212" i="88"/>
  <c r="Q212" i="88"/>
  <c r="O212" i="88"/>
  <c r="M212" i="88"/>
  <c r="K212" i="88"/>
  <c r="I212" i="88"/>
  <c r="G212" i="88"/>
  <c r="E212" i="88"/>
  <c r="C212" i="88"/>
  <c r="S211" i="88"/>
  <c r="R211" i="88"/>
  <c r="Q211" i="88"/>
  <c r="O211" i="88"/>
  <c r="M211" i="88"/>
  <c r="K211" i="88"/>
  <c r="I211" i="88"/>
  <c r="G211" i="88"/>
  <c r="E211" i="88"/>
  <c r="C211" i="88"/>
  <c r="S210" i="88"/>
  <c r="R210" i="88"/>
  <c r="Q210" i="88"/>
  <c r="O210" i="88"/>
  <c r="M210" i="88"/>
  <c r="K210" i="88"/>
  <c r="I210" i="88"/>
  <c r="G210" i="88"/>
  <c r="E210" i="88"/>
  <c r="C210" i="88"/>
  <c r="S209" i="88"/>
  <c r="R209" i="88"/>
  <c r="Q209" i="88"/>
  <c r="O209" i="88"/>
  <c r="M209" i="88"/>
  <c r="K209" i="88"/>
  <c r="I209" i="88"/>
  <c r="G209" i="88"/>
  <c r="E209" i="88"/>
  <c r="C209" i="88"/>
  <c r="S208" i="88"/>
  <c r="R208" i="88"/>
  <c r="Q208" i="88"/>
  <c r="O208" i="88"/>
  <c r="M208" i="88"/>
  <c r="K208" i="88"/>
  <c r="I208" i="88"/>
  <c r="G208" i="88"/>
  <c r="E208" i="88"/>
  <c r="C208" i="88"/>
  <c r="S207" i="88"/>
  <c r="R207" i="88"/>
  <c r="Q207" i="88"/>
  <c r="O207" i="88"/>
  <c r="M207" i="88"/>
  <c r="K207" i="88"/>
  <c r="I207" i="88"/>
  <c r="G207" i="88"/>
  <c r="E207" i="88"/>
  <c r="C207" i="88"/>
  <c r="S206" i="88"/>
  <c r="R206" i="88"/>
  <c r="Q206" i="88"/>
  <c r="O206" i="88"/>
  <c r="M206" i="88"/>
  <c r="K206" i="88"/>
  <c r="I206" i="88"/>
  <c r="G206" i="88"/>
  <c r="E206" i="88"/>
  <c r="C206" i="88"/>
  <c r="S205" i="88"/>
  <c r="R205" i="88"/>
  <c r="Q205" i="88"/>
  <c r="O205" i="88"/>
  <c r="M205" i="88"/>
  <c r="K205" i="88"/>
  <c r="I205" i="88"/>
  <c r="G205" i="88"/>
  <c r="E205" i="88"/>
  <c r="C205" i="88"/>
  <c r="S204" i="88"/>
  <c r="R204" i="88"/>
  <c r="Q204" i="88"/>
  <c r="O204" i="88"/>
  <c r="M204" i="88"/>
  <c r="K204" i="88"/>
  <c r="I204" i="88"/>
  <c r="G204" i="88"/>
  <c r="E204" i="88"/>
  <c r="C204" i="88"/>
  <c r="S203" i="88"/>
  <c r="R203" i="88"/>
  <c r="Q203" i="88"/>
  <c r="O203" i="88"/>
  <c r="M203" i="88"/>
  <c r="K203" i="88"/>
  <c r="I203" i="88"/>
  <c r="G203" i="88"/>
  <c r="E203" i="88"/>
  <c r="C203" i="88"/>
  <c r="S202" i="88"/>
  <c r="R202" i="88"/>
  <c r="Q202" i="88"/>
  <c r="O202" i="88"/>
  <c r="M202" i="88"/>
  <c r="K202" i="88"/>
  <c r="I202" i="88"/>
  <c r="G202" i="88"/>
  <c r="E202" i="88"/>
  <c r="C202" i="88"/>
  <c r="S201" i="88"/>
  <c r="R201" i="88"/>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B128" i="87"/>
  <c r="B126" i="87"/>
  <c r="E125" i="87"/>
  <c r="F125" i="87" s="1"/>
  <c r="G125" i="87" s="1"/>
  <c r="D125" i="87"/>
  <c r="E123" i="87"/>
  <c r="F123" i="87" s="1"/>
  <c r="G123" i="87" s="1"/>
  <c r="H123" i="87" s="1"/>
  <c r="I123" i="87" s="1"/>
  <c r="J123" i="87" s="1"/>
  <c r="K123" i="87" s="1"/>
  <c r="L123" i="87" s="1"/>
  <c r="M123" i="87" s="1"/>
  <c r="D123" i="87"/>
  <c r="E121" i="87"/>
  <c r="F121" i="87" s="1"/>
  <c r="G121" i="87" s="1"/>
  <c r="H121" i="87" s="1"/>
  <c r="I121" i="87" s="1"/>
  <c r="J121" i="87" s="1"/>
  <c r="K121" i="87" s="1"/>
  <c r="L121" i="87" s="1"/>
  <c r="M121" i="87" s="1"/>
  <c r="D121" i="87"/>
  <c r="E117" i="87"/>
  <c r="F117" i="87" s="1"/>
  <c r="G117" i="87" s="1"/>
  <c r="D117" i="87"/>
  <c r="E115" i="87"/>
  <c r="F115" i="87" s="1"/>
  <c r="G115" i="87" s="1"/>
  <c r="H115" i="87" s="1"/>
  <c r="I115" i="87" s="1"/>
  <c r="J115" i="87" s="1"/>
  <c r="K115" i="87" s="1"/>
  <c r="L115" i="87" s="1"/>
  <c r="M115" i="87" s="1"/>
  <c r="D115" i="87"/>
  <c r="E113" i="87"/>
  <c r="F113" i="87" s="1"/>
  <c r="G113" i="87" s="1"/>
  <c r="H113" i="87" s="1"/>
  <c r="I113" i="87" s="1"/>
  <c r="J113" i="87" s="1"/>
  <c r="K113" i="87" s="1"/>
  <c r="L113" i="87" s="1"/>
  <c r="M113" i="87" s="1"/>
  <c r="D113" i="87"/>
  <c r="E111" i="87"/>
  <c r="F111" i="87" s="1"/>
  <c r="G111" i="87" s="1"/>
  <c r="H111" i="87" s="1"/>
  <c r="I111" i="87" s="1"/>
  <c r="J111" i="87" s="1"/>
  <c r="K111" i="87" s="1"/>
  <c r="L111" i="87" s="1"/>
  <c r="M111" i="87" s="1"/>
  <c r="D111" i="87"/>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E101" i="87"/>
  <c r="F101" i="87" s="1"/>
  <c r="G101" i="87" s="1"/>
  <c r="H101" i="87" s="1"/>
  <c r="I101" i="87" s="1"/>
  <c r="J101" i="87" s="1"/>
  <c r="K101" i="87" s="1"/>
  <c r="L101" i="87" s="1"/>
  <c r="M101" i="87" s="1"/>
  <c r="D101" i="87"/>
  <c r="B98" i="87"/>
  <c r="B96" i="87"/>
  <c r="B94" i="87"/>
  <c r="B92" i="87"/>
  <c r="E91" i="87"/>
  <c r="F91" i="87" s="1"/>
  <c r="G91" i="87" s="1"/>
  <c r="H91" i="87" s="1"/>
  <c r="I91" i="87" s="1"/>
  <c r="J91" i="87" s="1"/>
  <c r="K91" i="87" s="1"/>
  <c r="L91" i="87" s="1"/>
  <c r="M91" i="87" s="1"/>
  <c r="D91" i="87"/>
  <c r="B90" i="87"/>
  <c r="B88" i="87"/>
  <c r="E87" i="87"/>
  <c r="F87" i="87" s="1"/>
  <c r="G87" i="87" s="1"/>
  <c r="H87" i="87" s="1"/>
  <c r="I87" i="87" s="1"/>
  <c r="J87" i="87" s="1"/>
  <c r="K87" i="87" s="1"/>
  <c r="L87" i="87" s="1"/>
  <c r="M87" i="87" s="1"/>
  <c r="D87" i="87"/>
  <c r="E85" i="87"/>
  <c r="F85" i="87" s="1"/>
  <c r="G85" i="87" s="1"/>
  <c r="D85" i="87"/>
  <c r="E83" i="87"/>
  <c r="F83" i="87" s="1"/>
  <c r="G83" i="87" s="1"/>
  <c r="D83" i="87"/>
  <c r="E81" i="87"/>
  <c r="F81" i="87" s="1"/>
  <c r="G81" i="87" s="1"/>
  <c r="D81" i="87"/>
  <c r="E79" i="87"/>
  <c r="F79" i="87" s="1"/>
  <c r="G79" i="87" s="1"/>
  <c r="D79" i="87"/>
  <c r="E77" i="87"/>
  <c r="F77" i="87" s="1"/>
  <c r="G77" i="87" s="1"/>
  <c r="D77" i="87"/>
  <c r="B74" i="87"/>
  <c r="B72" i="87"/>
  <c r="B70" i="87"/>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P49" i="87"/>
  <c r="P48" i="87"/>
  <c r="K48" i="87"/>
  <c r="P47" i="87"/>
  <c r="Q46" i="87"/>
  <c r="Z46" i="87" s="1"/>
  <c r="J46" i="87"/>
  <c r="AC46" i="87" s="1"/>
  <c r="H46" i="87"/>
  <c r="AB46" i="87" s="1"/>
  <c r="F46" i="87"/>
  <c r="AA46" i="87" s="1"/>
  <c r="Q45" i="87"/>
  <c r="Z45" i="87" s="1"/>
  <c r="J45" i="87"/>
  <c r="AC45" i="87" s="1"/>
  <c r="H45" i="87"/>
  <c r="AB45" i="87" s="1"/>
  <c r="F45" i="87"/>
  <c r="AA45" i="87" s="1"/>
  <c r="Q44" i="87"/>
  <c r="Z44" i="87" s="1"/>
  <c r="J44" i="87"/>
  <c r="H44" i="87"/>
  <c r="AB44" i="87" s="1"/>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H31" i="87"/>
  <c r="AB31" i="87" s="1"/>
  <c r="F31" i="87"/>
  <c r="AA31" i="87" s="1"/>
  <c r="Q30" i="87"/>
  <c r="Z30" i="87" s="1"/>
  <c r="J30" i="87"/>
  <c r="AC30" i="87" s="1"/>
  <c r="H30" i="87"/>
  <c r="AB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H27" i="87"/>
  <c r="AB27" i="87" s="1"/>
  <c r="F27" i="87"/>
  <c r="AA27" i="87" s="1"/>
  <c r="Q26" i="87"/>
  <c r="Z26" i="87" s="1"/>
  <c r="J26" i="87"/>
  <c r="AC26" i="87" s="1"/>
  <c r="H26" i="87"/>
  <c r="AB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AC15" i="87"/>
  <c r="W15" i="87"/>
  <c r="Q15" i="87"/>
  <c r="Z15" i="87" s="1"/>
  <c r="J15" i="87"/>
  <c r="H15" i="87"/>
  <c r="AB15" i="87" s="1"/>
  <c r="F15" i="87"/>
  <c r="AA15" i="87" s="1"/>
  <c r="C15" i="87"/>
  <c r="AC14" i="87"/>
  <c r="W14" i="87"/>
  <c r="Q14" i="87"/>
  <c r="Z14" i="87" s="1"/>
  <c r="J14" i="87"/>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U8" i="87"/>
  <c r="J8" i="87"/>
  <c r="W8" i="87" s="1"/>
  <c r="H8" i="87"/>
  <c r="AB8" i="87" s="1"/>
  <c r="F8" i="87"/>
  <c r="S8" i="87" s="1"/>
  <c r="C7" i="87"/>
  <c r="C58" i="87" s="1"/>
  <c r="D58" i="87" s="1"/>
  <c r="E58" i="87" s="1"/>
  <c r="F58" i="87" s="1"/>
  <c r="G58" i="87" s="1"/>
  <c r="H58" i="87" s="1"/>
  <c r="I58" i="87" s="1"/>
  <c r="J58" i="87" s="1"/>
  <c r="K58" i="87" s="1"/>
  <c r="L58" i="87" s="1"/>
  <c r="M58" i="87" s="1"/>
  <c r="N58" i="87" s="1"/>
  <c r="O58" i="87" s="1"/>
  <c r="D3" i="87"/>
  <c r="B25" i="31"/>
  <c r="B24" i="31"/>
  <c r="F20" i="88"/>
  <c r="D2" i="89"/>
  <c r="D2" i="87"/>
  <c r="G54" i="87" l="1"/>
  <c r="H54" i="87" s="1"/>
  <c r="S15" i="89"/>
  <c r="W15" i="89"/>
  <c r="S17" i="89"/>
  <c r="W17" i="89"/>
  <c r="S19" i="89"/>
  <c r="W19" i="89"/>
  <c r="S21" i="89"/>
  <c r="W21" i="89"/>
  <c r="S23" i="89"/>
  <c r="W23" i="89"/>
  <c r="U25" i="89"/>
  <c r="AA26" i="89"/>
  <c r="S26" i="89"/>
  <c r="H7" i="89"/>
  <c r="AA8" i="89"/>
  <c r="AC8" i="89"/>
  <c r="U9" i="89"/>
  <c r="S10" i="89"/>
  <c r="W10" i="89"/>
  <c r="U11" i="89"/>
  <c r="S12" i="89"/>
  <c r="W12" i="89"/>
  <c r="U13" i="89"/>
  <c r="S14" i="89"/>
  <c r="W14" i="89"/>
  <c r="F7" i="89"/>
  <c r="J7"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S29" i="89"/>
  <c r="W29" i="89"/>
  <c r="U30" i="89"/>
  <c r="S31" i="89"/>
  <c r="W31" i="89"/>
  <c r="U32" i="89"/>
  <c r="S33" i="89"/>
  <c r="W33" i="89"/>
  <c r="U34" i="89"/>
  <c r="S35" i="89"/>
  <c r="W35" i="89"/>
  <c r="U36" i="89"/>
  <c r="S37" i="89"/>
  <c r="W37" i="89"/>
  <c r="U38" i="89"/>
  <c r="S39" i="89"/>
  <c r="W39" i="89"/>
  <c r="U40" i="89"/>
  <c r="S41" i="89"/>
  <c r="W41" i="89"/>
  <c r="U42" i="89"/>
  <c r="S43" i="89"/>
  <c r="W43" i="89"/>
  <c r="U44" i="89"/>
  <c r="S45" i="89"/>
  <c r="W45" i="89"/>
  <c r="U46" i="89"/>
  <c r="E54" i="89"/>
  <c r="F54" i="89" s="1"/>
  <c r="I54" i="89"/>
  <c r="J54" i="89" s="1"/>
  <c r="R47" i="89"/>
  <c r="V47" i="89"/>
  <c r="B22" i="88"/>
  <c r="C25" i="88"/>
  <c r="V47" i="87"/>
  <c r="R47" i="87"/>
  <c r="E54" i="87"/>
  <c r="F54" i="87" s="1"/>
  <c r="H7" i="87"/>
  <c r="AA8" i="87"/>
  <c r="AC8" i="87"/>
  <c r="U9" i="87"/>
  <c r="S10" i="87"/>
  <c r="W10" i="87"/>
  <c r="U11" i="87"/>
  <c r="S12" i="87"/>
  <c r="W12" i="87"/>
  <c r="U13" i="87"/>
  <c r="S15" i="87"/>
  <c r="W17" i="87"/>
  <c r="F7" i="87"/>
  <c r="J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D34" i="43"/>
  <c r="D33" i="43"/>
  <c r="Y27" i="1"/>
  <c r="Y26" i="1"/>
  <c r="Y22" i="1"/>
  <c r="Y21" i="1"/>
  <c r="V28" i="1"/>
  <c r="V23" i="1"/>
  <c r="X27" i="1"/>
  <c r="U9" i="1" s="1"/>
  <c r="X26" i="1"/>
  <c r="X23" i="1"/>
  <c r="U6" i="1" s="1"/>
  <c r="V27" i="1"/>
  <c r="V26" i="1"/>
  <c r="V22" i="1"/>
  <c r="V21" i="1"/>
  <c r="Y9" i="1"/>
  <c r="Y8" i="1"/>
  <c r="Y7" i="1"/>
  <c r="Y6" i="1"/>
  <c r="U3" i="43"/>
  <c r="U2" i="43"/>
  <c r="A120" i="86"/>
  <c r="A118" i="86"/>
  <c r="H111" i="86"/>
  <c r="D126" i="86" s="1"/>
  <c r="D127" i="86" s="1"/>
  <c r="E111" i="86"/>
  <c r="A126" i="86" s="1"/>
  <c r="E109" i="86"/>
  <c r="A124" i="86" s="1"/>
  <c r="E107" i="86"/>
  <c r="A122" i="86" s="1"/>
  <c r="H106" i="86"/>
  <c r="H103" i="86" s="1"/>
  <c r="D120" i="86" s="1"/>
  <c r="H105" i="86"/>
  <c r="H104" i="86"/>
  <c r="D101" i="86"/>
  <c r="C101" i="86"/>
  <c r="D93" i="86"/>
  <c r="C91" i="86"/>
  <c r="E90" i="86"/>
  <c r="D89" i="86"/>
  <c r="C89" i="86"/>
  <c r="C87" i="86" s="1"/>
  <c r="D78" i="86"/>
  <c r="H77" i="86"/>
  <c r="D77" i="86"/>
  <c r="C77" i="86" s="1"/>
  <c r="C76" i="86"/>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B118" i="86" s="1"/>
  <c r="L18" i="86"/>
  <c r="B17" i="74" s="1"/>
  <c r="D17" i="86"/>
  <c r="C17" i="86"/>
  <c r="L4" i="86"/>
  <c r="K4" i="86"/>
  <c r="A2" i="86"/>
  <c r="H1" i="86"/>
  <c r="A126" i="85"/>
  <c r="A122" i="85"/>
  <c r="A120" i="85"/>
  <c r="A118" i="85"/>
  <c r="H111" i="85"/>
  <c r="D126" i="85" s="1"/>
  <c r="D127" i="85" s="1"/>
  <c r="E111" i="85"/>
  <c r="H112" i="85" s="1"/>
  <c r="E109" i="85"/>
  <c r="A124" i="85" s="1"/>
  <c r="E107" i="85"/>
  <c r="H106" i="85"/>
  <c r="H103" i="85" s="1"/>
  <c r="D120" i="85" s="1"/>
  <c r="H105" i="85"/>
  <c r="H104" i="85"/>
  <c r="D101" i="85"/>
  <c r="C101" i="85"/>
  <c r="D93" i="85"/>
  <c r="C91" i="85"/>
  <c r="E90" i="85"/>
  <c r="D89" i="85"/>
  <c r="C89" i="85"/>
  <c r="C87" i="85" s="1"/>
  <c r="D78" i="85"/>
  <c r="H77" i="85"/>
  <c r="D77" i="85"/>
  <c r="C77" i="85" s="1"/>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O52" i="85"/>
  <c r="F52" i="85"/>
  <c r="K49" i="85"/>
  <c r="F48" i="85"/>
  <c r="E48" i="85"/>
  <c r="N52" i="85" s="1"/>
  <c r="D48" i="85"/>
  <c r="M52" i="85" s="1"/>
  <c r="M47" i="85"/>
  <c r="F33" i="85"/>
  <c r="D27" i="85"/>
  <c r="C25" i="85"/>
  <c r="C24" i="85"/>
  <c r="M19" i="85"/>
  <c r="C118" i="85" s="1"/>
  <c r="L19" i="85"/>
  <c r="M18" i="85"/>
  <c r="B118" i="85" s="1"/>
  <c r="L18" i="85"/>
  <c r="B16" i="74" s="1"/>
  <c r="D17" i="85"/>
  <c r="C17" i="85"/>
  <c r="L4" i="85"/>
  <c r="K4" i="85"/>
  <c r="A2" i="85"/>
  <c r="H1" i="85"/>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B15" i="74" s="1"/>
  <c r="D17" i="84"/>
  <c r="C17" i="84"/>
  <c r="L4" i="84"/>
  <c r="K4" i="84"/>
  <c r="A2" i="84"/>
  <c r="H1" i="84"/>
  <c r="Q72" i="83"/>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P74" i="82"/>
  <c r="Q72" i="82"/>
  <c r="Q59" i="82"/>
  <c r="K59" i="82"/>
  <c r="P61" i="82" s="1"/>
  <c r="F59" i="82"/>
  <c r="Q58" i="82"/>
  <c r="Q51" i="82"/>
  <c r="J51" i="82"/>
  <c r="J50" i="82"/>
  <c r="M47" i="82"/>
  <c r="D46" i="82"/>
  <c r="F34" i="82"/>
  <c r="F62" i="82" s="1"/>
  <c r="F33" i="82"/>
  <c r="F61" i="82" s="1"/>
  <c r="F32" i="82"/>
  <c r="F60" i="82" s="1"/>
  <c r="F31" i="82"/>
  <c r="F28" i="82"/>
  <c r="C28" i="82"/>
  <c r="F23" i="82"/>
  <c r="D24"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F48" i="80"/>
  <c r="F38" i="80"/>
  <c r="E37" i="80"/>
  <c r="F36" i="80"/>
  <c r="F35" i="80"/>
  <c r="F30" i="80"/>
  <c r="C48" i="80" s="1"/>
  <c r="C30" i="80"/>
  <c r="F21" i="80"/>
  <c r="F40" i="80" s="1"/>
  <c r="F20" i="80"/>
  <c r="F39" i="80" s="1"/>
  <c r="E19" i="80"/>
  <c r="C19" i="80"/>
  <c r="E10" i="80"/>
  <c r="E9" i="80"/>
  <c r="F7" i="80"/>
  <c r="G1" i="80"/>
  <c r="F48" i="79"/>
  <c r="F38" i="79"/>
  <c r="E37" i="79"/>
  <c r="F36" i="79"/>
  <c r="F35" i="79"/>
  <c r="F30" i="79"/>
  <c r="C48" i="79" s="1"/>
  <c r="C30" i="79"/>
  <c r="F21" i="79"/>
  <c r="F40" i="79" s="1"/>
  <c r="F20" i="79"/>
  <c r="F39" i="79" s="1"/>
  <c r="E19" i="79"/>
  <c r="C19" i="79"/>
  <c r="E10" i="79"/>
  <c r="E9" i="79"/>
  <c r="F7" i="79"/>
  <c r="G1" i="79"/>
  <c r="F48" i="78"/>
  <c r="F38" i="78"/>
  <c r="E37" i="78"/>
  <c r="F36" i="78"/>
  <c r="F35" i="78"/>
  <c r="F30" i="78"/>
  <c r="C48" i="78" s="1"/>
  <c r="C30" i="78"/>
  <c r="F21" i="78"/>
  <c r="C40" i="78" s="1"/>
  <c r="F20" i="78"/>
  <c r="F39" i="78" s="1"/>
  <c r="E19" i="78"/>
  <c r="C19" i="78"/>
  <c r="E10" i="78"/>
  <c r="E9" i="78"/>
  <c r="F7" i="78"/>
  <c r="G1" i="78"/>
  <c r="G41" i="43"/>
  <c r="G49" i="43"/>
  <c r="G50" i="43"/>
  <c r="G51" i="43"/>
  <c r="G52" i="43"/>
  <c r="G53" i="43"/>
  <c r="G54" i="43"/>
  <c r="G55" i="43"/>
  <c r="G56" i="43"/>
  <c r="G48" i="43"/>
  <c r="N9" i="1"/>
  <c r="N8" i="1"/>
  <c r="N7" i="1"/>
  <c r="N6" i="1"/>
  <c r="J8" i="1"/>
  <c r="J9" i="1"/>
  <c r="J7" i="1"/>
  <c r="G22" i="6"/>
  <c r="G21" i="6"/>
  <c r="F19" i="6"/>
  <c r="G20" i="6"/>
  <c r="M13" i="3"/>
  <c r="K13" i="3"/>
  <c r="C9" i="77"/>
  <c r="I13" i="3" s="1"/>
  <c r="C10" i="77"/>
  <c r="C11" i="77"/>
  <c r="C12" i="77"/>
  <c r="C8" i="77"/>
  <c r="E11" i="77"/>
  <c r="E10" i="77"/>
  <c r="D8" i="77"/>
  <c r="C76" i="81"/>
  <c r="D34" i="84"/>
  <c r="F9" i="82"/>
  <c r="D34" i="86"/>
  <c r="E2" i="78"/>
  <c r="D35" i="85"/>
  <c r="C36" i="80"/>
  <c r="E2" i="79"/>
  <c r="C76" i="82"/>
  <c r="D35" i="84"/>
  <c r="C76" i="83"/>
  <c r="D35" i="86"/>
  <c r="D34" i="85"/>
  <c r="F27" i="78"/>
  <c r="E2" i="80"/>
  <c r="F7" i="82"/>
  <c r="F8" i="82"/>
  <c r="D22" i="82" l="1"/>
  <c r="D23" i="82"/>
  <c r="X28" i="1"/>
  <c r="U7" i="1" s="1"/>
  <c r="V48" i="89"/>
  <c r="I48" i="89" s="1"/>
  <c r="AA7" i="89"/>
  <c r="S7" i="89"/>
  <c r="U7" i="89"/>
  <c r="AB7" i="89"/>
  <c r="R48" i="89"/>
  <c r="T48" i="89"/>
  <c r="G48" i="89" s="1"/>
  <c r="AC7" i="89"/>
  <c r="W7" i="89"/>
  <c r="C18" i="84"/>
  <c r="D18" i="84" s="1"/>
  <c r="AC7" i="87"/>
  <c r="V48" i="87" s="1"/>
  <c r="I48" i="87" s="1"/>
  <c r="W7" i="87"/>
  <c r="AA7" i="87"/>
  <c r="R48" i="87" s="1"/>
  <c r="S7" i="87"/>
  <c r="U7" i="87"/>
  <c r="AB7" i="87"/>
  <c r="T48" i="87" s="1"/>
  <c r="G48" i="87" s="1"/>
  <c r="C18" i="86"/>
  <c r="D18" i="86" s="1"/>
  <c r="C18" i="85"/>
  <c r="D18" i="85" s="1"/>
  <c r="K120" i="86"/>
  <c r="D121" i="86"/>
  <c r="C74" i="86"/>
  <c r="C92" i="86"/>
  <c r="C94" i="86"/>
  <c r="H109" i="86"/>
  <c r="H112" i="86"/>
  <c r="D121" i="85"/>
  <c r="K120" i="85"/>
  <c r="C74" i="85"/>
  <c r="C94" i="85"/>
  <c r="C92" i="85"/>
  <c r="H109" i="85"/>
  <c r="C74" i="84"/>
  <c r="C92" i="84"/>
  <c r="C94" i="84"/>
  <c r="K120" i="84"/>
  <c r="D121" i="84"/>
  <c r="H109" i="84"/>
  <c r="Q71" i="83"/>
  <c r="D24" i="83"/>
  <c r="P61" i="83"/>
  <c r="D22" i="83"/>
  <c r="Q71" i="82"/>
  <c r="F50" i="82"/>
  <c r="M7" i="82"/>
  <c r="F51" i="82"/>
  <c r="Q71" i="81"/>
  <c r="D24" i="81"/>
  <c r="P61" i="81"/>
  <c r="D22" i="81"/>
  <c r="C21" i="80"/>
  <c r="C40" i="80"/>
  <c r="C21" i="79"/>
  <c r="C40" i="79"/>
  <c r="F45" i="78"/>
  <c r="C47" i="78"/>
  <c r="D45" i="78" s="1"/>
  <c r="F40" i="78"/>
  <c r="C21" i="78"/>
  <c r="C29" i="78" s="1"/>
  <c r="D27" i="78" s="1"/>
  <c r="AH5" i="71"/>
  <c r="AG5" i="71"/>
  <c r="AE5" i="71"/>
  <c r="AF5" i="71" s="1"/>
  <c r="AD5" i="71"/>
  <c r="Q5" i="71"/>
  <c r="P5" i="71"/>
  <c r="O5" i="71"/>
  <c r="N5" i="71"/>
  <c r="F38" i="81"/>
  <c r="F26" i="83"/>
  <c r="L48" i="82"/>
  <c r="C36" i="79"/>
  <c r="M6" i="82"/>
  <c r="D9" i="79"/>
  <c r="M9" i="82"/>
  <c r="M26" i="81"/>
  <c r="J15" i="83"/>
  <c r="L47" i="82"/>
  <c r="F38" i="82"/>
  <c r="D9" i="78"/>
  <c r="F16" i="82"/>
  <c r="F36" i="81"/>
  <c r="M29" i="83"/>
  <c r="F37" i="81"/>
  <c r="D10" i="79"/>
  <c r="L48" i="83"/>
  <c r="M8" i="83"/>
  <c r="M28" i="82"/>
  <c r="M26" i="83"/>
  <c r="F42" i="82"/>
  <c r="F42" i="83"/>
  <c r="F26" i="81"/>
  <c r="F40" i="81"/>
  <c r="M23" i="82"/>
  <c r="F16" i="83"/>
  <c r="F27" i="80"/>
  <c r="F7" i="83"/>
  <c r="L48" i="81"/>
  <c r="F13" i="83"/>
  <c r="F37" i="82"/>
  <c r="M28" i="81"/>
  <c r="F9" i="83"/>
  <c r="F43" i="82"/>
  <c r="L47" i="83"/>
  <c r="F36" i="82"/>
  <c r="M24" i="81"/>
  <c r="F8" i="83"/>
  <c r="M29" i="81"/>
  <c r="M22" i="81"/>
  <c r="M9" i="83"/>
  <c r="M22" i="82"/>
  <c r="D10" i="80"/>
  <c r="M24" i="83"/>
  <c r="M23" i="83"/>
  <c r="F40" i="83"/>
  <c r="M29" i="82"/>
  <c r="J15" i="82"/>
  <c r="M28" i="83"/>
  <c r="F26" i="82"/>
  <c r="M27" i="81"/>
  <c r="M27" i="83"/>
  <c r="M6" i="81"/>
  <c r="F37" i="83"/>
  <c r="F8" i="81"/>
  <c r="F27" i="79"/>
  <c r="M24" i="82"/>
  <c r="F9" i="81"/>
  <c r="F36" i="83"/>
  <c r="F6" i="82"/>
  <c r="M9" i="81"/>
  <c r="M6" i="83"/>
  <c r="F16" i="81"/>
  <c r="F6" i="83"/>
  <c r="M26" i="82"/>
  <c r="F7" i="81"/>
  <c r="F38" i="83"/>
  <c r="M27" i="82"/>
  <c r="J15" i="81"/>
  <c r="F13" i="82"/>
  <c r="D10" i="78"/>
  <c r="M8" i="82"/>
  <c r="F6" i="81"/>
  <c r="D9" i="80"/>
  <c r="F13" i="81"/>
  <c r="L47" i="81"/>
  <c r="F43" i="81"/>
  <c r="M22" i="83"/>
  <c r="C36" i="78"/>
  <c r="M8" i="81"/>
  <c r="F40" i="82"/>
  <c r="F43" i="83"/>
  <c r="F42" i="81"/>
  <c r="M23" i="81"/>
  <c r="C49" i="82" l="1"/>
  <c r="G53" i="89"/>
  <c r="H53" i="89" s="1"/>
  <c r="G52" i="89"/>
  <c r="H52" i="89" s="1"/>
  <c r="I52" i="89"/>
  <c r="J52" i="89" s="1"/>
  <c r="R49" i="89"/>
  <c r="E48" i="89"/>
  <c r="I53" i="89" s="1"/>
  <c r="J53" i="89" s="1"/>
  <c r="R49" i="87"/>
  <c r="E48" i="87"/>
  <c r="I53" i="87"/>
  <c r="J53" i="87" s="1"/>
  <c r="I52" i="87"/>
  <c r="J52" i="87" s="1"/>
  <c r="G53" i="87"/>
  <c r="H53" i="87" s="1"/>
  <c r="G52" i="87"/>
  <c r="H52" i="87" s="1"/>
  <c r="D124" i="86"/>
  <c r="D125" i="86" s="1"/>
  <c r="H110" i="86"/>
  <c r="D124" i="85"/>
  <c r="D125" i="85" s="1"/>
  <c r="H110" i="85"/>
  <c r="D124" i="84"/>
  <c r="D125" i="84" s="1"/>
  <c r="H110" i="84"/>
  <c r="L57" i="83"/>
  <c r="L56" i="83"/>
  <c r="I54" i="83"/>
  <c r="L60" i="83"/>
  <c r="J53" i="83"/>
  <c r="J57" i="83"/>
  <c r="J55" i="83" s="1"/>
  <c r="J58" i="83" s="1"/>
  <c r="Q50" i="83" s="1"/>
  <c r="F71" i="83"/>
  <c r="F68" i="83"/>
  <c r="F51" i="83"/>
  <c r="F65" i="83"/>
  <c r="C27" i="83"/>
  <c r="N59" i="83"/>
  <c r="L59" i="83"/>
  <c r="L58" i="83"/>
  <c r="F50" i="83"/>
  <c r="M7" i="83"/>
  <c r="J6" i="83" s="1"/>
  <c r="F66" i="83"/>
  <c r="F64" i="83"/>
  <c r="C6" i="83"/>
  <c r="L57" i="82"/>
  <c r="L56" i="82"/>
  <c r="J53" i="82"/>
  <c r="J57" i="82"/>
  <c r="J55" i="82" s="1"/>
  <c r="J58" i="82" s="1"/>
  <c r="Q50" i="82" s="1"/>
  <c r="I54" i="82"/>
  <c r="L60" i="82"/>
  <c r="F71" i="82"/>
  <c r="F68" i="82"/>
  <c r="F66" i="82"/>
  <c r="F64" i="82"/>
  <c r="C27" i="82"/>
  <c r="C6" i="82"/>
  <c r="N59" i="82"/>
  <c r="L59" i="82"/>
  <c r="L58" i="82"/>
  <c r="F65" i="82"/>
  <c r="J6" i="82"/>
  <c r="F71" i="81"/>
  <c r="F65" i="81"/>
  <c r="C27" i="81"/>
  <c r="N59" i="81"/>
  <c r="L59" i="81"/>
  <c r="L58" i="81"/>
  <c r="F50" i="81"/>
  <c r="M7" i="81"/>
  <c r="J6" i="81" s="1"/>
  <c r="F66" i="81"/>
  <c r="F64" i="81"/>
  <c r="C6" i="81"/>
  <c r="L57" i="81"/>
  <c r="L56" i="81"/>
  <c r="J57" i="81"/>
  <c r="J55" i="81" s="1"/>
  <c r="J58" i="81" s="1"/>
  <c r="Q50" i="81" s="1"/>
  <c r="I54" i="81"/>
  <c r="L60" i="81"/>
  <c r="J53" i="81"/>
  <c r="F68" i="81"/>
  <c r="F51" i="81"/>
  <c r="F45" i="80"/>
  <c r="D19" i="80"/>
  <c r="D37" i="80" s="1"/>
  <c r="C9" i="80"/>
  <c r="C10" i="80"/>
  <c r="C47" i="80"/>
  <c r="D45" i="80" s="1"/>
  <c r="C29" i="80"/>
  <c r="D27" i="80" s="1"/>
  <c r="C10" i="79"/>
  <c r="F45" i="79"/>
  <c r="C9" i="79"/>
  <c r="D19" i="79"/>
  <c r="D37" i="79" s="1"/>
  <c r="C47" i="79"/>
  <c r="D45" i="79" s="1"/>
  <c r="C29" i="79"/>
  <c r="D27" i="79" s="1"/>
  <c r="C10" i="78"/>
  <c r="D19" i="78"/>
  <c r="D37" i="78" s="1"/>
  <c r="C9" i="78"/>
  <c r="AH6" i="71"/>
  <c r="AG6" i="71"/>
  <c r="AE6" i="71"/>
  <c r="AF6" i="71" s="1"/>
  <c r="AD6" i="71"/>
  <c r="Q6" i="71"/>
  <c r="P6" i="71"/>
  <c r="O6" i="71"/>
  <c r="N6" i="71"/>
  <c r="C17" i="82"/>
  <c r="C17" i="83"/>
  <c r="C17" i="81"/>
  <c r="C8" i="78" l="1"/>
  <c r="E53" i="89"/>
  <c r="F53" i="89" s="1"/>
  <c r="E52" i="89"/>
  <c r="F52" i="89" s="1"/>
  <c r="C49" i="89"/>
  <c r="B2" i="89" s="1"/>
  <c r="B3" i="89" s="1"/>
  <c r="C48" i="89"/>
  <c r="C8" i="79"/>
  <c r="E53" i="87"/>
  <c r="F53" i="87" s="1"/>
  <c r="E52" i="87"/>
  <c r="F52" i="87" s="1"/>
  <c r="C49" i="87"/>
  <c r="C48" i="87"/>
  <c r="J18" i="83"/>
  <c r="C33" i="83"/>
  <c r="C32" i="83"/>
  <c r="Q61" i="83"/>
  <c r="Q74" i="83"/>
  <c r="F1" i="83"/>
  <c r="Q52" i="83"/>
  <c r="Q60" i="83"/>
  <c r="Q73" i="83"/>
  <c r="C49" i="83"/>
  <c r="Q66" i="83"/>
  <c r="Q57" i="83"/>
  <c r="J18" i="82"/>
  <c r="Q61" i="82"/>
  <c r="Q74" i="82"/>
  <c r="C33" i="82"/>
  <c r="C32" i="82"/>
  <c r="Q60" i="82"/>
  <c r="Q73" i="82"/>
  <c r="Q66" i="82"/>
  <c r="Q57" i="82"/>
  <c r="F1" i="82"/>
  <c r="Q52" i="82"/>
  <c r="J18" i="81"/>
  <c r="C49" i="81"/>
  <c r="F1" i="81"/>
  <c r="Q52" i="81"/>
  <c r="Q61" i="81"/>
  <c r="Q74" i="81"/>
  <c r="Q66" i="81"/>
  <c r="Q57" i="81"/>
  <c r="C33" i="81"/>
  <c r="C32" i="81"/>
  <c r="Q60" i="81"/>
  <c r="Q73" i="81"/>
  <c r="C8" i="80"/>
  <c r="H16" i="49"/>
  <c r="D16" i="49"/>
  <c r="D15" i="49"/>
  <c r="B2" i="49"/>
  <c r="F15" i="49" s="1"/>
  <c r="H15" i="49" s="1"/>
  <c r="B2" i="87" l="1"/>
  <c r="B3" i="87" s="1"/>
  <c r="R24" i="8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S24" i="88" l="1"/>
  <c r="R25" i="88"/>
  <c r="S25" i="88" s="1"/>
  <c r="K42" i="40"/>
  <c r="K47" i="39"/>
  <c r="K36" i="36"/>
  <c r="E59" i="9"/>
  <c r="S22" i="88" l="1"/>
  <c r="B20" i="88" s="1"/>
  <c r="B21" i="88" s="1"/>
  <c r="K38" i="35"/>
  <c r="K42" i="37"/>
  <c r="K49" i="34"/>
  <c r="K48" i="33"/>
  <c r="K48" i="21"/>
  <c r="H104" i="9"/>
  <c r="F59" i="9"/>
  <c r="R22" i="88" l="1"/>
  <c r="AH7" i="7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P18" i="71"/>
  <c r="E17" i="71"/>
  <c r="E16" i="71" s="1"/>
  <c r="E15" i="71" s="1"/>
  <c r="O18" i="71"/>
  <c r="N18" i="71"/>
  <c r="V17" i="71"/>
  <c r="A2" i="53"/>
  <c r="B19" i="72" s="1"/>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X17" i="71" s="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1" i="71" s="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D23" i="71" s="1"/>
  <c r="X23" i="71"/>
  <c r="X24" i="71"/>
  <c r="X25" i="71"/>
  <c r="C27" i="71"/>
  <c r="C28" i="71" s="1"/>
  <c r="Y26" i="71"/>
  <c r="Z26" i="71" s="1"/>
  <c r="AB26" i="71"/>
  <c r="AA27" i="71"/>
  <c r="AA28" i="71"/>
  <c r="X29" i="71"/>
  <c r="AA29" i="71"/>
  <c r="Y30" i="71"/>
  <c r="Z30" i="71" s="1"/>
  <c r="AB30" i="71"/>
  <c r="X31" i="71"/>
  <c r="AA31" i="71"/>
  <c r="F44" i="71"/>
  <c r="F45" i="71"/>
  <c r="V45" i="71" s="1"/>
  <c r="C21" i="71"/>
  <c r="C20" i="71" s="1"/>
  <c r="X18" i="71"/>
  <c r="X20" i="71"/>
  <c r="C24" i="71"/>
  <c r="D24" i="71" s="1"/>
  <c r="D27" i="71"/>
  <c r="P21" i="71"/>
  <c r="AA3" i="71" s="1"/>
  <c r="E56" i="71"/>
  <c r="E57" i="71"/>
  <c r="U57" i="71" s="1"/>
  <c r="U61" i="71"/>
  <c r="E60" i="71"/>
  <c r="E59" i="71" s="1"/>
  <c r="Q21" i="71"/>
  <c r="C56" i="71"/>
  <c r="C57" i="71" s="1"/>
  <c r="T57" i="71" s="1"/>
  <c r="D55" i="71"/>
  <c r="N60" i="71"/>
  <c r="B59" i="71"/>
  <c r="T61" i="71"/>
  <c r="O61" i="71"/>
  <c r="D61" i="71"/>
  <c r="C60" i="71"/>
  <c r="O60" i="71" s="1"/>
  <c r="Q61" i="71"/>
  <c r="C64" i="71"/>
  <c r="D64" i="71" s="1"/>
  <c r="E64" i="71"/>
  <c r="E63" i="71"/>
  <c r="D65" i="71"/>
  <c r="C68" i="71"/>
  <c r="C67" i="71" s="1"/>
  <c r="D67" i="71" s="1"/>
  <c r="E68" i="71"/>
  <c r="E67" i="71"/>
  <c r="D69" i="71"/>
  <c r="C72" i="71"/>
  <c r="C71" i="71" s="1"/>
  <c r="D71" i="71" s="1"/>
  <c r="E72" i="71"/>
  <c r="E71" i="71"/>
  <c r="D73" i="71"/>
  <c r="C76" i="71"/>
  <c r="D76" i="71" s="1"/>
  <c r="C80" i="71"/>
  <c r="T21" i="71"/>
  <c r="F21" i="71"/>
  <c r="F20" i="71"/>
  <c r="F19" i="71" s="1"/>
  <c r="AB18" i="71"/>
  <c r="AB19" i="71"/>
  <c r="AB20" i="71"/>
  <c r="AB21" i="71"/>
  <c r="E21" i="71"/>
  <c r="E20" i="71" s="1"/>
  <c r="E19" i="71" s="1"/>
  <c r="AA18" i="71"/>
  <c r="AA20" i="71"/>
  <c r="D21" i="71"/>
  <c r="U21" i="71" s="1"/>
  <c r="C59" i="71"/>
  <c r="D59" i="71" s="1"/>
  <c r="D60" i="71"/>
  <c r="D56" i="71"/>
  <c r="C75" i="71"/>
  <c r="D75" i="71" s="1"/>
  <c r="D68" i="71"/>
  <c r="N58" i="71"/>
  <c r="N59" i="71"/>
  <c r="D80" i="71"/>
  <c r="C79" i="71"/>
  <c r="D79" i="71" s="1"/>
  <c r="D72" i="71"/>
  <c r="C63" i="71"/>
  <c r="D63" i="71" s="1"/>
  <c r="P60" i="71"/>
  <c r="C25" i="71"/>
  <c r="T25" i="71" s="1"/>
  <c r="O59" i="71"/>
  <c r="O58" i="71"/>
  <c r="D25"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s="1"/>
  <c r="E8" i="1" s="1"/>
  <c r="A9" i="1"/>
  <c r="A10" i="1"/>
  <c r="A11" i="1"/>
  <c r="B11" i="1" s="1"/>
  <c r="A12" i="1"/>
  <c r="A13" i="1"/>
  <c r="A6" i="1"/>
  <c r="F3" i="35"/>
  <c r="E11"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7" i="31"/>
  <c r="S519" i="31"/>
  <c r="S521" i="31"/>
  <c r="S523"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U34" i="35"/>
  <c r="F36" i="34"/>
  <c r="J35" i="34"/>
  <c r="W9" i="34"/>
  <c r="S34" i="34"/>
  <c r="H39" i="33"/>
  <c r="AB39" i="33" s="1"/>
  <c r="F26" i="33"/>
  <c r="AA26" i="33" s="1"/>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7" i="43"/>
  <c r="K9" i="1"/>
  <c r="M9" i="1" s="1"/>
  <c r="D93" i="9"/>
  <c r="E12" i="6"/>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13" i="12" s="1"/>
  <c r="H100" i="43"/>
  <c r="C30" i="66"/>
  <c r="E26" i="66" s="1"/>
  <c r="AC34" i="33"/>
  <c r="AA34" i="33"/>
  <c r="B41" i="1"/>
  <c r="F48" i="9" s="1"/>
  <c r="O52" i="9" s="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BA13" i="3"/>
  <c r="AZ13" i="3" s="1"/>
  <c r="E10" i="6"/>
  <c r="E11" i="6"/>
  <c r="E61" i="39" s="1"/>
  <c r="BL17" i="3"/>
  <c r="AZ17" i="3" s="1"/>
  <c r="BL13" i="3"/>
  <c r="G30" i="6"/>
  <c r="G31" i="6" s="1"/>
  <c r="J56" i="9"/>
  <c r="J57" i="9" s="1"/>
  <c r="J59" i="9" s="1"/>
  <c r="J61" i="9" s="1"/>
  <c r="A24" i="51"/>
  <c r="B18" i="72" s="1"/>
  <c r="U29" i="34"/>
  <c r="E14" i="6"/>
  <c r="E64" i="39" s="1"/>
  <c r="E5" i="6"/>
  <c r="D9" i="11" s="1"/>
  <c r="C9" i="11" s="1"/>
  <c r="P10" i="1"/>
  <c r="E32" i="6"/>
  <c r="L19" i="6"/>
  <c r="G1" i="68"/>
  <c r="K1" i="12"/>
  <c r="E28" i="6"/>
  <c r="K14" i="1" s="1"/>
  <c r="E57" i="40"/>
  <c r="AR12" i="1"/>
  <c r="AQ12" i="1"/>
  <c r="T12" i="1"/>
  <c r="AR10" i="1"/>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72"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68"/>
  <c r="F48" i="68" s="1"/>
  <c r="F30" i="11"/>
  <c r="C48" i="11" s="1"/>
  <c r="F28" i="67"/>
  <c r="C28" i="67" s="1"/>
  <c r="F31" i="12"/>
  <c r="F52" i="9"/>
  <c r="M18" i="67"/>
  <c r="F32" i="67"/>
  <c r="F60" i="67" s="1"/>
  <c r="F30" i="69"/>
  <c r="F48" i="69" s="1"/>
  <c r="F32" i="15"/>
  <c r="F60" i="15" s="1"/>
  <c r="M18" i="15"/>
  <c r="F28" i="15"/>
  <c r="C28" i="15" s="1"/>
  <c r="T11" i="1"/>
  <c r="T13" i="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W36" i="33" s="1"/>
  <c r="H36" i="33"/>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L27" i="6"/>
  <c r="AP7" i="1"/>
  <c r="AB45" i="21"/>
  <c r="AC33" i="21"/>
  <c r="W33" i="21"/>
  <c r="S33" i="21"/>
  <c r="AA33" i="21"/>
  <c r="W32" i="21"/>
  <c r="AC32" i="21"/>
  <c r="AB9" i="21"/>
  <c r="U9" i="21"/>
  <c r="AA32" i="21"/>
  <c r="S32" i="21"/>
  <c r="W9" i="21"/>
  <c r="AC9" i="21"/>
  <c r="AB32" i="21"/>
  <c r="U32" i="21"/>
  <c r="AA10" i="21"/>
  <c r="S10" i="21"/>
  <c r="C30" i="1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C30" i="69"/>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c r="H46" i="36" s="1"/>
  <c r="I46" i="36" s="1"/>
  <c r="AB15" i="71"/>
  <c r="X13" i="71"/>
  <c r="X12" i="71"/>
  <c r="AA13" i="71"/>
  <c r="AA12" i="71"/>
  <c r="X16" i="71"/>
  <c r="Y12" i="71"/>
  <c r="Z12" i="71" s="1"/>
  <c r="AB13" i="71"/>
  <c r="AB12" i="71"/>
  <c r="C94" i="9"/>
  <c r="C92" i="9"/>
  <c r="Y13" i="71"/>
  <c r="Z13" i="71" s="1"/>
  <c r="X3" i="71"/>
  <c r="E14" i="71"/>
  <c r="E13" i="71" s="1"/>
  <c r="I59" i="34"/>
  <c r="J59" i="34" s="1"/>
  <c r="F34" i="68"/>
  <c r="C16" i="83"/>
  <c r="C16" i="82"/>
  <c r="AE8" i="1"/>
  <c r="E13" i="76"/>
  <c r="D5" i="73"/>
  <c r="F13" i="67"/>
  <c r="M23" i="15"/>
  <c r="F20" i="31"/>
  <c r="D2" i="33"/>
  <c r="M28" i="67"/>
  <c r="E8" i="76"/>
  <c r="AE9" i="1"/>
  <c r="B13" i="76"/>
  <c r="M29" i="67"/>
  <c r="B12" i="76"/>
  <c r="F43" i="15"/>
  <c r="AO10" i="1"/>
  <c r="F40" i="15"/>
  <c r="F7" i="73"/>
  <c r="M21" i="67"/>
  <c r="D35" i="9"/>
  <c r="J15" i="15"/>
  <c r="F37" i="15"/>
  <c r="M8" i="67"/>
  <c r="E11" i="76"/>
  <c r="F26" i="67"/>
  <c r="D6" i="73"/>
  <c r="M26" i="67"/>
  <c r="F42" i="67"/>
  <c r="M27" i="67"/>
  <c r="F5" i="73"/>
  <c r="F9" i="67"/>
  <c r="F36" i="67"/>
  <c r="F37" i="67"/>
  <c r="D4" i="73"/>
  <c r="AE7" i="1"/>
  <c r="L48" i="15"/>
  <c r="F36" i="15"/>
  <c r="M29" i="15"/>
  <c r="M22" i="15"/>
  <c r="D3" i="73"/>
  <c r="D34" i="9"/>
  <c r="M27" i="15"/>
  <c r="F43" i="67"/>
  <c r="E12" i="76"/>
  <c r="F38" i="67"/>
  <c r="F6" i="73"/>
  <c r="F6" i="15"/>
  <c r="B10" i="76"/>
  <c r="F7" i="15"/>
  <c r="F35" i="67"/>
  <c r="D2" i="36"/>
  <c r="C14" i="83"/>
  <c r="C14" i="82"/>
  <c r="M9" i="67"/>
  <c r="D7" i="73"/>
  <c r="AO13" i="1"/>
  <c r="F7" i="67"/>
  <c r="E7" i="76"/>
  <c r="E9" i="76"/>
  <c r="F26" i="15"/>
  <c r="B9" i="76"/>
  <c r="M22" i="67"/>
  <c r="M24" i="67"/>
  <c r="E2" i="69"/>
  <c r="F8" i="67"/>
  <c r="F4" i="73"/>
  <c r="D2" i="21"/>
  <c r="F13" i="15"/>
  <c r="AO11" i="1"/>
  <c r="D2" i="37"/>
  <c r="F16" i="15"/>
  <c r="F16" i="67"/>
  <c r="J15" i="67"/>
  <c r="M23" i="67"/>
  <c r="M28" i="15"/>
  <c r="F6" i="67"/>
  <c r="B7" i="76"/>
  <c r="B11" i="76"/>
  <c r="L48" i="67"/>
  <c r="D2" i="35"/>
  <c r="L47" i="67"/>
  <c r="F9" i="15"/>
  <c r="E10" i="76"/>
  <c r="F42" i="15"/>
  <c r="AO12" i="1"/>
  <c r="F40" i="67"/>
  <c r="F3" i="73"/>
  <c r="D2" i="34"/>
  <c r="F8" i="15"/>
  <c r="M8" i="15"/>
  <c r="F41" i="67"/>
  <c r="F38" i="15"/>
  <c r="B8" i="76"/>
  <c r="C76" i="67"/>
  <c r="M6" i="67"/>
  <c r="C76" i="15"/>
  <c r="E2" i="68"/>
  <c r="M6" i="15"/>
  <c r="M24" i="15"/>
  <c r="M9" i="15"/>
  <c r="M26" i="15"/>
  <c r="L47" i="15"/>
  <c r="M59" i="82" l="1"/>
  <c r="M59" i="83"/>
  <c r="M59" i="81"/>
  <c r="G41" i="69"/>
  <c r="G41" i="80"/>
  <c r="G22" i="80"/>
  <c r="G41" i="79"/>
  <c r="G22" i="79"/>
  <c r="G41" i="78"/>
  <c r="G22" i="78"/>
  <c r="C18" i="83"/>
  <c r="C15" i="83"/>
  <c r="O9" i="1"/>
  <c r="P9" i="1" s="1"/>
  <c r="C18" i="82"/>
  <c r="C15" i="82"/>
  <c r="AC36" i="33"/>
  <c r="AC11" i="33"/>
  <c r="C5" i="11"/>
  <c r="P61" i="15"/>
  <c r="D49" i="43"/>
  <c r="D51" i="43"/>
  <c r="D53" i="43"/>
  <c r="E48" i="43"/>
  <c r="B46" i="43" s="1"/>
  <c r="C24" i="43" s="1"/>
  <c r="E10" i="43"/>
  <c r="E8" i="43"/>
  <c r="C7" i="43" s="1"/>
  <c r="E11" i="43"/>
  <c r="E9" i="43"/>
  <c r="K100" i="43"/>
  <c r="H52" i="43"/>
  <c r="H54" i="43"/>
  <c r="H55" i="43"/>
  <c r="H49" i="43"/>
  <c r="H48" i="43"/>
  <c r="G17" i="43"/>
  <c r="C16" i="43" s="1"/>
  <c r="C5" i="43" s="1"/>
  <c r="F34" i="15"/>
  <c r="F62" i="15" s="1"/>
  <c r="F34" i="67"/>
  <c r="F62" i="67" s="1"/>
  <c r="C48" i="68"/>
  <c r="C24" i="12"/>
  <c r="C30" i="68"/>
  <c r="C77" i="9"/>
  <c r="C74" i="9" s="1"/>
  <c r="C40" i="69"/>
  <c r="C21" i="69"/>
  <c r="D22" i="67"/>
  <c r="AR11" i="1"/>
  <c r="C36" i="69"/>
  <c r="H16" i="1"/>
  <c r="E2" i="70"/>
  <c r="Q16" i="1"/>
  <c r="F27" i="69" s="1"/>
  <c r="M7" i="1"/>
  <c r="D19" i="12"/>
  <c r="C19" i="12" s="1"/>
  <c r="E59" i="40"/>
  <c r="D9" i="69"/>
  <c r="C9" i="69" s="1"/>
  <c r="M14" i="1"/>
  <c r="C34" i="69"/>
  <c r="C35" i="69" s="1"/>
  <c r="E60" i="40"/>
  <c r="E65" i="39"/>
  <c r="O8" i="1"/>
  <c r="P8" i="1" s="1"/>
  <c r="C36" i="11"/>
  <c r="E13" i="6"/>
  <c r="E16" i="6" s="1"/>
  <c r="D5" i="43"/>
  <c r="H74" i="43"/>
  <c r="H70" i="43"/>
  <c r="H51" i="43"/>
  <c r="H77" i="43"/>
  <c r="H56" i="43"/>
  <c r="H71" i="43"/>
  <c r="H53" i="43"/>
  <c r="H84" i="43"/>
  <c r="H85" i="43"/>
  <c r="H82" i="43"/>
  <c r="H50" i="43"/>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3" i="43" s="1"/>
  <c r="Z10" i="43"/>
  <c r="AD12" i="43"/>
  <c r="AD13" i="43" s="1"/>
  <c r="AD10" i="43"/>
  <c r="AH12" i="43"/>
  <c r="AH13" i="43" s="1"/>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N59" i="67"/>
  <c r="L59" i="67"/>
  <c r="L58" i="67"/>
  <c r="M59" i="67"/>
  <c r="B13" i="70"/>
  <c r="M7" i="67"/>
  <c r="J6" i="67" s="1"/>
  <c r="F50" i="67"/>
  <c r="F59" i="67" s="1"/>
  <c r="F63" i="67"/>
  <c r="C62" i="67" s="1"/>
  <c r="C34" i="67"/>
  <c r="F68" i="67"/>
  <c r="F64" i="67"/>
  <c r="F68" i="15"/>
  <c r="F34" i="80"/>
  <c r="F34" i="78"/>
  <c r="F34" i="79"/>
  <c r="C17" i="15"/>
  <c r="C16" i="15"/>
  <c r="C36" i="68"/>
  <c r="C17" i="67"/>
  <c r="F27" i="68"/>
  <c r="C34" i="80"/>
  <c r="C16" i="81"/>
  <c r="C14" i="81"/>
  <c r="G1" i="73"/>
  <c r="D9" i="68"/>
  <c r="C16" i="67"/>
  <c r="C14" i="15"/>
  <c r="C14" i="67"/>
  <c r="C34" i="79"/>
  <c r="C34" i="78"/>
  <c r="C35" i="79" l="1"/>
  <c r="C38" i="79"/>
  <c r="C38" i="80"/>
  <c r="C35" i="80"/>
  <c r="C37" i="79"/>
  <c r="C37" i="78"/>
  <c r="C37" i="80"/>
  <c r="C19" i="82"/>
  <c r="C20" i="82" s="1"/>
  <c r="C26" i="82" s="1"/>
  <c r="C19" i="83"/>
  <c r="C20" i="83" s="1"/>
  <c r="C26" i="83" s="1"/>
  <c r="C18" i="81"/>
  <c r="C15" i="81"/>
  <c r="C38" i="78"/>
  <c r="C35" i="78"/>
  <c r="O7" i="1"/>
  <c r="AG13" i="43"/>
  <c r="AC13" i="43"/>
  <c r="F11" i="83"/>
  <c r="M11" i="83"/>
  <c r="J10" i="83" s="1"/>
  <c r="J5" i="83" s="1"/>
  <c r="F11" i="82"/>
  <c r="M11" i="82"/>
  <c r="J10" i="82" s="1"/>
  <c r="J5" i="82" s="1"/>
  <c r="F11" i="81"/>
  <c r="M11" i="81"/>
  <c r="J10" i="81" s="1"/>
  <c r="J5" i="81" s="1"/>
  <c r="C38" i="69"/>
  <c r="F45" i="68"/>
  <c r="C9" i="68"/>
  <c r="F28" i="12"/>
  <c r="C29" i="12" s="1"/>
  <c r="D28" i="12" s="1"/>
  <c r="F45" i="69"/>
  <c r="C29" i="69"/>
  <c r="D27" i="69" s="1"/>
  <c r="C47" i="69"/>
  <c r="D45" i="69" s="1"/>
  <c r="O16" i="1"/>
  <c r="P7" i="1"/>
  <c r="P16" i="1" s="1"/>
  <c r="C11" i="12" s="1"/>
  <c r="M16" i="1"/>
  <c r="L16" i="1" s="1"/>
  <c r="F27" i="11"/>
  <c r="C47" i="68"/>
  <c r="D45" i="68" s="1"/>
  <c r="C29" i="68"/>
  <c r="D27" i="68" s="1"/>
  <c r="F10" i="40"/>
  <c r="S10" i="40" s="1"/>
  <c r="C15" i="15"/>
  <c r="C18" i="15"/>
  <c r="E58" i="40"/>
  <c r="E63" i="39"/>
  <c r="E66" i="39" s="1"/>
  <c r="H10" i="39"/>
  <c r="U10" i="39" s="1"/>
  <c r="J10" i="40"/>
  <c r="AC10" i="40" s="1"/>
  <c r="D70" i="39"/>
  <c r="E68" i="39"/>
  <c r="B16" i="71"/>
  <c r="B15" i="71" s="1"/>
  <c r="B14" i="71" s="1"/>
  <c r="B13" i="71" s="1"/>
  <c r="S17" i="71"/>
  <c r="F59" i="71"/>
  <c r="Q60" i="71"/>
  <c r="D36" i="71"/>
  <c r="C37" i="71"/>
  <c r="D32" i="71"/>
  <c r="C33" i="7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J10" i="39"/>
  <c r="W10" i="39" s="1"/>
  <c r="H10" i="40"/>
  <c r="U10" i="40" s="1"/>
  <c r="F7" i="36"/>
  <c r="J7" i="37"/>
  <c r="H7" i="36"/>
  <c r="H7" i="34"/>
  <c r="F7" i="34"/>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A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1" i="81"/>
  <c r="F41" i="83"/>
  <c r="F41" i="82"/>
  <c r="AE6" i="1"/>
  <c r="C33" i="80" l="1"/>
  <c r="C39" i="80" s="1"/>
  <c r="C46" i="80" s="1"/>
  <c r="C45" i="80" s="1"/>
  <c r="C33" i="79"/>
  <c r="C39" i="79" s="1"/>
  <c r="C46" i="79" s="1"/>
  <c r="C45" i="79" s="1"/>
  <c r="C19" i="81"/>
  <c r="C20" i="81" s="1"/>
  <c r="C26" i="81" s="1"/>
  <c r="C33" i="78"/>
  <c r="C39" i="78" s="1"/>
  <c r="C46" i="78" s="1"/>
  <c r="C45" i="78" s="1"/>
  <c r="F69" i="83"/>
  <c r="F69" i="82"/>
  <c r="F69" i="81"/>
  <c r="S6" i="43"/>
  <c r="S4" i="43"/>
  <c r="S2" i="43"/>
  <c r="C23" i="43"/>
  <c r="C21" i="43" s="1"/>
  <c r="S7" i="43"/>
  <c r="S5" i="43"/>
  <c r="S3" i="43"/>
  <c r="J26" i="83"/>
  <c r="J29" i="83" s="1"/>
  <c r="J24" i="83"/>
  <c r="F24" i="82"/>
  <c r="C23" i="82" s="1"/>
  <c r="F24" i="83"/>
  <c r="C53" i="83"/>
  <c r="C48" i="83" s="1"/>
  <c r="C10" i="83"/>
  <c r="C5" i="83" s="1"/>
  <c r="C24" i="82"/>
  <c r="J26" i="82"/>
  <c r="J29" i="82" s="1"/>
  <c r="J24" i="82"/>
  <c r="C53" i="82"/>
  <c r="C48" i="82" s="1"/>
  <c r="C10" i="82"/>
  <c r="C5" i="82" s="1"/>
  <c r="F22" i="80"/>
  <c r="C24" i="80" s="1"/>
  <c r="F24" i="81"/>
  <c r="J26" i="81"/>
  <c r="J29" i="81" s="1"/>
  <c r="J24" i="81"/>
  <c r="C53" i="81"/>
  <c r="C48" i="81" s="1"/>
  <c r="C10" i="81"/>
  <c r="C5" i="81" s="1"/>
  <c r="F41" i="80"/>
  <c r="F22" i="78"/>
  <c r="C44" i="78" s="1"/>
  <c r="D41" i="78" s="1"/>
  <c r="F22" i="79"/>
  <c r="E41" i="43"/>
  <c r="C41" i="43" s="1"/>
  <c r="C20" i="43"/>
  <c r="C34" i="11"/>
  <c r="C38" i="11" s="1"/>
  <c r="N16" i="1"/>
  <c r="C15" i="12"/>
  <c r="C12" i="12"/>
  <c r="C29" i="11"/>
  <c r="D27" i="11" s="1"/>
  <c r="C47" i="11"/>
  <c r="D45" i="11" s="1"/>
  <c r="C19" i="15"/>
  <c r="C20" i="15" s="1"/>
  <c r="C26" i="15" s="1"/>
  <c r="AC6" i="3"/>
  <c r="H6" i="3"/>
  <c r="AC10" i="39"/>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F41" i="15"/>
  <c r="F50" i="11" l="1"/>
  <c r="F50" i="79"/>
  <c r="F50" i="80"/>
  <c r="F50" i="78"/>
  <c r="F41" i="78"/>
  <c r="F69" i="15"/>
  <c r="J29" i="15"/>
  <c r="C42" i="80"/>
  <c r="C66" i="83"/>
  <c r="C60" i="83"/>
  <c r="C38" i="83"/>
  <c r="C24" i="83"/>
  <c r="C23" i="83"/>
  <c r="C43" i="80"/>
  <c r="C41" i="80" s="1"/>
  <c r="C26" i="80"/>
  <c r="D22" i="80" s="1"/>
  <c r="C66" i="82"/>
  <c r="C60" i="82"/>
  <c r="C29" i="82"/>
  <c r="C38" i="82"/>
  <c r="C44" i="80"/>
  <c r="D41" i="80" s="1"/>
  <c r="C66" i="81"/>
  <c r="C60" i="81"/>
  <c r="C24" i="81"/>
  <c r="C23" i="81"/>
  <c r="C38" i="81"/>
  <c r="C43" i="78"/>
  <c r="C26" i="78"/>
  <c r="D22" i="78" s="1"/>
  <c r="C42" i="78"/>
  <c r="C24" i="78"/>
  <c r="F41" i="79"/>
  <c r="C24" i="79"/>
  <c r="C26" i="79"/>
  <c r="D22" i="79" s="1"/>
  <c r="C44" i="79"/>
  <c r="D41" i="79" s="1"/>
  <c r="C42" i="79"/>
  <c r="C43" i="79"/>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6" i="79" s="1"/>
  <c r="C33" i="43"/>
  <c r="T13" i="43"/>
  <c r="V13" i="43" s="1"/>
  <c r="T7" i="43"/>
  <c r="V7" i="43" s="1"/>
  <c r="T2" i="43"/>
  <c r="V2" i="43" s="1"/>
  <c r="C29" i="43"/>
  <c r="T3" i="43"/>
  <c r="V3" i="43" s="1"/>
  <c r="C39" i="43"/>
  <c r="C38" i="43"/>
  <c r="C38" i="68"/>
  <c r="F50" i="69"/>
  <c r="C35" i="68"/>
  <c r="F50" i="68"/>
  <c r="E6" i="3"/>
  <c r="C35" i="11"/>
  <c r="M21" i="6"/>
  <c r="I21" i="6" s="1"/>
  <c r="S21" i="6" s="1"/>
  <c r="S8" i="1"/>
  <c r="AQ6" i="1"/>
  <c r="AR6" i="1"/>
  <c r="T6" i="1"/>
  <c r="M22" i="6"/>
  <c r="I22" i="6" s="1"/>
  <c r="S22" i="6" s="1"/>
  <c r="S9" i="1"/>
  <c r="M20" i="6"/>
  <c r="I20" i="6" s="1"/>
  <c r="S20" i="6" s="1"/>
  <c r="S7" i="1"/>
  <c r="S16" i="1" s="1"/>
  <c r="G68" i="39"/>
  <c r="F70" i="39"/>
  <c r="B8" i="71"/>
  <c r="B7" i="71" s="1"/>
  <c r="B6" i="71" s="1"/>
  <c r="B5" i="71" s="1"/>
  <c r="S9" i="71"/>
  <c r="M19" i="6"/>
  <c r="K27" i="6"/>
  <c r="D3" i="21"/>
  <c r="D19" i="11"/>
  <c r="C19" i="11" s="1"/>
  <c r="C17" i="4"/>
  <c r="B4" i="52" s="1"/>
  <c r="B43" i="72" s="1"/>
  <c r="L18" i="9"/>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7" i="79" l="1"/>
  <c r="C5" i="79" s="1"/>
  <c r="C6" i="68"/>
  <c r="C7" i="68" s="1"/>
  <c r="C29" i="83"/>
  <c r="C57" i="83" s="1"/>
  <c r="C49" i="80"/>
  <c r="C51" i="80" s="1"/>
  <c r="C57" i="82"/>
  <c r="C36" i="82"/>
  <c r="J19" i="82"/>
  <c r="J14" i="82"/>
  <c r="C13" i="82"/>
  <c r="Q49" i="82"/>
  <c r="J59" i="82"/>
  <c r="J60" i="82" s="1"/>
  <c r="C29" i="81"/>
  <c r="C57" i="81" s="1"/>
  <c r="C41" i="78"/>
  <c r="C49" i="78" s="1"/>
  <c r="C51" i="78" s="1"/>
  <c r="C41" i="79"/>
  <c r="C49" i="79" s="1"/>
  <c r="C51" i="79"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T16" i="1"/>
  <c r="AR8" i="1"/>
  <c r="AQ8" i="1"/>
  <c r="T8" i="1"/>
  <c r="G70" i="39"/>
  <c r="H68" i="39"/>
  <c r="D17" i="12"/>
  <c r="C17" i="12" s="1"/>
  <c r="C14" i="12"/>
  <c r="C16" i="12" s="1"/>
  <c r="D10" i="69"/>
  <c r="D10" i="11"/>
  <c r="C10" i="11" s="1"/>
  <c r="D20" i="12"/>
  <c r="C20" i="12"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D14" i="71"/>
  <c r="C13" i="71"/>
  <c r="C20" i="11"/>
  <c r="C25" i="11" s="1"/>
  <c r="I19" i="6"/>
  <c r="M27" i="6"/>
  <c r="G65" i="40"/>
  <c r="H63" i="40"/>
  <c r="C43" i="37"/>
  <c r="B2" i="37" s="1"/>
  <c r="B3" i="37" s="1"/>
  <c r="C42" i="37"/>
  <c r="I48" i="35"/>
  <c r="C48" i="33"/>
  <c r="C49" i="33"/>
  <c r="H58" i="21"/>
  <c r="E47" i="37"/>
  <c r="F47" i="37" s="1"/>
  <c r="E46" i="37"/>
  <c r="F46" i="37" s="1"/>
  <c r="I47" i="37"/>
  <c r="J47" i="37" s="1"/>
  <c r="E53" i="33"/>
  <c r="F53" i="33" s="1"/>
  <c r="E52" i="33"/>
  <c r="F52" i="33" s="1"/>
  <c r="J14" i="15"/>
  <c r="C57" i="15"/>
  <c r="C36" i="15"/>
  <c r="C33" i="15"/>
  <c r="C13" i="15"/>
  <c r="Q49" i="15"/>
  <c r="J19" i="15"/>
  <c r="J59" i="15"/>
  <c r="J60" i="15" s="1"/>
  <c r="C22" i="11"/>
  <c r="C36" i="67"/>
  <c r="C33" i="67"/>
  <c r="C31" i="67" s="1"/>
  <c r="J14" i="67"/>
  <c r="C13" i="67"/>
  <c r="J19" i="67"/>
  <c r="J17" i="67" s="1"/>
  <c r="C57" i="67"/>
  <c r="Q49" i="67"/>
  <c r="J59" i="67"/>
  <c r="J60" i="67" s="1"/>
  <c r="D10" i="68"/>
  <c r="B2" i="33" l="1"/>
  <c r="B3" i="33" s="1"/>
  <c r="R24" i="31"/>
  <c r="C20" i="79"/>
  <c r="C25" i="79" s="1"/>
  <c r="C23" i="79"/>
  <c r="C7" i="80"/>
  <c r="C5" i="80" s="1"/>
  <c r="C6" i="78"/>
  <c r="J14" i="83"/>
  <c r="J13" i="83" s="1"/>
  <c r="J23" i="83" s="1"/>
  <c r="Q49" i="83"/>
  <c r="C36" i="83"/>
  <c r="J14" i="81"/>
  <c r="J13" i="81" s="1"/>
  <c r="J23" i="81" s="1"/>
  <c r="Q49" i="81"/>
  <c r="C36" i="81"/>
  <c r="J59" i="83"/>
  <c r="J60" i="83" s="1"/>
  <c r="Q48" i="83" s="1"/>
  <c r="C13" i="83"/>
  <c r="Q70" i="83" s="1"/>
  <c r="J19" i="83"/>
  <c r="C75" i="83"/>
  <c r="C64" i="83"/>
  <c r="C61" i="83"/>
  <c r="J59" i="81"/>
  <c r="J60" i="81" s="1"/>
  <c r="Q48" i="81" s="1"/>
  <c r="C13" i="81"/>
  <c r="Q70" i="81" s="1"/>
  <c r="J19" i="81"/>
  <c r="J13" i="82"/>
  <c r="J23" i="82" s="1"/>
  <c r="J22" i="82"/>
  <c r="Q48" i="82"/>
  <c r="L46" i="82"/>
  <c r="C75" i="82"/>
  <c r="Q70" i="82"/>
  <c r="C37" i="82"/>
  <c r="C56" i="82"/>
  <c r="C65" i="82" s="1"/>
  <c r="C64" i="82"/>
  <c r="C61" i="82"/>
  <c r="C75" i="81"/>
  <c r="C64" i="81"/>
  <c r="C61" i="81"/>
  <c r="C26" i="43"/>
  <c r="B2" i="43" s="1"/>
  <c r="C27" i="43"/>
  <c r="C39" i="11"/>
  <c r="C42" i="11"/>
  <c r="D30" i="6"/>
  <c r="D16" i="6"/>
  <c r="H70" i="39"/>
  <c r="I68" i="39"/>
  <c r="S19" i="6"/>
  <c r="S27" i="6" s="1"/>
  <c r="I27" i="6"/>
  <c r="C28" i="11"/>
  <c r="C27" i="11" s="1"/>
  <c r="C31" i="11" s="1"/>
  <c r="R24" i="6"/>
  <c r="R22" i="6"/>
  <c r="R9" i="1" s="1"/>
  <c r="R25" i="6"/>
  <c r="H19" i="6"/>
  <c r="H27" i="6" s="1"/>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J7" i="21"/>
  <c r="F7" i="21"/>
  <c r="J48" i="35"/>
  <c r="Q48" i="15"/>
  <c r="L46"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S24" i="31" l="1"/>
  <c r="R25" i="31"/>
  <c r="S25" i="31" s="1"/>
  <c r="C22" i="79"/>
  <c r="C8" i="68"/>
  <c r="C5" i="68" s="1"/>
  <c r="C23" i="68" s="1"/>
  <c r="B29" i="1"/>
  <c r="C18" i="12" s="1"/>
  <c r="C21" i="12" s="1"/>
  <c r="C22" i="12" s="1"/>
  <c r="C30" i="12" s="1"/>
  <c r="C28" i="12" s="1"/>
  <c r="C28" i="79"/>
  <c r="C27" i="79" s="1"/>
  <c r="C20" i="80"/>
  <c r="C23" i="80"/>
  <c r="C7" i="78"/>
  <c r="C5" i="78" s="1"/>
  <c r="J22" i="81"/>
  <c r="J22" i="83"/>
  <c r="C37" i="83"/>
  <c r="C37" i="81"/>
  <c r="C56" i="83"/>
  <c r="C65" i="83" s="1"/>
  <c r="L46" i="83"/>
  <c r="C56" i="81"/>
  <c r="C65" i="81" s="1"/>
  <c r="L46" i="8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82"/>
  <c r="M21" i="15"/>
  <c r="F35" i="81"/>
  <c r="M21" i="83"/>
  <c r="F35" i="83"/>
  <c r="M21" i="81"/>
  <c r="M21" i="82"/>
  <c r="F35" i="15"/>
  <c r="S22" i="31" l="1"/>
  <c r="C31" i="79"/>
  <c r="C52" i="79" s="1"/>
  <c r="B2" i="79" s="1"/>
  <c r="C28" i="80"/>
  <c r="C27" i="80" s="1"/>
  <c r="C25" i="80"/>
  <c r="C22" i="80" s="1"/>
  <c r="C20" i="78"/>
  <c r="C25" i="78" s="1"/>
  <c r="C23" i="78"/>
  <c r="J20" i="83"/>
  <c r="J17" i="83" s="1"/>
  <c r="J16" i="83" s="1"/>
  <c r="J25" i="83" s="1"/>
  <c r="F63" i="83"/>
  <c r="C62" i="83" s="1"/>
  <c r="C59" i="83" s="1"/>
  <c r="C58" i="83" s="1"/>
  <c r="C67" i="83" s="1"/>
  <c r="C68" i="83" s="1"/>
  <c r="C34" i="83"/>
  <c r="C31" i="83" s="1"/>
  <c r="C30" i="83" s="1"/>
  <c r="C39" i="83" s="1"/>
  <c r="F63" i="82"/>
  <c r="C62" i="82" s="1"/>
  <c r="C59" i="82" s="1"/>
  <c r="C58" i="82" s="1"/>
  <c r="C67" i="82" s="1"/>
  <c r="C68" i="82" s="1"/>
  <c r="C34" i="82"/>
  <c r="C31" i="82" s="1"/>
  <c r="C30" i="82" s="1"/>
  <c r="C39" i="82" s="1"/>
  <c r="J20" i="82"/>
  <c r="J17" i="82" s="1"/>
  <c r="J16" i="82" s="1"/>
  <c r="J25" i="82" s="1"/>
  <c r="J20" i="81"/>
  <c r="J17" i="81" s="1"/>
  <c r="J16" i="81" s="1"/>
  <c r="J25" i="81" s="1"/>
  <c r="F63" i="81"/>
  <c r="C62" i="81" s="1"/>
  <c r="C59" i="81" s="1"/>
  <c r="C58" i="81" s="1"/>
  <c r="C67" i="81" s="1"/>
  <c r="C68" i="81" s="1"/>
  <c r="C34" i="81"/>
  <c r="C31" i="81" s="1"/>
  <c r="C30" i="81" s="1"/>
  <c r="C39" i="81" s="1"/>
  <c r="J20" i="15"/>
  <c r="J17" i="15" s="1"/>
  <c r="J16" i="15" s="1"/>
  <c r="J25" i="15" s="1"/>
  <c r="C34" i="15"/>
  <c r="C31" i="15" s="1"/>
  <c r="C30" i="15" s="1"/>
  <c r="C39" i="15" s="1"/>
  <c r="F63" i="15"/>
  <c r="C62" i="15" s="1"/>
  <c r="C59" i="15" s="1"/>
  <c r="C58" i="15" s="1"/>
  <c r="C67" i="15" s="1"/>
  <c r="C68" i="15" s="1"/>
  <c r="C71"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L51" i="15"/>
  <c r="C19" i="86"/>
  <c r="B3" i="79"/>
  <c r="L17" i="74" l="1"/>
  <c r="R22" i="31"/>
  <c r="B20" i="31"/>
  <c r="B21" i="31" s="1"/>
  <c r="C57" i="79"/>
  <c r="C56" i="79" s="1"/>
  <c r="C22" i="78"/>
  <c r="C31" i="80"/>
  <c r="C52" i="80" s="1"/>
  <c r="C57" i="80" s="1"/>
  <c r="C56" i="80" s="1"/>
  <c r="C102" i="86"/>
  <c r="C21" i="86"/>
  <c r="C28" i="78"/>
  <c r="C27" i="78" s="1"/>
  <c r="C71" i="83"/>
  <c r="Q69" i="83"/>
  <c r="Q68" i="83" s="1"/>
  <c r="C40" i="83"/>
  <c r="C80" i="83"/>
  <c r="C79" i="83" s="1"/>
  <c r="Q69" i="82"/>
  <c r="Q68" i="82" s="1"/>
  <c r="C40" i="82"/>
  <c r="C46" i="82" s="1"/>
  <c r="C80" i="82"/>
  <c r="C79" i="82" s="1"/>
  <c r="C71" i="82"/>
  <c r="C71" i="81"/>
  <c r="Q69" i="81"/>
  <c r="Q68" i="81" s="1"/>
  <c r="C40" i="81"/>
  <c r="C80" i="81"/>
  <c r="C79" i="81" s="1"/>
  <c r="Q67" i="15"/>
  <c r="C80" i="15"/>
  <c r="C79" i="15" s="1"/>
  <c r="Q69" i="15"/>
  <c r="Q68" i="15" s="1"/>
  <c r="C40" i="15"/>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82"/>
  <c r="L51" i="81"/>
  <c r="L51" i="83"/>
  <c r="C20" i="86"/>
  <c r="C103" i="86" l="1"/>
  <c r="B2" i="80"/>
  <c r="C31" i="78"/>
  <c r="C52" i="78" s="1"/>
  <c r="C57" i="78" s="1"/>
  <c r="C56" i="78" s="1"/>
  <c r="Q67" i="83"/>
  <c r="Q47" i="83"/>
  <c r="Q53" i="83" s="1"/>
  <c r="B2" i="83"/>
  <c r="Q65" i="83"/>
  <c r="Q75" i="83" s="1"/>
  <c r="Q56" i="83"/>
  <c r="Q62" i="83" s="1"/>
  <c r="C43" i="83"/>
  <c r="C83" i="83"/>
  <c r="C82" i="83" s="1"/>
  <c r="C46" i="83"/>
  <c r="Q67" i="82"/>
  <c r="Q47" i="82"/>
  <c r="Q53" i="82" s="1"/>
  <c r="B2" i="82"/>
  <c r="Q65" i="82"/>
  <c r="Q75" i="82" s="1"/>
  <c r="Q56" i="82"/>
  <c r="Q62" i="82" s="1"/>
  <c r="C43" i="82"/>
  <c r="C83" i="82"/>
  <c r="C82" i="82" s="1"/>
  <c r="Q67" i="81"/>
  <c r="Q47" i="81"/>
  <c r="Q53" i="81" s="1"/>
  <c r="B2" i="81"/>
  <c r="Q65" i="81"/>
  <c r="Q75" i="81" s="1"/>
  <c r="Q56" i="81"/>
  <c r="Q62" i="81" s="1"/>
  <c r="C43" i="81"/>
  <c r="C83" i="81"/>
  <c r="C82" i="81" s="1"/>
  <c r="C46" i="81"/>
  <c r="Q47" i="15"/>
  <c r="Q53" i="15" s="1"/>
  <c r="Q56" i="15"/>
  <c r="Q62" i="15" s="1"/>
  <c r="C43" i="15"/>
  <c r="C83" i="15"/>
  <c r="C82" i="15" s="1"/>
  <c r="B2" i="15"/>
  <c r="Q65" i="15"/>
  <c r="Q75" i="15" s="1"/>
  <c r="C46" i="15"/>
  <c r="C31" i="68"/>
  <c r="C49" i="69"/>
  <c r="C51" i="69" s="1"/>
  <c r="C52" i="69" s="1"/>
  <c r="B2" i="69" s="1"/>
  <c r="B3" i="69" s="1"/>
  <c r="C49" i="68"/>
  <c r="C51" i="68" s="1"/>
  <c r="L70" i="39"/>
  <c r="M68" i="39"/>
  <c r="C8" i="71"/>
  <c r="T9" i="71"/>
  <c r="D9" i="71"/>
  <c r="U9" i="71" s="1"/>
  <c r="R39" i="35"/>
  <c r="E38" i="35"/>
  <c r="M63" i="40"/>
  <c r="L65" i="40"/>
  <c r="AO6" i="1"/>
  <c r="AO9" i="1"/>
  <c r="D19" i="86"/>
  <c r="D19" i="9"/>
  <c r="AO8" i="1"/>
  <c r="D19" i="85"/>
  <c r="D19" i="84"/>
  <c r="C19" i="85"/>
  <c r="B3" i="80"/>
  <c r="AO7" i="1"/>
  <c r="M16" i="74" l="1"/>
  <c r="M17" i="74"/>
  <c r="L16" i="74"/>
  <c r="M15" i="74"/>
  <c r="M14" i="74"/>
  <c r="C21" i="85"/>
  <c r="C102" i="85"/>
  <c r="B2" i="78"/>
  <c r="D21" i="86"/>
  <c r="D102" i="86"/>
  <c r="D22" i="86"/>
  <c r="G19" i="86"/>
  <c r="G21" i="86" s="1"/>
  <c r="D102" i="85"/>
  <c r="D21" i="85"/>
  <c r="G19" i="85"/>
  <c r="G21" i="85" s="1"/>
  <c r="D22" i="85"/>
  <c r="D102" i="84"/>
  <c r="D21" i="84"/>
  <c r="D102" i="9"/>
  <c r="D21" i="9"/>
  <c r="B9" i="70"/>
  <c r="B3" i="83"/>
  <c r="B8" i="70"/>
  <c r="B3" i="82"/>
  <c r="B7" i="70"/>
  <c r="B3" i="81"/>
  <c r="B6" i="70"/>
  <c r="B3" i="15"/>
  <c r="C52" i="68"/>
  <c r="B2" i="68" s="1"/>
  <c r="C57" i="69"/>
  <c r="C56" i="69" s="1"/>
  <c r="N68" i="39"/>
  <c r="M70" i="39"/>
  <c r="C7" i="71"/>
  <c r="D8" i="71"/>
  <c r="C39" i="35"/>
  <c r="B2" i="35" s="1"/>
  <c r="B3" i="35" s="1"/>
  <c r="C38" i="35"/>
  <c r="N63" i="40"/>
  <c r="M65" i="40"/>
  <c r="E43" i="35"/>
  <c r="F43" i="35" s="1"/>
  <c r="E42" i="35"/>
  <c r="F42" i="35" s="1"/>
  <c r="I43" i="35"/>
  <c r="J43" i="35" s="1"/>
  <c r="C19" i="9"/>
  <c r="C19" i="84"/>
  <c r="D20" i="9"/>
  <c r="B3" i="78"/>
  <c r="D20" i="86"/>
  <c r="D20" i="85"/>
  <c r="C20" i="85"/>
  <c r="D20" i="84"/>
  <c r="B3" i="68"/>
  <c r="M19" i="74" l="1"/>
  <c r="L15" i="74"/>
  <c r="L14" i="74"/>
  <c r="C103" i="85"/>
  <c r="C102" i="84"/>
  <c r="G19" i="84"/>
  <c r="G21" i="84" s="1"/>
  <c r="C21" i="84"/>
  <c r="D22" i="84"/>
  <c r="D103" i="86"/>
  <c r="G20" i="86"/>
  <c r="C32" i="86" s="1"/>
  <c r="D17" i="74" s="1"/>
  <c r="D103" i="85"/>
  <c r="G20" i="85"/>
  <c r="C32" i="85" s="1"/>
  <c r="D103" i="84"/>
  <c r="D103" i="9"/>
  <c r="D22" i="9"/>
  <c r="C102" i="9"/>
  <c r="G19" i="9"/>
  <c r="G21" i="9" s="1"/>
  <c r="C21" i="9"/>
  <c r="B2" i="70"/>
  <c r="B3" i="70" s="1"/>
  <c r="C57" i="68"/>
  <c r="C56" i="68" s="1"/>
  <c r="N70" i="39"/>
  <c r="F7" i="39" s="1"/>
  <c r="O68" i="39"/>
  <c r="O70" i="39" s="1"/>
  <c r="C6" i="71"/>
  <c r="D7" i="71"/>
  <c r="O63" i="40"/>
  <c r="O65" i="40" s="1"/>
  <c r="N65" i="40"/>
  <c r="C20" i="84"/>
  <c r="C20" i="9"/>
  <c r="L19" i="74" l="1"/>
  <c r="G20" i="9"/>
  <c r="C103" i="9"/>
  <c r="C103" i="84"/>
  <c r="G20" i="84"/>
  <c r="C32" i="84" s="1"/>
  <c r="D15" i="74" s="1"/>
  <c r="G15" i="74" s="1"/>
  <c r="F17" i="74"/>
  <c r="G17" i="74"/>
  <c r="J17" i="74" s="1"/>
  <c r="C35" i="86"/>
  <c r="C34" i="86" s="1"/>
  <c r="C35" i="85"/>
  <c r="C34" i="85" s="1"/>
  <c r="D16" i="74"/>
  <c r="G16" i="74" s="1"/>
  <c r="C32" i="9"/>
  <c r="C35" i="9" s="1"/>
  <c r="C34" i="9" s="1"/>
  <c r="H7" i="39"/>
  <c r="S7" i="39"/>
  <c r="AA7" i="39"/>
  <c r="R47" i="39" s="1"/>
  <c r="J7" i="39"/>
  <c r="D6" i="71"/>
  <c r="C5" i="71"/>
  <c r="J7" i="40"/>
  <c r="F7" i="40"/>
  <c r="H7" i="40"/>
  <c r="C35" i="84" l="1"/>
  <c r="C34" i="84" s="1"/>
  <c r="J15" i="74"/>
  <c r="E17" i="74"/>
  <c r="B1" i="74"/>
  <c r="F16" i="74"/>
  <c r="E16" i="74"/>
  <c r="F15" i="74"/>
  <c r="E15" i="74"/>
  <c r="W7" i="39"/>
  <c r="AC7" i="39"/>
  <c r="V47" i="39" s="1"/>
  <c r="I47" i="39" s="1"/>
  <c r="E47" i="39"/>
  <c r="R48" i="39"/>
  <c r="U7" i="39"/>
  <c r="AB7" i="39"/>
  <c r="T47" i="39" s="1"/>
  <c r="G47" i="39" s="1"/>
  <c r="M20" i="43"/>
  <c r="D5" i="71"/>
  <c r="U7" i="40"/>
  <c r="AB7" i="40"/>
  <c r="T42" i="40" s="1"/>
  <c r="G42" i="40" s="1"/>
  <c r="AA7" i="40"/>
  <c r="R42" i="40" s="1"/>
  <c r="S7" i="40"/>
  <c r="AC7" i="40"/>
  <c r="V42" i="40" s="1"/>
  <c r="I42" i="40" s="1"/>
  <c r="W7" i="40"/>
  <c r="C8" i="74" l="1"/>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97" i="9"/>
  <c r="D58" i="9" s="1"/>
  <c r="D56" i="9" s="1"/>
  <c r="M54" i="9" s="1"/>
  <c r="N57" i="9" s="1"/>
  <c r="P57" i="9" s="1"/>
  <c r="C6" i="74"/>
  <c r="M69" i="9" l="1"/>
  <c r="N69" i="9" s="1"/>
  <c r="C81" i="9"/>
  <c r="N58" i="9"/>
  <c r="N59" i="9"/>
  <c r="N60" i="9" s="1"/>
  <c r="F118" i="84"/>
  <c r="G118" i="84" s="1"/>
  <c r="H118" i="84"/>
  <c r="D118" i="84"/>
  <c r="D119" i="84" s="1"/>
  <c r="N61" i="9" l="1"/>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<sst xmlns="http://schemas.openxmlformats.org/spreadsheetml/2006/main" count="10508" uniqueCount="3149">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</sst>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估价对象为北京市房地产，为所有。根据《国有土地使用证》[]，估价对象（分摊）出让国有建设用地使用权面积为0平方米，建筑面积为99232.33平方米。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估价对象为北京市房地产,属开发建设的，该项目尚在开发建设中。根据《国有土地使用证》[]，估价对象（分摊）出让国有建设用地使用权面积为0平方米，规划建筑面积为99232.33平方米。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2021年3月1日</v>
      </c>
    </row>
    <row r="13" spans="1:2" s="1365" customFormat="1">
      <c r="A13" s="1363" t="s">
        <v>1194</v>
      </c>
      <c r="B13" s="1364" t="str">
        <f>'预评函-1'!A18</f>
        <v>本次估价的“房地产价值”是指在正常市场情况下，在价值时点2021年3月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93883</v>
      </c>
    </row>
    <row r="21" spans="1:2" s="1365" customFormat="1">
      <c r="A21" s="1363" t="s">
        <v>1202</v>
      </c>
      <c r="B21" s="1364">
        <f ca="1">'预评函-2'!D7</f>
        <v>47343</v>
      </c>
    </row>
    <row r="22" spans="1:2" s="1365" customFormat="1">
      <c r="A22" s="1363" t="s">
        <v>1203</v>
      </c>
      <c r="B22" s="1364" t="str">
        <f ca="1">'预评函-2'!D6</f>
        <v>玖亿叁仟捌佰捌拾叁万元整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93883</v>
      </c>
    </row>
    <row r="31" spans="1:2" s="1365" customFormat="1">
      <c r="A31" s="1363" t="s">
        <v>1241</v>
      </c>
      <c r="B31" s="1364">
        <f ca="1">'预评函-2'!D15</f>
        <v>9461</v>
      </c>
    </row>
    <row r="32" spans="1:2" s="1365" customFormat="1">
      <c r="A32" s="1363" t="s">
        <v>1208</v>
      </c>
      <c r="B32" s="1364" t="str">
        <f ca="1">'预评函-2'!D14</f>
        <v>玖亿叁仟捌佰捌拾叁万元整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99232.329999999987</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3108</v>
      </c>
      <c r="C18" s="1733"/>
    </row>
    <row r="19" spans="1:3">
      <c r="A19" s="1732" t="s">
        <v>1733</v>
      </c>
      <c r="B19" s="1732" t="s">
        <v>3109</v>
      </c>
      <c r="C19" s="1733"/>
    </row>
    <row r="20" spans="1:3">
      <c r="A20" s="1732" t="s">
        <v>1734</v>
      </c>
      <c r="B20" s="1732" t="s">
        <v>3111</v>
      </c>
      <c r="C20" s="1733"/>
    </row>
    <row r="21" spans="1:3">
      <c r="A21" s="1732" t="s">
        <v>1735</v>
      </c>
      <c r="B21" s="1732" t="s">
        <v>3112</v>
      </c>
      <c r="C21" s="1733"/>
    </row>
    <row r="22" spans="1:3">
      <c r="A22" s="1732" t="s">
        <v>1736</v>
      </c>
      <c r="B22" s="1732" t="s">
        <v>3123</v>
      </c>
      <c r="C22" s="1733"/>
    </row>
    <row r="23" spans="1:3">
      <c r="A23" s="1732" t="s">
        <v>1737</v>
      </c>
      <c r="B23" s="1732" t="s">
        <v>3125</v>
      </c>
      <c r="C23" s="1733"/>
    </row>
    <row r="24" spans="1:3">
      <c r="A24" s="1732" t="s">
        <v>1738</v>
      </c>
      <c r="B24" s="1732" t="s">
        <v>3127</v>
      </c>
      <c r="C24" s="1733"/>
    </row>
    <row r="25" spans="1:3">
      <c r="A25" s="1732" t="s">
        <v>1739</v>
      </c>
      <c r="B25" s="1732" t="s">
        <v>3121</v>
      </c>
      <c r="C25" s="1733"/>
    </row>
    <row r="26" spans="1:3">
      <c r="A26" s="1732" t="s">
        <v>1740</v>
      </c>
      <c r="B26" s="1732" t="s">
        <v>3135</v>
      </c>
      <c r="C26" s="1733"/>
    </row>
    <row r="27" spans="1:3">
      <c r="A27" s="1732" t="s">
        <v>757</v>
      </c>
      <c r="B27" s="1732" t="s">
        <v>3136</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33"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40" t="s">
        <v>832</v>
      </c>
      <c r="C54" s="1737" t="s">
        <v>1248</v>
      </c>
    </row>
    <row r="55" spans="1:4">
      <c r="A55" s="3133"/>
      <c r="B55" s="1740" t="s">
        <v>833</v>
      </c>
      <c r="C55" s="1737" t="s">
        <v>1249</v>
      </c>
    </row>
    <row r="56" spans="1:4">
      <c r="A56" s="3133"/>
      <c r="B56" s="1740" t="s">
        <v>834</v>
      </c>
      <c r="C56" s="1737" t="s">
        <v>1253</v>
      </c>
    </row>
    <row r="57" spans="1:4">
      <c r="A57" s="3133"/>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23" sqref="G2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44256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3062</v>
      </c>
      <c r="C8" s="2615"/>
      <c r="D8" s="3137" t="s">
        <v>2922</v>
      </c>
      <c r="E8" s="2616" t="s">
        <v>3063</v>
      </c>
      <c r="F8" s="2617"/>
      <c r="G8" s="2891"/>
      <c r="H8" s="2891"/>
      <c r="I8" s="2891"/>
      <c r="J8" s="2666"/>
      <c r="K8" s="2841"/>
      <c r="L8" s="2840"/>
      <c r="M8" s="2840"/>
      <c r="N8" s="2666"/>
      <c r="O8" s="2677"/>
      <c r="P8" s="2666"/>
      <c r="Q8" s="2666"/>
      <c r="R8" s="2666"/>
    </row>
    <row r="9" spans="1:28" ht="13.5" thickBot="1">
      <c r="A9" s="2618" t="s">
        <v>2923</v>
      </c>
      <c r="B9" s="2619" t="s">
        <v>3063</v>
      </c>
      <c r="C9" s="2620"/>
      <c r="D9" s="3138"/>
      <c r="E9" s="2619"/>
      <c r="F9" s="2621"/>
      <c r="G9" s="2893"/>
      <c r="H9" s="2893"/>
      <c r="I9" s="2893"/>
      <c r="J9" s="2666"/>
      <c r="K9" s="2843"/>
      <c r="L9" s="2840"/>
      <c r="M9" s="2840"/>
      <c r="N9" s="2666"/>
      <c r="O9" s="2677"/>
      <c r="P9" s="2666"/>
      <c r="Q9" s="2666"/>
      <c r="R9" s="2666"/>
    </row>
    <row r="10" spans="1:28" ht="13.5" thickTop="1">
      <c r="A10" s="2622" t="s">
        <v>2924</v>
      </c>
      <c r="B10" s="2623" t="s">
        <v>3064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3065</v>
      </c>
      <c r="C11" s="2628"/>
      <c r="D11" s="2629"/>
      <c r="E11" s="2595"/>
      <c r="F11" s="2595"/>
      <c r="G11" s="2595"/>
      <c r="H11" s="2595"/>
      <c r="I11" s="2595"/>
      <c r="J11" s="2666"/>
      <c r="K11" s="2843"/>
      <c r="L11" s="2840"/>
      <c r="M11" s="2840"/>
      <c r="N11" s="2666"/>
      <c r="O11" s="2677"/>
      <c r="P11" s="2666"/>
      <c r="Q11" s="2666"/>
      <c r="R11" s="2666"/>
    </row>
    <row r="12" spans="1:28">
      <c r="A12" s="2630" t="s">
        <v>2927</v>
      </c>
      <c r="B12" s="2627" t="s">
        <v>3066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55156</v>
      </c>
      <c r="F13" s="965"/>
      <c r="G13" s="965">
        <v>58809</v>
      </c>
      <c r="H13" s="965"/>
      <c r="I13" s="965"/>
      <c r="J13" s="2666"/>
      <c r="K13" s="2843"/>
      <c r="L13" s="2840"/>
      <c r="M13" s="2840"/>
      <c r="N13" s="2666"/>
      <c r="O13" s="2677"/>
      <c r="P13" s="2666"/>
      <c r="Q13" s="2666"/>
      <c r="R13" s="2666"/>
    </row>
    <row r="14" spans="1:28">
      <c r="A14" s="1241"/>
      <c r="B14" s="2632"/>
      <c r="C14" s="2633" t="s">
        <v>2936</v>
      </c>
      <c r="D14" s="2634"/>
      <c r="E14" s="2634">
        <v>40</v>
      </c>
      <c r="F14" s="2634"/>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29.86</v>
      </c>
      <c r="F15" s="2637" t="str">
        <f>IF(B12="出让",IF(F13="","",ROUNDDOWN(MIN((F13-$D$3)/365,F14),2)),F14)</f>
        <v/>
      </c>
      <c r="G15" s="2637">
        <f>IF(B12="出让",IF(G13="","",ROUNDDOWN(MIN((G13-$D$3)/365,G14),2)),G14)</f>
        <v>39.869999999999997</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44"/>
      <c r="C16" s="3145"/>
      <c r="D16" s="3146"/>
      <c r="E16" s="2640" t="s">
        <v>2939</v>
      </c>
      <c r="F16" s="3147"/>
      <c r="G16" s="3148"/>
      <c r="H16" s="3148"/>
      <c r="I16" s="3149"/>
      <c r="J16" s="2666"/>
      <c r="K16" s="2845"/>
      <c r="L16" s="2678"/>
      <c r="M16" s="2678"/>
      <c r="N16" s="2736"/>
      <c r="O16" s="2678"/>
      <c r="P16" s="2736"/>
      <c r="Q16" s="2666"/>
      <c r="R16" s="2666"/>
    </row>
    <row r="17" spans="1:28">
      <c r="A17" s="319" t="s">
        <v>2940</v>
      </c>
      <c r="B17" s="308" t="s">
        <v>2941</v>
      </c>
      <c r="C17" s="11">
        <f>'数据-汇总表'!E3</f>
        <v>99232.329999999987</v>
      </c>
      <c r="D17" s="2546" t="s">
        <v>2942</v>
      </c>
      <c r="E17" s="3150" t="s">
        <v>2943</v>
      </c>
      <c r="F17" s="3151"/>
      <c r="G17" s="3151"/>
      <c r="H17" s="3151"/>
      <c r="I17" s="3152"/>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0</v>
      </c>
      <c r="D18" s="1252" t="s">
        <v>2946</v>
      </c>
      <c r="E18" s="3153" t="s">
        <v>2947</v>
      </c>
      <c r="F18" s="3154"/>
      <c r="G18" s="3154"/>
      <c r="H18" s="3154"/>
      <c r="I18" s="3155"/>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40" t="s">
        <v>2951</v>
      </c>
      <c r="C20" s="3141"/>
      <c r="D20" s="3142" t="s">
        <v>2952</v>
      </c>
      <c r="E20" s="3143"/>
      <c r="F20" s="2875" t="s">
        <v>1742</v>
      </c>
      <c r="G20" s="2892"/>
      <c r="H20" s="2892"/>
      <c r="I20" s="2892"/>
      <c r="J20" s="2666"/>
      <c r="K20" s="313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7"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7"/>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7"/>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8"/>
      <c r="B30" s="308" t="s">
        <v>2963</v>
      </c>
      <c r="C30" s="3159"/>
      <c r="D30" s="3160"/>
      <c r="E30" s="2892"/>
      <c r="F30" s="2892"/>
      <c r="G30" s="2892"/>
      <c r="H30" s="2892"/>
      <c r="I30" s="2892"/>
      <c r="J30" s="2666"/>
      <c r="K30" s="2843"/>
      <c r="L30" s="2840"/>
      <c r="M30" s="2840"/>
      <c r="N30" s="2666"/>
      <c r="O30" s="2677"/>
      <c r="P30" s="2666"/>
      <c r="Q30" s="2666"/>
      <c r="R30" s="2666"/>
      <c r="S30" s="2666"/>
      <c r="T30" s="2666"/>
      <c r="U30" s="2666"/>
      <c r="V30" s="2666"/>
    </row>
    <row r="31" spans="1:28">
      <c r="A31" s="3161"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62"/>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62"/>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56" t="s">
        <v>2973</v>
      </c>
      <c r="T34" s="2655" t="str">
        <f>NUMBERSTRING(7-K34,1)&amp;"通"</f>
        <v>七通</v>
      </c>
      <c r="U34" s="2666"/>
      <c r="V34" s="2666"/>
    </row>
    <row r="35" spans="1:30">
      <c r="A35" s="2656"/>
      <c r="B35" s="3163" t="s">
        <v>2974</v>
      </c>
      <c r="C35" s="3163"/>
      <c r="D35" s="3163"/>
      <c r="E35" s="3163"/>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6"/>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523</v>
      </c>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t="s">
        <v>430</v>
      </c>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5" sqref="F3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99232.329999999987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99232.329999999987</v>
      </c>
      <c r="H5" s="16">
        <f t="shared" ref="H5:AT5" si="0">SUM(H13:H656)</f>
        <v>99232.329999999987</v>
      </c>
      <c r="I5" s="16">
        <f t="shared" si="0"/>
        <v>19830.27</v>
      </c>
      <c r="J5" s="16">
        <f t="shared" si="0"/>
        <v>0</v>
      </c>
      <c r="K5" s="16">
        <f t="shared" si="0"/>
        <v>48742.99</v>
      </c>
      <c r="L5" s="16">
        <f t="shared" si="0"/>
        <v>0</v>
      </c>
      <c r="M5" s="16">
        <f t="shared" si="0"/>
        <v>30659.07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99232.329999999987</v>
      </c>
      <c r="BA5" s="18">
        <f t="shared" si="1"/>
        <v>99232.329999999987</v>
      </c>
      <c r="BB5" s="18">
        <f t="shared" si="1"/>
        <v>19830.27</v>
      </c>
      <c r="BC5" s="18">
        <f t="shared" si="1"/>
        <v>48742.99</v>
      </c>
      <c r="BD5" s="18">
        <f t="shared" si="1"/>
        <v>30659.07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3068</v>
      </c>
      <c r="J9" s="918"/>
      <c r="K9" s="1789" t="s">
        <v>3081</v>
      </c>
      <c r="L9" s="918"/>
      <c r="M9" s="1789" t="s">
        <v>3081</v>
      </c>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t="s">
        <v>1343</v>
      </c>
      <c r="L10" s="918"/>
      <c r="M10" s="1795" t="s">
        <v>3082</v>
      </c>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t="str">
        <f>K10</f>
        <v>商业</v>
      </c>
      <c r="BD11" s="1785" t="str">
        <f>M10</f>
        <v>车库—商业</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3067</v>
      </c>
      <c r="E13" s="16">
        <f>IF($C$3="是",ROUND($A$3*G13/$B$3,2),ROUND($A$3*(G13-AT13)/$B$3,2))</f>
        <v>0</v>
      </c>
      <c r="F13" s="32"/>
      <c r="G13" s="33">
        <f>H13+AC13+AT13</f>
        <v>99232.329999999987</v>
      </c>
      <c r="H13" s="20">
        <f>SUMIF(I$12:AB$12,"总值",I13:AB13)</f>
        <v>99232.329999999987</v>
      </c>
      <c r="I13" s="1812">
        <f>Sheet1!C8+Sheet1!C9</f>
        <v>19830.27</v>
      </c>
      <c r="J13" s="1812"/>
      <c r="K13" s="1812">
        <f>Sheet1!C10+Sheet1!C11</f>
        <v>48742.99</v>
      </c>
      <c r="L13" s="1812"/>
      <c r="M13" s="1812">
        <f>Sheet1!C12</f>
        <v>30659.07</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99232.329999999987</v>
      </c>
      <c r="BA13" s="16">
        <f>SUM(BB13:BK13)</f>
        <v>99232.329999999987</v>
      </c>
      <c r="BB13" s="16">
        <f>IF($D13="是",I13-J13,0)</f>
        <v>19830.27</v>
      </c>
      <c r="BC13" s="16">
        <f>IF($D13="是",K13-L13,0)</f>
        <v>48742.99</v>
      </c>
      <c r="BD13" s="16">
        <f>IF($D13="是",M13-N13,0)</f>
        <v>30659.07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3"/>
  <sheetViews>
    <sheetView workbookViewId="0">
      <selection activeCell="H8" sqref="H8:H9"/>
    </sheetView>
  </sheetViews>
  <sheetFormatPr defaultRowHeight="13.5"/>
  <cols>
    <col min="2" max="2" width="16.875" customWidth="1"/>
    <col min="3" max="3" width="11.25" customWidth="1"/>
    <col min="8" max="8" width="10.5" bestFit="1" customWidth="1"/>
  </cols>
  <sheetData>
    <row r="2" spans="2:8">
      <c r="B2" s="3087" t="s">
        <v>3069</v>
      </c>
      <c r="C2" s="3087" t="s">
        <v>3071</v>
      </c>
      <c r="D2">
        <v>19830.27</v>
      </c>
    </row>
    <row r="3" spans="2:8">
      <c r="B3" s="3087" t="s">
        <v>3070</v>
      </c>
      <c r="C3" s="3087" t="s">
        <v>3072</v>
      </c>
      <c r="D3">
        <v>62645.83</v>
      </c>
    </row>
    <row r="4" spans="2:8">
      <c r="B4" s="3087" t="s">
        <v>3078</v>
      </c>
      <c r="C4" s="3087" t="s">
        <v>3079</v>
      </c>
      <c r="D4">
        <v>16756.23</v>
      </c>
    </row>
    <row r="7" spans="2:8">
      <c r="C7" s="3087" t="s">
        <v>3080</v>
      </c>
      <c r="D7">
        <v>1</v>
      </c>
      <c r="E7">
        <v>2</v>
      </c>
      <c r="F7">
        <v>3</v>
      </c>
    </row>
    <row r="8" spans="2:8">
      <c r="B8" s="3087" t="s">
        <v>3073</v>
      </c>
      <c r="C8">
        <f>SUM(D8:F8)</f>
        <v>8567.73</v>
      </c>
      <c r="D8">
        <f>19830.27-11262.54</f>
        <v>8567.73</v>
      </c>
      <c r="G8">
        <v>48000</v>
      </c>
      <c r="H8">
        <f>G8*C8</f>
        <v>411251040</v>
      </c>
    </row>
    <row r="9" spans="2:8">
      <c r="B9" s="3087" t="s">
        <v>3074</v>
      </c>
      <c r="C9">
        <f t="shared" ref="C9:C12" si="0">SUM(D9:F9)</f>
        <v>11262.54</v>
      </c>
      <c r="D9">
        <v>11262.54</v>
      </c>
      <c r="G9">
        <v>40000</v>
      </c>
      <c r="H9">
        <f t="shared" ref="H9:H12" si="1">G9*C9</f>
        <v>450501600.00000006</v>
      </c>
    </row>
    <row r="10" spans="2:8">
      <c r="B10" s="3087" t="s">
        <v>3075</v>
      </c>
      <c r="C10">
        <f t="shared" si="0"/>
        <v>2297.4300000000003</v>
      </c>
      <c r="E10">
        <f>356.75+1940.68</f>
        <v>2297.4300000000003</v>
      </c>
      <c r="G10">
        <v>20000</v>
      </c>
      <c r="H10">
        <f t="shared" si="1"/>
        <v>45948600.000000007</v>
      </c>
    </row>
    <row r="11" spans="2:8">
      <c r="B11" s="3087" t="s">
        <v>3076</v>
      </c>
      <c r="C11">
        <f t="shared" si="0"/>
        <v>46445.56</v>
      </c>
      <c r="E11">
        <f>17479.34+12209.99</f>
        <v>29689.33</v>
      </c>
      <c r="F11">
        <v>16756.23</v>
      </c>
      <c r="G11">
        <v>16000</v>
      </c>
      <c r="H11">
        <f t="shared" si="1"/>
        <v>743128960</v>
      </c>
    </row>
    <row r="12" spans="2:8">
      <c r="B12" s="3087" t="s">
        <v>3077</v>
      </c>
      <c r="C12">
        <f t="shared" si="0"/>
        <v>30659.07</v>
      </c>
      <c r="E12">
        <v>30659.07</v>
      </c>
      <c r="G12">
        <v>7500</v>
      </c>
      <c r="H12">
        <f t="shared" si="1"/>
        <v>229943025</v>
      </c>
    </row>
    <row r="13" spans="2:8">
      <c r="H13">
        <f>SUM(H8:H12)/10000</f>
        <v>188077.32250000001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6" sqref="E46:F46"/>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75" t="s">
        <v>1817</v>
      </c>
      <c r="B2" s="3175"/>
      <c r="C2" s="3175"/>
      <c r="D2" s="904" t="s">
        <v>1793</v>
      </c>
      <c r="E2" s="1825" t="s">
        <v>1794</v>
      </c>
      <c r="F2" s="2887"/>
      <c r="G2" s="2878"/>
      <c r="H2" s="2879"/>
      <c r="I2" s="2549" t="s">
        <v>1818</v>
      </c>
      <c r="J2" s="2887"/>
      <c r="K2" s="2887"/>
      <c r="L2" s="2887"/>
      <c r="M2" s="2887"/>
      <c r="N2" s="2889"/>
      <c r="O2" s="2887"/>
      <c r="P2" s="2887"/>
    </row>
    <row r="3" spans="1:16" ht="15.75" thickBot="1">
      <c r="A3" s="3176" t="s">
        <v>1791</v>
      </c>
      <c r="B3" s="3176"/>
      <c r="C3" s="3176"/>
      <c r="D3" s="46">
        <f>'数据-基础表'!AY6</f>
        <v>0</v>
      </c>
      <c r="E3" s="46">
        <f>'数据-基础表'!AZ5</f>
        <v>99232.329999999987</v>
      </c>
      <c r="F3" s="2887"/>
      <c r="G3" s="1307"/>
      <c r="H3" s="1157" t="s">
        <v>1792</v>
      </c>
      <c r="I3" s="964" t="e">
        <f>ROUND('数据-基础表'!B3/'数据-基础表'!A3,2)</f>
        <v>#DIV/0!</v>
      </c>
      <c r="J3" s="2887"/>
      <c r="K3" s="2887"/>
      <c r="L3" s="2887"/>
      <c r="M3" s="2887"/>
      <c r="N3" s="2889"/>
      <c r="O3" s="2887"/>
      <c r="P3" s="2887"/>
    </row>
    <row r="4" spans="1:16" ht="15">
      <c r="A4" s="3177"/>
      <c r="B4" s="3178"/>
      <c r="C4" s="3179"/>
      <c r="D4" s="1827" t="s">
        <v>1793</v>
      </c>
      <c r="E4" s="1828" t="s">
        <v>1794</v>
      </c>
      <c r="F4" s="2887"/>
      <c r="G4" s="2880" t="s">
        <v>1819</v>
      </c>
      <c r="H4" s="1157" t="s">
        <v>1799</v>
      </c>
      <c r="I4" s="964" t="e">
        <f>ROUND(SUMIF('数据-基础表'!I9:AS9,"地上",'数据-基础表'!I5:AS5)/'数据-基础表'!A3,2)</f>
        <v>#DIV/0!</v>
      </c>
      <c r="J4" s="2887"/>
      <c r="K4" s="2887"/>
      <c r="L4" s="2887"/>
      <c r="M4" s="2887"/>
      <c r="N4" s="2889"/>
      <c r="O4" s="2887"/>
      <c r="P4" s="2887"/>
    </row>
    <row r="5" spans="1:16">
      <c r="A5" s="47" t="s">
        <v>1795</v>
      </c>
      <c r="B5" s="3180" t="s">
        <v>1796</v>
      </c>
      <c r="C5" s="3180"/>
      <c r="D5" s="48">
        <f>ROUND($D$3*E5/$E$3,2)</f>
        <v>0</v>
      </c>
      <c r="E5" s="49">
        <f>SUMIF('数据-基础表'!$11:$11,"住宅",'数据-基础表'!$5:$5)</f>
        <v>0</v>
      </c>
      <c r="F5" s="2887"/>
      <c r="G5" s="1307"/>
      <c r="H5" s="1157" t="s">
        <v>1792</v>
      </c>
      <c r="I5" s="964" t="e">
        <f>ROUND(E31/D31,2)</f>
        <v>#DIV/0!</v>
      </c>
      <c r="J5" s="2887"/>
      <c r="K5" s="2887"/>
      <c r="L5" s="2887"/>
      <c r="M5" s="2887"/>
      <c r="N5" s="2887"/>
      <c r="O5" s="2887"/>
      <c r="P5" s="2887"/>
    </row>
    <row r="6" spans="1:16" ht="15" thickBot="1">
      <c r="A6" s="1830"/>
      <c r="B6" s="3180" t="s">
        <v>1797</v>
      </c>
      <c r="C6" s="3180"/>
      <c r="D6" s="48">
        <f>ROUND($D$3*E6/$E$3,2)</f>
        <v>0</v>
      </c>
      <c r="E6" s="49">
        <f>E3-E5</f>
        <v>99232.329999999987</v>
      </c>
      <c r="F6" s="2887"/>
      <c r="G6" s="2881" t="s">
        <v>1798</v>
      </c>
      <c r="H6" s="1308" t="s">
        <v>1799</v>
      </c>
      <c r="I6" s="2882" t="e">
        <f>ROUND(F31/D31,2)</f>
        <v>#DIV/0!</v>
      </c>
      <c r="J6" s="2887"/>
      <c r="K6" s="2887"/>
      <c r="L6" s="2887"/>
      <c r="M6" s="2887"/>
      <c r="N6" s="2887"/>
      <c r="O6" s="2887"/>
      <c r="P6" s="2887"/>
    </row>
    <row r="7" spans="1:16" ht="15.75" thickBot="1">
      <c r="A7" s="3172"/>
      <c r="B7" s="3173"/>
      <c r="C7" s="3174"/>
      <c r="D7" s="1827" t="s">
        <v>1793</v>
      </c>
      <c r="E7" s="1831" t="s">
        <v>1800</v>
      </c>
      <c r="F7" s="2887"/>
      <c r="G7" s="2883" t="s">
        <v>1801</v>
      </c>
      <c r="H7" s="2884"/>
      <c r="I7" s="2885">
        <v>5.07</v>
      </c>
      <c r="J7" s="2887"/>
      <c r="K7" s="2887"/>
      <c r="L7" s="2887"/>
      <c r="M7" s="2887"/>
      <c r="N7" s="2887"/>
      <c r="O7" s="2887"/>
      <c r="P7" s="2887"/>
    </row>
    <row r="8" spans="1:16">
      <c r="A8" s="47" t="s">
        <v>1802</v>
      </c>
      <c r="B8" s="50" t="s">
        <v>1803</v>
      </c>
      <c r="C8" s="48" t="s">
        <v>1804</v>
      </c>
      <c r="D8" s="48">
        <f t="shared" ref="D8:D15" si="0">ROUND($D$3*E8/$E$3,2)</f>
        <v>0</v>
      </c>
      <c r="E8" s="51">
        <f>SUMIF('数据-基础表'!BB10:BK10,"地上",'数据-基础表'!BB5:BK5)</f>
        <v>19830.27</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48742.99</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30659.07</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0</v>
      </c>
      <c r="E16" s="53">
        <f>SUM(E8:E15)</f>
        <v>99232.329999999987</v>
      </c>
      <c r="F16" s="2887"/>
      <c r="G16" s="2888"/>
      <c r="H16" s="1834" t="s">
        <v>1821</v>
      </c>
      <c r="I16" s="1835"/>
      <c r="J16" s="1301"/>
      <c r="K16" s="3169" t="s">
        <v>1821</v>
      </c>
      <c r="L16" s="3170"/>
      <c r="M16" s="3170"/>
      <c r="N16" s="3170"/>
      <c r="O16" s="3170"/>
      <c r="P16" s="3171"/>
    </row>
    <row r="17" spans="1:19" ht="15">
      <c r="A17" s="1836" t="s">
        <v>1822</v>
      </c>
      <c r="B17" s="1837" t="s">
        <v>1823</v>
      </c>
      <c r="C17" s="1838" t="s">
        <v>1824</v>
      </c>
      <c r="D17" s="1839" t="s">
        <v>1812</v>
      </c>
      <c r="E17" s="1840" t="s">
        <v>1813</v>
      </c>
      <c r="F17" s="1841"/>
      <c r="G17" s="1842"/>
      <c r="H17" s="1843" t="s">
        <v>1825</v>
      </c>
      <c r="I17" s="1844" t="s">
        <v>1810</v>
      </c>
      <c r="J17" s="1301"/>
      <c r="K17" s="3166" t="s">
        <v>1826</v>
      </c>
      <c r="L17" s="3167"/>
      <c r="M17" s="3168"/>
      <c r="N17" s="3166" t="s">
        <v>1827</v>
      </c>
      <c r="O17" s="3167"/>
      <c r="P17" s="3168"/>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88" t="s">
        <v>3084</v>
      </c>
      <c r="D19" s="48">
        <f>ROUND($D$3*E19/$E$3,2)</f>
        <v>0</v>
      </c>
      <c r="E19" s="56">
        <f t="shared" ref="E19:E26" si="1">SUM(F19:G19)</f>
        <v>19830.27</v>
      </c>
      <c r="F19" s="3027">
        <f>Sheet1!D8+Sheet1!D9</f>
        <v>19830.27</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19830.27</v>
      </c>
    </row>
    <row r="20" spans="1:19">
      <c r="A20" s="1857"/>
      <c r="B20" s="50" t="s">
        <v>1839</v>
      </c>
      <c r="C20" s="1854" t="s">
        <v>3085</v>
      </c>
      <c r="D20" s="48">
        <f t="shared" ref="D20:D26" si="6">ROUND($D$3*E20/$E$3,2)</f>
        <v>0</v>
      </c>
      <c r="E20" s="56">
        <f t="shared" si="1"/>
        <v>31986.760000000002</v>
      </c>
      <c r="F20" s="3027"/>
      <c r="G20" s="3028">
        <f>Sheet1!E10+Sheet1!E11</f>
        <v>31986.760000000002</v>
      </c>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31986.760000000002</v>
      </c>
    </row>
    <row r="21" spans="1:19">
      <c r="A21" s="1857"/>
      <c r="B21" s="50" t="s">
        <v>1839</v>
      </c>
      <c r="C21" s="3088" t="s">
        <v>3086</v>
      </c>
      <c r="D21" s="48">
        <f t="shared" si="6"/>
        <v>0</v>
      </c>
      <c r="E21" s="56">
        <f t="shared" si="1"/>
        <v>30659.07</v>
      </c>
      <c r="F21" s="3027"/>
      <c r="G21" s="3028">
        <f>Sheet1!E12</f>
        <v>30659.07</v>
      </c>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30659.07</v>
      </c>
    </row>
    <row r="22" spans="1:19">
      <c r="A22" s="1857"/>
      <c r="B22" s="50" t="s">
        <v>1839</v>
      </c>
      <c r="C22" s="58" t="s">
        <v>3087</v>
      </c>
      <c r="D22" s="48">
        <f t="shared" si="6"/>
        <v>0</v>
      </c>
      <c r="E22" s="56">
        <f t="shared" si="1"/>
        <v>16756.23</v>
      </c>
      <c r="F22" s="3029"/>
      <c r="G22" s="3030">
        <f>Sheet1!F11</f>
        <v>16756.23</v>
      </c>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16756.23</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0</v>
      </c>
      <c r="E27" s="1303">
        <f>IF(SUM(E19:E26)='数据-基础表'!BA5,SUM(E19:E26),IF(F27="地上面积有误","面积有误","地下面积有误"))</f>
        <v>99232.33</v>
      </c>
      <c r="F27" s="1302">
        <f>IF(SUM(F19:F26)=E8,SUM(F19:F26),"地上面积有误")</f>
        <v>19830.27</v>
      </c>
      <c r="G27" s="1304">
        <f>SUM(G19:G26)</f>
        <v>79402.06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99232.33</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0</v>
      </c>
      <c r="E31" s="685">
        <f>E27+E30</f>
        <v>99232.33</v>
      </c>
      <c r="F31" s="686">
        <f>F27+F30</f>
        <v>19830.27</v>
      </c>
      <c r="G31" s="687">
        <f>G27+G30</f>
        <v>79402.06</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S41" sqref="S41"/>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4.375" style="1869" customWidth="1"/>
    <col min="15" max="15" width="11.875" style="1869" customWidth="1"/>
    <col min="16" max="17" width="10.875" style="1869" customWidth="1"/>
    <col min="18" max="19" width="12.5" style="1869" customWidth="1"/>
    <col min="20" max="20" width="12.125" style="1869" customWidth="1"/>
    <col min="21" max="21" width="7.5" style="1869" customWidth="1"/>
    <col min="22" max="22" width="8.62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44256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3089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地上商业</v>
      </c>
      <c r="B6" s="1900" t="str">
        <f>IF(A6=0,"","经营性")</f>
        <v>经营性</v>
      </c>
      <c r="C6" s="1901" t="s">
        <v>1343</v>
      </c>
      <c r="D6" s="967">
        <f>SUMIF(项目基本情况!D$12:I$12,C6,项目基本情况!D$14:I$14)</f>
        <v>40</v>
      </c>
      <c r="E6" s="966">
        <f>IF(B6="","",SUMIF(项目基本情况!D$12:I$12,C6,项目基本情况!D$13:I$13))</f>
        <v>55156</v>
      </c>
      <c r="F6" s="68">
        <f>SUMIF(项目基本情况!D$12:I$12,C6,项目基本情况!D$15:I$15)</f>
        <v>29.86</v>
      </c>
      <c r="G6" s="69">
        <f>IF(ISERROR(ROUND(POWER(1+H6,D6-F6)*(POWER(1+H6,F6)-1)/(POWER(1+H6,D6)-1),3)),0,ROUND(POWER(1+H6,D6-F6)*(POWER(1+H6,F6)-1)/(POWER(1+H6,D6)-1),3))</f>
        <v>0.90400000000000003</v>
      </c>
      <c r="H6" s="741">
        <v>5.5E-2</v>
      </c>
      <c r="I6" s="741">
        <v>0.06</v>
      </c>
      <c r="J6" s="70">
        <v>8.5000000000000006E-2</v>
      </c>
      <c r="K6" s="1161">
        <f>SUMIF('数据-汇总表'!C$19:C$33,A6,'数据-汇总表'!E$19:E$33)</f>
        <v>19830.27</v>
      </c>
      <c r="L6" s="742">
        <v>6400</v>
      </c>
      <c r="M6" s="71">
        <f t="shared" ref="M6:M14" si="0">ROUND(K6*L6/10000,0)</f>
        <v>12691</v>
      </c>
      <c r="N6" s="740">
        <f>ROUND(1-(2021-2019)/60,2)</f>
        <v>0.97</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X23</f>
        <v>10.029999999999999</v>
      </c>
      <c r="V6" s="75">
        <v>0.03</v>
      </c>
      <c r="W6" s="75">
        <v>0.1</v>
      </c>
      <c r="X6" s="1171"/>
      <c r="Y6" s="76">
        <f>N6</f>
        <v>0.97</v>
      </c>
      <c r="Z6" s="77"/>
      <c r="AA6" s="70"/>
      <c r="AB6" s="70"/>
      <c r="AC6" s="1171"/>
      <c r="AD6" s="78"/>
      <c r="AE6" s="1172">
        <f ca="1">IF(AN6="",0,SUMIF(INDIRECT("'"&amp;AN6&amp;"'"&amp;"!E:E"),$AE$5,INDIRECT("'"&amp;AN6&amp;"'"&amp;"!F:F")))</f>
        <v>29.86</v>
      </c>
      <c r="AF6" s="1533"/>
      <c r="AG6" s="143">
        <f>IF(AF6="",0,AE6-AF6)</f>
        <v>0</v>
      </c>
      <c r="AH6" s="79"/>
      <c r="AI6" s="81">
        <v>365</v>
      </c>
      <c r="AJ6" s="82"/>
      <c r="AK6" s="83">
        <v>1.4999999999999999E-2</v>
      </c>
      <c r="AL6" s="84">
        <v>1.5E-3</v>
      </c>
      <c r="AM6" s="85">
        <v>0.02</v>
      </c>
      <c r="AN6" s="1902" t="s">
        <v>3122</v>
      </c>
      <c r="AO6" s="55">
        <f ca="1">SUMIF(INDIRECT("'"&amp;AN6&amp;"'"&amp;"!A:A"),"总价",INDIRECT("'"&amp;AN6&amp;"'"&amp;"!B:B"))</f>
        <v>96771</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地下商业1</v>
      </c>
      <c r="B7" s="1900" t="str">
        <f t="shared" ref="B7:B13" si="1">IF(A7=0,"","经营性")</f>
        <v>经营性</v>
      </c>
      <c r="C7" s="1901" t="s">
        <v>1343</v>
      </c>
      <c r="D7" s="967">
        <f>SUMIF(项目基本情况!D$12:I$12,C7,项目基本情况!D$14:I$14)</f>
        <v>40</v>
      </c>
      <c r="E7" s="966">
        <f>IF(B7="","",SUMIF(项目基本情况!D$12:I$12,C7,项目基本情况!D$13:I$13))</f>
        <v>55156</v>
      </c>
      <c r="F7" s="68">
        <f>SUMIF(项目基本情况!D$12:I$12,C7,项目基本情况!D$15:I$15)</f>
        <v>29.86</v>
      </c>
      <c r="G7" s="69">
        <f t="shared" ref="G7:G11" si="2">IF(ISERROR(ROUND(POWER(1+H7,D7-F7)*(POWER(1+H7,F7)-1)/(POWER(1+H7,D7)-1),3)),0,ROUND(POWER(1+H7,D7-F7)*(POWER(1+H7,F7)-1)/(POWER(1+H7,D7)-1),3))</f>
        <v>0.90400000000000003</v>
      </c>
      <c r="H7" s="741">
        <f>H6</f>
        <v>5.5E-2</v>
      </c>
      <c r="I7" s="741">
        <f>I6</f>
        <v>0.06</v>
      </c>
      <c r="J7" s="70">
        <f>J6</f>
        <v>8.5000000000000006E-2</v>
      </c>
      <c r="K7" s="1161">
        <f>SUMIF('数据-汇总表'!C$19:C$33,A7,'数据-汇总表'!E$19:E$33)</f>
        <v>31986.760000000002</v>
      </c>
      <c r="L7" s="742">
        <v>4000</v>
      </c>
      <c r="M7" s="71">
        <f t="shared" si="0"/>
        <v>12795</v>
      </c>
      <c r="N7" s="740">
        <f>N6</f>
        <v>0.97</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f>X28</f>
        <v>3.66</v>
      </c>
      <c r="V7" s="75">
        <v>0.03</v>
      </c>
      <c r="W7" s="75">
        <v>0.1</v>
      </c>
      <c r="X7" s="1171"/>
      <c r="Y7" s="76">
        <f>N6</f>
        <v>0.97</v>
      </c>
      <c r="Z7" s="77"/>
      <c r="AA7" s="70"/>
      <c r="AB7" s="70"/>
      <c r="AC7" s="1171"/>
      <c r="AD7" s="78"/>
      <c r="AE7" s="1172">
        <f t="shared" ref="AE7:AE13" ca="1" si="6">IF(AN7="",0,SUMIF(INDIRECT("'"&amp;AN7&amp;"'"&amp;"!E:E"),$AE$5,INDIRECT("'"&amp;AN7&amp;"'"&amp;"!F:F")))</f>
        <v>29.86</v>
      </c>
      <c r="AF7" s="1533"/>
      <c r="AG7" s="143">
        <f t="shared" ref="AG7:AG13" si="7">IF(AF7="",0,AE7-AF7)</f>
        <v>0</v>
      </c>
      <c r="AH7" s="79"/>
      <c r="AI7" s="81">
        <v>365</v>
      </c>
      <c r="AJ7" s="82"/>
      <c r="AK7" s="83">
        <v>1.4999999999999999E-2</v>
      </c>
      <c r="AL7" s="84">
        <v>1.5E-3</v>
      </c>
      <c r="AM7" s="85">
        <v>0.02</v>
      </c>
      <c r="AN7" s="1902" t="s">
        <v>3124</v>
      </c>
      <c r="AO7" s="55">
        <f t="shared" ref="AO7:AO13" ca="1" si="8">SUMIF(INDIRECT("'"&amp;AN7&amp;"'"&amp;"!A:A"),"总价",INDIRECT("'"&amp;AN7&amp;"'"&amp;"!B:B"))</f>
        <v>54667</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t="str">
        <f>'数据-汇总表'!C21</f>
        <v>地下车库</v>
      </c>
      <c r="B8" s="1900" t="str">
        <f t="shared" si="1"/>
        <v>经营性</v>
      </c>
      <c r="C8" s="1901" t="s">
        <v>3088</v>
      </c>
      <c r="D8" s="967">
        <f>SUMIF(项目基本情况!D$12:I$12,C8,项目基本情况!D$14:I$14)</f>
        <v>50</v>
      </c>
      <c r="E8" s="966">
        <f>IF(B8="","",SUMIF(项目基本情况!D$12:I$12,C8,项目基本情况!D$13:I$13))</f>
        <v>58809</v>
      </c>
      <c r="F8" s="68">
        <f>SUMIF(项目基本情况!D$12:I$12,C8,项目基本情况!D$15:I$15)</f>
        <v>39.869999999999997</v>
      </c>
      <c r="G8" s="69">
        <f t="shared" si="2"/>
        <v>0.92</v>
      </c>
      <c r="H8" s="741">
        <v>0.04</v>
      </c>
      <c r="I8" s="741">
        <v>4.4999999999999998E-2</v>
      </c>
      <c r="J8" s="70">
        <f>J6</f>
        <v>8.5000000000000006E-2</v>
      </c>
      <c r="K8" s="1161">
        <f>SUMIF('数据-汇总表'!C$19:C$33,A8,'数据-汇总表'!E$19:E$33)</f>
        <v>30659.07</v>
      </c>
      <c r="L8" s="742">
        <v>4000</v>
      </c>
      <c r="M8" s="71">
        <f>ROUND(K8*L8/10000,0)</f>
        <v>12264</v>
      </c>
      <c r="N8" s="740">
        <f>N6</f>
        <v>0.97</v>
      </c>
      <c r="O8" s="71" t="str">
        <f t="shared" si="3"/>
        <v>——</v>
      </c>
      <c r="P8" s="72" t="str">
        <f t="shared" si="4"/>
        <v>——</v>
      </c>
      <c r="Q8" s="743">
        <v>0.1</v>
      </c>
      <c r="R8" s="73">
        <f ca="1">SUMIF('数据-汇总表'!C$19:C$33,A8,'数据-汇总表'!R$19:R$27)</f>
        <v>0</v>
      </c>
      <c r="S8" s="54">
        <f>IF('数据-汇总表'!$I$17="按面积比例",SUMIF('数据-汇总表'!C$19:C$33,A8,'数据-汇总表'!K$19:K$33),SUMIF('数据-汇总表'!C$19:C$33,A8,'数据-汇总表'!N$19:N$33))</f>
        <v>0</v>
      </c>
      <c r="T8" s="1334">
        <f t="shared" si="5"/>
        <v>0</v>
      </c>
      <c r="U8" s="744">
        <v>1</v>
      </c>
      <c r="V8" s="745">
        <v>0.02</v>
      </c>
      <c r="W8" s="745">
        <v>0.1</v>
      </c>
      <c r="X8" s="1171"/>
      <c r="Y8" s="746">
        <f>N6</f>
        <v>0.97</v>
      </c>
      <c r="Z8" s="77"/>
      <c r="AA8" s="70"/>
      <c r="AB8" s="70"/>
      <c r="AC8" s="1171"/>
      <c r="AD8" s="78"/>
      <c r="AE8" s="1172">
        <f t="shared" ca="1" si="6"/>
        <v>39.869999999999997</v>
      </c>
      <c r="AF8" s="1533"/>
      <c r="AG8" s="143">
        <f t="shared" si="7"/>
        <v>0</v>
      </c>
      <c r="AH8" s="747"/>
      <c r="AI8" s="81">
        <v>365</v>
      </c>
      <c r="AJ8" s="82"/>
      <c r="AK8" s="748">
        <v>1.4999999999999999E-2</v>
      </c>
      <c r="AL8" s="749">
        <v>1.5E-3</v>
      </c>
      <c r="AM8" s="750">
        <v>0.02</v>
      </c>
      <c r="AN8" s="1902" t="s">
        <v>3126</v>
      </c>
      <c r="AO8" s="55">
        <f t="shared" ca="1" si="8"/>
        <v>13591</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t="str">
        <f>'数据-汇总表'!C22</f>
        <v>地下商业2</v>
      </c>
      <c r="B9" s="1900" t="str">
        <f t="shared" si="1"/>
        <v>经营性</v>
      </c>
      <c r="C9" s="1901" t="s">
        <v>1343</v>
      </c>
      <c r="D9" s="967">
        <f>SUMIF(项目基本情况!D$12:I$12,C9,项目基本情况!D$14:I$14)</f>
        <v>40</v>
      </c>
      <c r="E9" s="966">
        <f>IF(B9="","",SUMIF(项目基本情况!D$12:I$12,C9,项目基本情况!D$13:I$13))</f>
        <v>55156</v>
      </c>
      <c r="F9" s="68">
        <f>SUMIF(项目基本情况!D$12:I$12,C9,项目基本情况!D$15:I$15)</f>
        <v>29.86</v>
      </c>
      <c r="G9" s="69">
        <f t="shared" si="2"/>
        <v>0.90400000000000003</v>
      </c>
      <c r="H9" s="70">
        <f>H6</f>
        <v>5.5E-2</v>
      </c>
      <c r="I9" s="70">
        <f>I6</f>
        <v>0.06</v>
      </c>
      <c r="J9" s="70">
        <f>J6</f>
        <v>8.5000000000000006E-2</v>
      </c>
      <c r="K9" s="1161">
        <f>SUMIF('数据-汇总表'!C$19:C$33,A9,'数据-汇总表'!E$19:E$33)</f>
        <v>16756.23</v>
      </c>
      <c r="L9" s="742">
        <v>4000</v>
      </c>
      <c r="M9" s="71">
        <f t="shared" si="0"/>
        <v>6702</v>
      </c>
      <c r="N9" s="740">
        <f>N6</f>
        <v>0.97</v>
      </c>
      <c r="O9" s="71" t="str">
        <f t="shared" si="3"/>
        <v>——</v>
      </c>
      <c r="P9" s="72" t="str">
        <f t="shared" si="4"/>
        <v>——</v>
      </c>
      <c r="Q9" s="86">
        <v>0.2</v>
      </c>
      <c r="R9" s="73">
        <f ca="1">SUMIF('数据-汇总表'!C$19:C$33,A9,'数据-汇总表'!R$19:R$27)</f>
        <v>0</v>
      </c>
      <c r="S9" s="54">
        <f>IF('数据-汇总表'!$I$17="按面积比例",SUMIF('数据-汇总表'!C$19:C$33,A9,'数据-汇总表'!K$19:K$33),SUMIF('数据-汇总表'!C$19:C$33,A9,'数据-汇总表'!N$19:N$33))</f>
        <v>0</v>
      </c>
      <c r="T9" s="1334">
        <f t="shared" si="5"/>
        <v>0</v>
      </c>
      <c r="U9" s="74">
        <f>X27</f>
        <v>3.6</v>
      </c>
      <c r="V9" s="75">
        <v>0.03</v>
      </c>
      <c r="W9" s="75">
        <v>0.1</v>
      </c>
      <c r="X9" s="1171"/>
      <c r="Y9" s="76">
        <f>N6</f>
        <v>0.97</v>
      </c>
      <c r="Z9" s="77"/>
      <c r="AA9" s="70"/>
      <c r="AB9" s="70"/>
      <c r="AC9" s="1171"/>
      <c r="AD9" s="78"/>
      <c r="AE9" s="1172">
        <f t="shared" ca="1" si="6"/>
        <v>29.86</v>
      </c>
      <c r="AF9" s="1533"/>
      <c r="AG9" s="143">
        <f t="shared" si="7"/>
        <v>0</v>
      </c>
      <c r="AH9" s="79"/>
      <c r="AI9" s="81">
        <v>365</v>
      </c>
      <c r="AJ9" s="82"/>
      <c r="AK9" s="83">
        <v>1.4999999999999999E-2</v>
      </c>
      <c r="AL9" s="84">
        <v>1.5E-3</v>
      </c>
      <c r="AM9" s="85">
        <v>0.02</v>
      </c>
      <c r="AN9" s="1902" t="s">
        <v>3120</v>
      </c>
      <c r="AO9" s="55">
        <f t="shared" ca="1" si="8"/>
        <v>28127</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0.90900000000000003</v>
      </c>
      <c r="H16" s="95">
        <f>ROUND(SUMPRODUCT(H6:H13,K6:K13)/SUMPRODUCT((H6:H13&gt;0)*(K6:K13)),3)</f>
        <v>0.05</v>
      </c>
      <c r="I16" s="96"/>
      <c r="J16" s="96"/>
      <c r="K16" s="97">
        <f>SUM(K6:K15)</f>
        <v>99232.33</v>
      </c>
      <c r="L16" s="98">
        <f>ROUND(M16*10000/SUM(K6:K14),0)</f>
        <v>4480</v>
      </c>
      <c r="M16" s="98">
        <f>SUM(M6:M14)</f>
        <v>44452</v>
      </c>
      <c r="N16" s="99">
        <f>ROUND(SUMPRODUCT(M6:M14,N6:N14)/M16,3)</f>
        <v>0.97</v>
      </c>
      <c r="O16" s="98">
        <f>SUM(O6:O14)</f>
        <v>0</v>
      </c>
      <c r="P16" s="98">
        <f>SUM(P6:P14)</f>
        <v>0</v>
      </c>
      <c r="Q16" s="100">
        <f>ROUND(SUMPRODUCT(Q6:Q13,K6:K13)/SUMPRODUCT((Q6:Q13&gt;0)*(K6:K13)),2)</f>
        <v>0.17</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3048</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3089" t="s">
        <v>3129</v>
      </c>
      <c r="U21" s="2901">
        <v>1</v>
      </c>
      <c r="V21" s="2901">
        <f>Sheet1!D8</f>
        <v>8567.73</v>
      </c>
      <c r="W21" s="2901">
        <v>1</v>
      </c>
      <c r="X21" s="2901">
        <v>9</v>
      </c>
      <c r="Y21" s="2901">
        <f>ROUND(V21/V23,2)</f>
        <v>0.43</v>
      </c>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v>2</v>
      </c>
      <c r="V22" s="2901">
        <f>Sheet1!D9</f>
        <v>11262.54</v>
      </c>
      <c r="W22" s="2901">
        <v>0.6</v>
      </c>
      <c r="X22" s="2901">
        <f>W22*X21*2</f>
        <v>10.799999999999999</v>
      </c>
      <c r="Y22" s="2901">
        <f>ROUND(V22/V23,2)</f>
        <v>0.56999999999999995</v>
      </c>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v>0.7</v>
      </c>
      <c r="P23" s="2901">
        <v>8</v>
      </c>
      <c r="Q23" s="2901"/>
      <c r="R23" s="2901"/>
      <c r="S23" s="2901"/>
      <c r="T23" s="2901"/>
      <c r="U23" s="2901"/>
      <c r="V23" s="2901">
        <f>V21+V22</f>
        <v>19830.27</v>
      </c>
      <c r="W23" s="2901"/>
      <c r="X23" s="2901">
        <f>ROUND(X21*Y21+X22*Y22,2)</f>
        <v>10.029999999999999</v>
      </c>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v>0.3</v>
      </c>
      <c r="P24" s="2901">
        <v>12</v>
      </c>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f>P23*O23+P24*O24</f>
        <v>9.1999999999999993</v>
      </c>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t="s">
        <v>3130</v>
      </c>
      <c r="U26" s="2901">
        <v>-1</v>
      </c>
      <c r="V26" s="2901">
        <f>Sheet1!E10</f>
        <v>2297.4300000000003</v>
      </c>
      <c r="W26" s="2901">
        <v>0.5</v>
      </c>
      <c r="X26" s="2901">
        <f>W26*X21</f>
        <v>4.5</v>
      </c>
      <c r="Y26" s="2901">
        <f>ROUND(V26/V28,2)</f>
        <v>7.0000000000000007E-2</v>
      </c>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3052</v>
      </c>
      <c r="D27" s="2909"/>
      <c r="E27" s="2889"/>
      <c r="F27" s="2889"/>
      <c r="G27" s="2903"/>
      <c r="H27" s="2903"/>
      <c r="I27" s="2903"/>
      <c r="J27" s="2903"/>
      <c r="K27" s="2902"/>
      <c r="L27" s="2902"/>
      <c r="M27" s="2901"/>
      <c r="N27" s="2901"/>
      <c r="O27" s="2901"/>
      <c r="P27" s="2901"/>
      <c r="Q27" s="2901"/>
      <c r="R27" s="2901"/>
      <c r="S27" s="2901"/>
      <c r="T27" s="2901"/>
      <c r="U27" s="2901">
        <v>-2</v>
      </c>
      <c r="V27" s="2901">
        <f>Sheet1!E11</f>
        <v>29689.33</v>
      </c>
      <c r="W27" s="2901">
        <v>0.4</v>
      </c>
      <c r="X27" s="2901">
        <f>W27*X21</f>
        <v>3.6</v>
      </c>
      <c r="Y27" s="2901">
        <f>1-Y26</f>
        <v>0.92999999999999994</v>
      </c>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3089" t="s">
        <v>3144</v>
      </c>
      <c r="N28" s="2901">
        <f>V21</f>
        <v>8567.73</v>
      </c>
      <c r="O28" s="2901">
        <v>5000</v>
      </c>
      <c r="P28" s="2901">
        <f>O28*N28</f>
        <v>42838650</v>
      </c>
      <c r="Q28" s="2901"/>
      <c r="R28" s="2901"/>
      <c r="S28" s="2901"/>
      <c r="T28" s="2901"/>
      <c r="U28" s="2901"/>
      <c r="V28" s="2901">
        <f>V26+V27</f>
        <v>31986.760000000002</v>
      </c>
      <c r="W28" s="2901"/>
      <c r="X28" s="2901">
        <f>ROUND(X26*Y26+X27*Y27,2)</f>
        <v>3.66</v>
      </c>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'成本法-地上商业'!C10+'成本法-地下商业1'!C10+'成本法-地下商业2'!C10+'成本法-地下车库'!C10</f>
        <v>1985</v>
      </c>
      <c r="C29" s="3034" t="s">
        <v>3039</v>
      </c>
      <c r="D29" s="2909"/>
      <c r="E29" s="2889"/>
      <c r="F29" s="2889"/>
      <c r="G29" s="2903"/>
      <c r="H29" s="2903"/>
      <c r="I29" s="2903"/>
      <c r="J29" s="2903"/>
      <c r="K29" s="2902"/>
      <c r="L29" s="2902"/>
      <c r="M29" s="3089" t="s">
        <v>3144</v>
      </c>
      <c r="N29" s="2901">
        <f>V22</f>
        <v>11262.54</v>
      </c>
      <c r="O29" s="2901">
        <f>O28*1.5</f>
        <v>7500</v>
      </c>
      <c r="P29" s="2901">
        <f t="shared" ref="P29:P33" si="12">O29*N29</f>
        <v>84469050</v>
      </c>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3089" t="s">
        <v>3146</v>
      </c>
      <c r="N30" s="2901">
        <f>V26</f>
        <v>2297.4300000000003</v>
      </c>
      <c r="O30" s="2901">
        <v>4000</v>
      </c>
      <c r="P30" s="2901">
        <f t="shared" si="12"/>
        <v>9189720.0000000019</v>
      </c>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3089" t="s">
        <v>3147</v>
      </c>
      <c r="N31" s="2901">
        <f>V27</f>
        <v>29689.33</v>
      </c>
      <c r="O31" s="2901">
        <v>4000</v>
      </c>
      <c r="P31" s="2901">
        <f t="shared" si="12"/>
        <v>118757320</v>
      </c>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3089" t="s">
        <v>3147</v>
      </c>
      <c r="N32" s="2905">
        <f>K9</f>
        <v>16756.23</v>
      </c>
      <c r="O32" s="2901">
        <v>4000</v>
      </c>
      <c r="P32" s="2901">
        <f t="shared" si="12"/>
        <v>67024920</v>
      </c>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3040</v>
      </c>
      <c r="D33" s="2906"/>
      <c r="E33" s="2903"/>
      <c r="F33" s="2903"/>
      <c r="G33" s="2903"/>
      <c r="H33" s="2903"/>
      <c r="I33" s="2903"/>
      <c r="J33" s="2903"/>
      <c r="K33" s="2902"/>
      <c r="L33" s="2902"/>
      <c r="M33" s="3089" t="s">
        <v>3145</v>
      </c>
      <c r="N33" s="2905">
        <f>K8</f>
        <v>30659.07</v>
      </c>
      <c r="O33" s="2901">
        <v>4000</v>
      </c>
      <c r="P33" s="2901">
        <f t="shared" si="12"/>
        <v>122636280</v>
      </c>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5" t="s">
        <v>3041</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3042</v>
      </c>
      <c r="D35" s="2909"/>
      <c r="E35" s="2889"/>
      <c r="F35" s="2889"/>
      <c r="G35" s="2903"/>
      <c r="H35" s="2903"/>
      <c r="I35" s="2903"/>
      <c r="J35" s="2903"/>
      <c r="K35" s="2902"/>
      <c r="L35" s="2902"/>
      <c r="M35" s="2901"/>
      <c r="N35" s="2901"/>
      <c r="O35" s="2901">
        <f>P35/K16</f>
        <v>4483.5784869709296</v>
      </c>
      <c r="P35" s="2901">
        <f>SUM(P28:P33)</f>
        <v>444915940</v>
      </c>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3044</v>
      </c>
      <c r="D37" s="2906"/>
      <c r="E37" s="2903"/>
      <c r="F37" s="2903"/>
      <c r="G37" s="2903"/>
      <c r="H37" s="2903"/>
      <c r="I37" s="2903"/>
      <c r="J37" s="2903"/>
      <c r="K37" s="2902"/>
      <c r="L37" s="2902"/>
      <c r="M37" s="2901"/>
      <c r="N37" s="3089" t="s">
        <v>3148</v>
      </c>
      <c r="O37" s="2901">
        <f>P37/K6</f>
        <v>6419.8672030184152</v>
      </c>
      <c r="P37" s="2901">
        <f>P28+P29</f>
        <v>127307700</v>
      </c>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70" t="s">
        <v>3061</v>
      </c>
      <c r="B40" s="1210">
        <f ca="1">IF(A40="利息：取LPR",存贷款利率!G1,存贷款利率!G1+C40)</f>
        <v>3.85E-2</v>
      </c>
      <c r="C40" s="3069">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56</v>
      </c>
      <c r="C53" s="2889" t="s">
        <v>1932</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81" t="s">
        <v>3031</v>
      </c>
      <c r="B1" s="3182"/>
      <c r="C1" s="3182"/>
      <c r="D1" s="3182"/>
      <c r="E1" s="3182"/>
      <c r="F1" s="3182"/>
      <c r="G1" s="3182"/>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G37" sqref="G37"/>
    </sheetView>
  </sheetViews>
  <sheetFormatPr defaultColWidth="9" defaultRowHeight="13.5"/>
  <cols>
    <col min="1" max="1" width="25" style="2740" customWidth="1"/>
    <col min="2" max="9" width="15.75" style="2740" customWidth="1"/>
    <col min="10" max="16384" width="9" style="2740"/>
  </cols>
  <sheetData>
    <row r="1" spans="1:13" ht="16.5">
      <c r="A1" s="2739" t="s">
        <v>1331</v>
      </c>
      <c r="B1" s="2739">
        <f>SUM(B14:B23)</f>
        <v>99232.33</v>
      </c>
      <c r="C1" s="2916"/>
      <c r="D1" s="2916"/>
      <c r="E1" s="2916"/>
      <c r="F1" s="2916"/>
      <c r="G1" s="2917"/>
      <c r="H1" s="2918"/>
      <c r="I1" s="2918"/>
      <c r="J1" s="2918"/>
      <c r="K1" s="2918"/>
    </row>
    <row r="2" spans="1:13" ht="16.5">
      <c r="A2" s="2739" t="s">
        <v>1319</v>
      </c>
      <c r="B2" s="2739">
        <f>SUM(C14:C23)</f>
        <v>0</v>
      </c>
      <c r="C2" s="2916"/>
      <c r="D2" s="2916"/>
      <c r="E2" s="2916"/>
      <c r="F2" s="2916"/>
      <c r="G2" s="2917"/>
      <c r="H2" s="2918"/>
      <c r="I2" s="2918"/>
      <c r="J2" s="2918"/>
      <c r="K2" s="2918"/>
    </row>
    <row r="3" spans="1:13" ht="16.5">
      <c r="A3" s="2739" t="s">
        <v>1328</v>
      </c>
      <c r="B3" s="2741">
        <f>项目基本情况!D3</f>
        <v>44256</v>
      </c>
      <c r="C3" s="2916"/>
      <c r="D3" s="2916"/>
      <c r="E3" s="2916"/>
      <c r="F3" s="2916"/>
      <c r="G3" s="2917"/>
      <c r="H3" s="2918"/>
      <c r="I3" s="2918"/>
      <c r="J3" s="2918"/>
      <c r="K3" s="2918"/>
    </row>
    <row r="4" spans="1:13" ht="33">
      <c r="A4" s="2739" t="s">
        <v>1327</v>
      </c>
      <c r="B4" s="2739" t="s">
        <v>1326</v>
      </c>
      <c r="C4" s="2739" t="s">
        <v>1325</v>
      </c>
      <c r="D4" s="2739" t="s">
        <v>1324</v>
      </c>
      <c r="E4" s="2916"/>
      <c r="F4" s="2917"/>
      <c r="G4" s="2917"/>
      <c r="H4" s="2918"/>
      <c r="I4" s="2918"/>
      <c r="J4" s="2918"/>
      <c r="K4" s="2918"/>
    </row>
    <row r="5" spans="1:13" ht="16.5">
      <c r="A5" s="2739" t="s">
        <v>1323</v>
      </c>
      <c r="B5" s="2739">
        <f ca="1">SUM(D14:D23)</f>
        <v>197704</v>
      </c>
      <c r="C5" s="2739">
        <f ca="1">ROUND(B5*10000/$B$1,0)</f>
        <v>19923</v>
      </c>
      <c r="D5" s="2739" t="e">
        <f ca="1">ROUND(B5*10000/$B$2,0)</f>
        <v>#DIV/0!</v>
      </c>
      <c r="E5" s="2916"/>
      <c r="F5" s="2917"/>
      <c r="G5" s="2917"/>
      <c r="H5" s="2918"/>
      <c r="I5" s="2918"/>
      <c r="J5" s="2918"/>
      <c r="K5" s="2918"/>
    </row>
    <row r="6" spans="1:13" ht="16.5">
      <c r="A6" s="2739" t="s">
        <v>1322</v>
      </c>
      <c r="B6" s="2739">
        <f ca="1">SUM(G14:G23)</f>
        <v>197704</v>
      </c>
      <c r="C6" s="2739">
        <f ca="1">ROUND(B6*10000/$B$1,0)</f>
        <v>19923</v>
      </c>
      <c r="D6" s="2739" t="e">
        <f ca="1">ROUND(B6*10000/$B$2,0)</f>
        <v>#DIV/0!</v>
      </c>
      <c r="E6" s="2916"/>
      <c r="F6" s="2917"/>
      <c r="G6" s="2917"/>
      <c r="H6" s="2918"/>
      <c r="I6" s="2918"/>
      <c r="J6" s="2918"/>
      <c r="K6" s="2918"/>
    </row>
    <row r="7" spans="1:13" ht="16.5">
      <c r="A7" s="2739" t="s">
        <v>1330</v>
      </c>
      <c r="B7" s="2739">
        <f>SUM(H14:H23)</f>
        <v>0</v>
      </c>
      <c r="C7" s="2739">
        <f>ROUND(B7*10000/$B$1,0)</f>
        <v>0</v>
      </c>
      <c r="D7" s="2739" t="e">
        <f>ROUND(B7*10000/$B$2,0)</f>
        <v>#DIV/0!</v>
      </c>
      <c r="E7" s="2916"/>
      <c r="F7" s="2917"/>
      <c r="G7" s="2917"/>
      <c r="H7" s="2918"/>
      <c r="I7" s="2918"/>
      <c r="J7" s="2918"/>
      <c r="K7" s="2918"/>
    </row>
    <row r="8" spans="1:13" ht="16.5">
      <c r="A8" s="2739" t="s">
        <v>1252</v>
      </c>
      <c r="B8" s="2739">
        <f>SUM(I14:I23)</f>
        <v>0</v>
      </c>
      <c r="C8" s="2739">
        <f>ROUND(B8*10000/$B$1,0)</f>
        <v>0</v>
      </c>
      <c r="D8" s="2739" t="e">
        <f>ROUND(B8*10000/$B$2,0)</f>
        <v>#DIV/0!</v>
      </c>
      <c r="E8" s="2916"/>
      <c r="F8" s="2917"/>
      <c r="G8" s="2917"/>
      <c r="H8" s="2918"/>
      <c r="I8" s="2918"/>
      <c r="J8" s="2918"/>
      <c r="K8" s="2918"/>
    </row>
    <row r="9" spans="1:13" ht="16.5">
      <c r="A9" s="2739" t="s">
        <v>1321</v>
      </c>
      <c r="B9" s="2747"/>
      <c r="C9" s="2916"/>
      <c r="D9" s="2916"/>
      <c r="E9" s="2916"/>
      <c r="F9" s="2917"/>
      <c r="G9" s="2917"/>
      <c r="H9" s="2918"/>
      <c r="I9" s="2918"/>
      <c r="J9" s="2918"/>
      <c r="K9" s="2918"/>
    </row>
    <row r="10" spans="1:13" ht="16.5">
      <c r="A10" s="2739" t="s">
        <v>1320</v>
      </c>
      <c r="B10" s="2747"/>
      <c r="C10" s="2916"/>
      <c r="D10" s="2916"/>
      <c r="E10" s="2916"/>
      <c r="F10" s="2917"/>
      <c r="G10" s="2917"/>
      <c r="H10" s="2918"/>
      <c r="I10" s="2918"/>
      <c r="J10" s="2918"/>
      <c r="K10" s="2918"/>
    </row>
    <row r="11" spans="1:13" ht="16.5">
      <c r="A11" s="2739" t="s">
        <v>1336</v>
      </c>
      <c r="B11" s="2747"/>
      <c r="C11" s="2916"/>
      <c r="D11" s="2916"/>
      <c r="E11" s="2916"/>
      <c r="F11" s="2917"/>
      <c r="G11" s="2917"/>
      <c r="H11" s="2918"/>
      <c r="I11" s="2918"/>
      <c r="J11" s="2918"/>
      <c r="K11" s="2918"/>
    </row>
    <row r="12" spans="1:13" ht="16.5">
      <c r="A12" s="2916"/>
      <c r="B12" s="2916"/>
      <c r="C12" s="2916"/>
      <c r="D12" s="2916"/>
      <c r="E12" s="2916"/>
      <c r="F12" s="2917"/>
      <c r="G12" s="2917"/>
      <c r="H12" s="2918"/>
      <c r="I12" s="2918"/>
      <c r="J12" s="2918"/>
      <c r="K12" s="2918"/>
    </row>
    <row r="13" spans="1:13" ht="33">
      <c r="A13" s="2742" t="s">
        <v>1335</v>
      </c>
      <c r="B13" s="2743" t="s">
        <v>1332</v>
      </c>
      <c r="C13" s="2743" t="s">
        <v>1334</v>
      </c>
      <c r="D13" s="2743" t="s">
        <v>1333</v>
      </c>
      <c r="E13" s="2739" t="s">
        <v>1325</v>
      </c>
      <c r="F13" s="2739" t="s">
        <v>1324</v>
      </c>
      <c r="G13" s="2743" t="s">
        <v>1318</v>
      </c>
      <c r="H13" s="2743" t="s">
        <v>1329</v>
      </c>
      <c r="I13" s="2743" t="s">
        <v>1317</v>
      </c>
      <c r="J13" s="2917"/>
      <c r="K13" s="2918"/>
      <c r="L13" s="2740" t="s">
        <v>3142</v>
      </c>
      <c r="M13" s="2740" t="s">
        <v>3143</v>
      </c>
    </row>
    <row r="14" spans="1:13" ht="16.5">
      <c r="A14" s="2744" t="s">
        <v>1316</v>
      </c>
      <c r="B14" s="2745">
        <f>结果表!B118</f>
        <v>19830.27</v>
      </c>
      <c r="C14" s="2745">
        <f>结果表!C118</f>
        <v>0</v>
      </c>
      <c r="D14" s="2745">
        <f ca="1">结果表!H118</f>
        <v>93883</v>
      </c>
      <c r="E14" s="2745">
        <f ca="1">ROUND(D14*10000/B14,0)</f>
        <v>47343</v>
      </c>
      <c r="F14" s="2745" t="e">
        <f ca="1">ROUND(D14*10000/C14,0)</f>
        <v>#DIV/0!</v>
      </c>
      <c r="G14" s="2745">
        <f ca="1">结果表!D122</f>
        <v>93883</v>
      </c>
      <c r="H14" s="2745" t="str">
        <f>结果表!D124</f>
        <v>——</v>
      </c>
      <c r="I14" s="2745" t="str">
        <f>结果表!D126</f>
        <v>——</v>
      </c>
      <c r="J14" s="2917">
        <f ca="1">G14</f>
        <v>93883</v>
      </c>
      <c r="K14" s="2918">
        <v>81021</v>
      </c>
      <c r="L14" s="2740">
        <f ca="1">结果表!C19</f>
        <v>90995</v>
      </c>
      <c r="M14" s="2740">
        <f ca="1">结果表!D19</f>
        <v>96771</v>
      </c>
    </row>
    <row r="15" spans="1:13" ht="16.5">
      <c r="A15" s="2744" t="s">
        <v>1315</v>
      </c>
      <c r="B15" s="2746">
        <f>'结果表-地下商业1'!L18</f>
        <v>31986.760000000002</v>
      </c>
      <c r="C15" s="2746"/>
      <c r="D15" s="2746">
        <f ca="1">'结果表-地下商业1'!C32</f>
        <v>52806</v>
      </c>
      <c r="E15" s="2745">
        <f t="shared" ref="E15:E23" ca="1" si="0">ROUND(D15*10000/B15,0)</f>
        <v>16509</v>
      </c>
      <c r="F15" s="2745" t="e">
        <f t="shared" ref="F15:F23" ca="1" si="1">ROUND(D15*10000/C15,0)</f>
        <v>#DIV/0!</v>
      </c>
      <c r="G15" s="1501">
        <f ca="1">D15</f>
        <v>52806</v>
      </c>
      <c r="H15" s="1501"/>
      <c r="I15" s="2746"/>
      <c r="J15" s="2917">
        <f ca="1">G15+G16</f>
        <v>76834</v>
      </c>
      <c r="K15" s="2918">
        <v>85278</v>
      </c>
      <c r="L15" s="2740">
        <f ca="1">'结果表-地下商业1'!C19</f>
        <v>50944</v>
      </c>
      <c r="M15" s="2740">
        <f ca="1">'结果表-地下商业1'!D19</f>
        <v>54667</v>
      </c>
    </row>
    <row r="16" spans="1:13" ht="16.5">
      <c r="A16" s="2744" t="s">
        <v>1314</v>
      </c>
      <c r="B16" s="2746">
        <f>'结果表-地下车库'!L18</f>
        <v>30659.07</v>
      </c>
      <c r="C16" s="2746"/>
      <c r="D16" s="2746">
        <f ca="1">'结果表-地下车库'!C32</f>
        <v>24028</v>
      </c>
      <c r="E16" s="2745">
        <f t="shared" ca="1" si="0"/>
        <v>7837</v>
      </c>
      <c r="F16" s="2745" t="e">
        <f t="shared" ca="1" si="1"/>
        <v>#DIV/0!</v>
      </c>
      <c r="G16" s="1501">
        <f ca="1">D16</f>
        <v>24028</v>
      </c>
      <c r="H16" s="1501"/>
      <c r="I16" s="2746"/>
      <c r="J16" s="2918"/>
      <c r="K16" s="2918"/>
      <c r="L16" s="2740">
        <f ca="1">'结果表-地下车库'!C19</f>
        <v>30986</v>
      </c>
      <c r="M16" s="2740">
        <f ca="1">'结果表-地下车库'!D19</f>
        <v>13591</v>
      </c>
    </row>
    <row r="17" spans="1:13" ht="16.5">
      <c r="A17" s="2744" t="s">
        <v>1313</v>
      </c>
      <c r="B17" s="2746">
        <f>'结果表-地下商业2'!L18</f>
        <v>16756.23</v>
      </c>
      <c r="C17" s="2746"/>
      <c r="D17" s="2746">
        <f ca="1">'结果表-地下商业2'!C32</f>
        <v>26987</v>
      </c>
      <c r="E17" s="2745">
        <f t="shared" ca="1" si="0"/>
        <v>16106</v>
      </c>
      <c r="F17" s="2745" t="e">
        <f t="shared" ca="1" si="1"/>
        <v>#DIV/0!</v>
      </c>
      <c r="G17" s="1501">
        <f ca="1">D17</f>
        <v>26987</v>
      </c>
      <c r="H17" s="1501"/>
      <c r="I17" s="2746"/>
      <c r="J17" s="2918">
        <f ca="1">G17</f>
        <v>26987</v>
      </c>
      <c r="K17" s="2918">
        <v>31270</v>
      </c>
      <c r="L17" s="2740">
        <f ca="1">'结果表-地下商业2'!C19</f>
        <v>25847</v>
      </c>
      <c r="M17" s="2740">
        <f ca="1">'结果表-地下商业2'!D19</f>
        <v>28127</v>
      </c>
    </row>
    <row r="18" spans="1:13" ht="16.5">
      <c r="A18" s="2744" t="s">
        <v>1312</v>
      </c>
      <c r="B18" s="2746"/>
      <c r="C18" s="2746"/>
      <c r="D18" s="2746"/>
      <c r="E18" s="2745" t="e">
        <f t="shared" si="0"/>
        <v>#DIV/0!</v>
      </c>
      <c r="F18" s="2745" t="e">
        <f t="shared" si="1"/>
        <v>#DIV/0!</v>
      </c>
      <c r="G18" s="2746"/>
      <c r="H18" s="2746"/>
      <c r="I18" s="2746"/>
      <c r="J18" s="2918"/>
      <c r="K18" s="2918"/>
    </row>
    <row r="19" spans="1:13" ht="16.5">
      <c r="A19" s="2744" t="s">
        <v>1311</v>
      </c>
      <c r="B19" s="2746"/>
      <c r="C19" s="2746"/>
      <c r="D19" s="2746"/>
      <c r="E19" s="2745" t="e">
        <f t="shared" si="0"/>
        <v>#DIV/0!</v>
      </c>
      <c r="F19" s="2745" t="e">
        <f t="shared" si="1"/>
        <v>#DIV/0!</v>
      </c>
      <c r="G19" s="2746"/>
      <c r="H19" s="2746"/>
      <c r="I19" s="2746"/>
      <c r="J19" s="2918">
        <f ca="1">J14+J15+J17</f>
        <v>197704</v>
      </c>
      <c r="K19" s="2918">
        <f>K14+K15+K17</f>
        <v>197569</v>
      </c>
      <c r="L19" s="2740">
        <f ca="1">L14+L15+L16+L17</f>
        <v>198772</v>
      </c>
      <c r="M19" s="2740">
        <f ca="1">M14+M15+M16+M17</f>
        <v>193156</v>
      </c>
    </row>
    <row r="20" spans="1:13" ht="16.5">
      <c r="A20" s="2744" t="s">
        <v>1310</v>
      </c>
      <c r="B20" s="2746"/>
      <c r="C20" s="2746"/>
      <c r="D20" s="2746"/>
      <c r="E20" s="2745" t="e">
        <f t="shared" si="0"/>
        <v>#DIV/0!</v>
      </c>
      <c r="F20" s="2745" t="e">
        <f t="shared" si="1"/>
        <v>#DIV/0!</v>
      </c>
      <c r="G20" s="2746"/>
      <c r="H20" s="2746"/>
      <c r="I20" s="2746"/>
      <c r="J20" s="2918"/>
      <c r="K20" s="2918"/>
    </row>
    <row r="21" spans="1:13" ht="16.5">
      <c r="A21" s="2744" t="s">
        <v>1309</v>
      </c>
      <c r="B21" s="2746"/>
      <c r="C21" s="2746"/>
      <c r="D21" s="2746"/>
      <c r="E21" s="2745" t="e">
        <f t="shared" si="0"/>
        <v>#DIV/0!</v>
      </c>
      <c r="F21" s="2745" t="e">
        <f t="shared" si="1"/>
        <v>#DIV/0!</v>
      </c>
      <c r="G21" s="2746"/>
      <c r="H21" s="2746"/>
      <c r="I21" s="2746"/>
      <c r="J21" s="2918"/>
      <c r="K21" s="2918"/>
    </row>
    <row r="22" spans="1:13" ht="16.5">
      <c r="A22" s="2744" t="s">
        <v>1308</v>
      </c>
      <c r="B22" s="2746"/>
      <c r="C22" s="2746"/>
      <c r="D22" s="2746"/>
      <c r="E22" s="2745" t="e">
        <f t="shared" si="0"/>
        <v>#DIV/0!</v>
      </c>
      <c r="F22" s="2745" t="e">
        <f t="shared" si="1"/>
        <v>#DIV/0!</v>
      </c>
      <c r="G22" s="2746"/>
      <c r="H22" s="2746"/>
      <c r="I22" s="2746"/>
      <c r="J22" s="2918"/>
      <c r="K22" s="2918"/>
    </row>
    <row r="23" spans="1:13" ht="16.5">
      <c r="A23" s="2744" t="s">
        <v>1307</v>
      </c>
      <c r="B23" s="2746"/>
      <c r="C23" s="2746"/>
      <c r="D23" s="2746"/>
      <c r="E23" s="2747" t="e">
        <f t="shared" si="0"/>
        <v>#DIV/0!</v>
      </c>
      <c r="F23" s="2747" t="e">
        <f t="shared" si="1"/>
        <v>#DIV/0!</v>
      </c>
      <c r="G23" s="2746"/>
      <c r="H23" s="2746"/>
      <c r="I23" s="2746"/>
      <c r="J23" s="2918"/>
      <c r="K23" s="2918"/>
    </row>
    <row r="24" spans="1:13">
      <c r="A24" s="2918"/>
      <c r="B24" s="2918"/>
      <c r="C24" s="2918"/>
      <c r="D24" s="2918"/>
      <c r="E24" s="2918"/>
      <c r="F24" s="2918"/>
      <c r="G24" s="2918"/>
      <c r="H24" s="2918"/>
      <c r="I24" s="2918"/>
      <c r="J24" s="2918"/>
      <c r="K24" s="2918"/>
    </row>
    <row r="25" spans="1:13">
      <c r="A25" s="2918"/>
      <c r="B25" s="2918"/>
      <c r="C25" s="2918"/>
      <c r="D25" s="2918"/>
      <c r="E25" s="2918"/>
      <c r="F25" s="2918"/>
      <c r="G25" s="2918"/>
      <c r="H25" s="2918"/>
      <c r="I25" s="2918"/>
      <c r="J25" s="2918"/>
      <c r="K25" s="2918"/>
    </row>
    <row r="26" spans="1:13">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5" sqref="G2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3083</v>
      </c>
      <c r="D1" s="1934"/>
      <c r="E1" s="1934"/>
      <c r="F1" s="1936" t="s">
        <v>1949</v>
      </c>
      <c r="G1" s="1747"/>
      <c r="H1" s="1937" t="str">
        <f>IF(G1="现房","——","估价对象范围")</f>
        <v>估价对象范围</v>
      </c>
      <c r="I1" s="1938"/>
    </row>
    <row r="2" spans="1:12" ht="21.75" customHeight="1" thickBot="1">
      <c r="A2" s="3253" t="str">
        <f>项目基本情况!S2</f>
        <v>北京市房地产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1" t="s">
        <v>1951</v>
      </c>
      <c r="B4" s="1942" t="s">
        <v>1952</v>
      </c>
      <c r="C4" s="1943" t="s">
        <v>3138</v>
      </c>
      <c r="D4" s="1943" t="s">
        <v>3122</v>
      </c>
      <c r="E4" s="3262" t="s">
        <v>1953</v>
      </c>
      <c r="F4" s="3263"/>
      <c r="G4" s="3263"/>
      <c r="H4" s="3263"/>
      <c r="I4" s="326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8" t="s">
        <v>1954</v>
      </c>
      <c r="B5" s="3256">
        <v>25</v>
      </c>
      <c r="C5" s="3259"/>
      <c r="D5" s="3247"/>
      <c r="E5" s="136" t="s">
        <v>1955</v>
      </c>
      <c r="F5" s="1944"/>
      <c r="G5" s="1944"/>
      <c r="H5" s="1944"/>
      <c r="I5" s="1558"/>
    </row>
    <row r="6" spans="1:12" ht="12.75">
      <c r="A6" s="3198"/>
      <c r="B6" s="3256"/>
      <c r="C6" s="3261"/>
      <c r="D6" s="3247"/>
      <c r="E6" s="136" t="s">
        <v>1956</v>
      </c>
      <c r="F6" s="1944"/>
      <c r="G6" s="1944"/>
      <c r="H6" s="1944"/>
      <c r="I6" s="1558"/>
    </row>
    <row r="7" spans="1:12" ht="12.75">
      <c r="A7" s="3198"/>
      <c r="B7" s="3256"/>
      <c r="C7" s="3260"/>
      <c r="D7" s="3247"/>
      <c r="E7" s="136" t="s">
        <v>1957</v>
      </c>
      <c r="F7" s="1944"/>
      <c r="G7" s="1944"/>
      <c r="H7" s="1944"/>
      <c r="I7" s="1558"/>
    </row>
    <row r="8" spans="1:12" ht="12.75">
      <c r="A8" s="3198" t="s">
        <v>1958</v>
      </c>
      <c r="B8" s="3256">
        <v>15</v>
      </c>
      <c r="C8" s="3259"/>
      <c r="D8" s="3247"/>
      <c r="E8" s="136" t="s">
        <v>1959</v>
      </c>
      <c r="F8" s="1944"/>
      <c r="G8" s="1944"/>
      <c r="H8" s="1944"/>
      <c r="I8" s="1558"/>
    </row>
    <row r="9" spans="1:12" ht="12.75">
      <c r="A9" s="3198"/>
      <c r="B9" s="3256"/>
      <c r="C9" s="3260"/>
      <c r="D9" s="3247"/>
      <c r="E9" s="136" t="s">
        <v>1960</v>
      </c>
      <c r="F9" s="1944"/>
      <c r="G9" s="1944"/>
      <c r="H9" s="1944"/>
      <c r="I9" s="1558"/>
    </row>
    <row r="10" spans="1:12" ht="12.75">
      <c r="A10" s="3198" t="s">
        <v>1961</v>
      </c>
      <c r="B10" s="3256">
        <v>15</v>
      </c>
      <c r="C10" s="3259"/>
      <c r="D10" s="3247"/>
      <c r="E10" s="136" t="s">
        <v>1962</v>
      </c>
      <c r="F10" s="1944"/>
      <c r="G10" s="1944"/>
      <c r="H10" s="1944"/>
      <c r="I10" s="1558"/>
    </row>
    <row r="11" spans="1:12" ht="12.75">
      <c r="A11" s="3198"/>
      <c r="B11" s="3256"/>
      <c r="C11" s="3260"/>
      <c r="D11" s="3247"/>
      <c r="E11" s="136" t="s">
        <v>1963</v>
      </c>
      <c r="F11" s="1944"/>
      <c r="G11" s="1944"/>
      <c r="H11" s="1944"/>
      <c r="I11" s="1558"/>
    </row>
    <row r="12" spans="1:12" ht="12.75">
      <c r="A12" s="3198" t="s">
        <v>1964</v>
      </c>
      <c r="B12" s="3256">
        <v>15</v>
      </c>
      <c r="C12" s="3259"/>
      <c r="D12" s="3247"/>
      <c r="E12" s="136" t="s">
        <v>1965</v>
      </c>
      <c r="F12" s="1944"/>
      <c r="G12" s="1944"/>
      <c r="H12" s="1944"/>
      <c r="I12" s="1558"/>
    </row>
    <row r="13" spans="1:12" ht="12.75">
      <c r="A13" s="3198"/>
      <c r="B13" s="3256"/>
      <c r="C13" s="3260"/>
      <c r="D13" s="3247"/>
      <c r="E13" s="136" t="s">
        <v>1966</v>
      </c>
      <c r="F13" s="1944"/>
      <c r="G13" s="1944"/>
      <c r="H13" s="1944"/>
      <c r="I13" s="1558"/>
    </row>
    <row r="14" spans="1:12" ht="12.75">
      <c r="A14" s="3198" t="s">
        <v>1967</v>
      </c>
      <c r="B14" s="3256">
        <v>30</v>
      </c>
      <c r="C14" s="3259">
        <v>5</v>
      </c>
      <c r="D14" s="3247">
        <v>5</v>
      </c>
      <c r="E14" s="136" t="s">
        <v>1968</v>
      </c>
      <c r="F14" s="1944"/>
      <c r="G14" s="1944"/>
      <c r="H14" s="1944"/>
      <c r="I14" s="1558"/>
    </row>
    <row r="15" spans="1:12" ht="12.75">
      <c r="A15" s="3198"/>
      <c r="B15" s="3256"/>
      <c r="C15" s="3261"/>
      <c r="D15" s="3247"/>
      <c r="E15" s="136" t="s">
        <v>1969</v>
      </c>
      <c r="F15" s="1944"/>
      <c r="G15" s="1944"/>
      <c r="H15" s="1944"/>
      <c r="I15" s="1558"/>
    </row>
    <row r="16" spans="1:12" ht="12.75">
      <c r="A16" s="3198"/>
      <c r="B16" s="3256"/>
      <c r="C16" s="3260"/>
      <c r="D16" s="3247"/>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78" t="s">
        <v>2872</v>
      </c>
      <c r="F18" s="3279"/>
      <c r="G18" s="3279"/>
      <c r="H18" s="3279"/>
      <c r="I18" s="3279"/>
      <c r="K18" s="308" t="s">
        <v>1975</v>
      </c>
      <c r="L18" s="308">
        <f>IF(C1="",'数据-汇总表'!E3,SUMIF(项目类型,C1,'数据-汇总表'!E17:E26)+SUMIF(项目类型,C1,'数据-汇总表'!I17:I26))</f>
        <v>19830.27</v>
      </c>
      <c r="M18" s="308">
        <f>IF(C1="",'数据-汇总表'!E3,SUMIF(项目类型,C1,'数据-汇总表'!E17:E26))</f>
        <v>19830.27</v>
      </c>
    </row>
    <row r="19" spans="1:36" ht="15">
      <c r="A19" s="1948" t="s">
        <v>1976</v>
      </c>
      <c r="B19" s="1949" t="s">
        <v>1977</v>
      </c>
      <c r="C19" s="139">
        <f ca="1">SUMIF(INDIRECT("'"&amp;C4&amp;"'"&amp;"!A:A"),结果表!B19,INDIRECT("'"&amp;C4&amp;"'"&amp;"!B:B"))</f>
        <v>90995</v>
      </c>
      <c r="D19" s="140">
        <f ca="1">SUMIF(INDIRECT("'"&amp;D4&amp;"'"&amp;"!A:A"),结果表!B19,INDIRECT("'"&amp;D4&amp;"'"&amp;"!B:B"))</f>
        <v>96771</v>
      </c>
      <c r="E19" s="1948" t="s">
        <v>1978</v>
      </c>
      <c r="F19" s="1949" t="s">
        <v>1977</v>
      </c>
      <c r="G19" s="141">
        <f ca="1">ROUND(C19*$C$18+D19*$D$18,0)</f>
        <v>93883</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45887</v>
      </c>
      <c r="D20" s="143">
        <f ca="1">SUMIF(INDIRECT("'"&amp;D4&amp;"'"&amp;"!A:A"),结果表!B20,INDIRECT("'"&amp;D4&amp;"'"&amp;"!B:B"))</f>
        <v>48800</v>
      </c>
      <c r="E20" s="1951"/>
      <c r="F20" s="1157" t="s">
        <v>1981</v>
      </c>
      <c r="G20" s="144">
        <f ca="1">ROUND(C20*$C$18+D20*$D$18,0)</f>
        <v>47344</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6.3476015165668365E-2</v>
      </c>
      <c r="E22" s="134"/>
      <c r="F22" s="134"/>
      <c r="G22" s="134"/>
      <c r="H22" s="134"/>
      <c r="I22" s="134"/>
    </row>
    <row r="23" spans="1:36" ht="13.5" thickBot="1">
      <c r="A23" s="1934"/>
      <c r="B23" s="1934"/>
      <c r="C23" s="1934"/>
      <c r="D23" s="1934"/>
      <c r="E23" s="134"/>
      <c r="F23" s="134"/>
      <c r="G23" s="134"/>
      <c r="H23" s="134"/>
      <c r="I23" s="134"/>
    </row>
    <row r="24" spans="1:36" ht="14.25">
      <c r="A24" s="3271" t="s">
        <v>1985</v>
      </c>
      <c r="B24" s="1949" t="s">
        <v>1977</v>
      </c>
      <c r="C24" s="141">
        <f>IF(B30=0,0,D30)</f>
        <v>0</v>
      </c>
      <c r="D24" s="1956"/>
      <c r="E24" s="134"/>
      <c r="F24" s="134"/>
      <c r="G24" s="134"/>
      <c r="H24" s="134"/>
      <c r="I24" s="134"/>
    </row>
    <row r="25" spans="1:36" ht="14.25">
      <c r="A25" s="3272"/>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93883</v>
      </c>
      <c r="D32" s="1962" t="s">
        <v>3132</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8" t="s">
        <v>1998</v>
      </c>
      <c r="B36" s="1974" t="s">
        <v>1999</v>
      </c>
      <c r="C36" s="150"/>
      <c r="D36" s="1975"/>
      <c r="E36" s="1976"/>
      <c r="F36" s="1977"/>
      <c r="G36" s="134"/>
      <c r="H36" s="134"/>
      <c r="I36" s="134"/>
    </row>
    <row r="37" spans="1:15" ht="15.75" thickBot="1">
      <c r="A37" s="3249"/>
      <c r="B37" s="1861" t="s">
        <v>2000</v>
      </c>
      <c r="C37" s="152"/>
      <c r="D37" s="1301"/>
      <c r="E37" s="1301"/>
      <c r="F37" s="1977"/>
      <c r="G37" s="134"/>
      <c r="H37" s="134"/>
      <c r="I37" s="134"/>
    </row>
    <row r="38" spans="1:15" ht="15.75" thickBot="1">
      <c r="A38" s="3250"/>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8" t="s">
        <v>2012</v>
      </c>
      <c r="B45" s="3269"/>
      <c r="C45" s="3270"/>
      <c r="D45" s="160">
        <f ca="1">ROUND(H101*F45,0)</f>
        <v>93883</v>
      </c>
      <c r="E45" s="161" t="s">
        <v>2013</v>
      </c>
      <c r="F45" s="162">
        <v>1</v>
      </c>
      <c r="G45" s="163" t="s">
        <v>2014</v>
      </c>
      <c r="H45" s="134"/>
      <c r="I45" s="134"/>
      <c r="J45" s="3185" t="s">
        <v>2015</v>
      </c>
      <c r="K45" s="3185"/>
      <c r="L45" s="3185"/>
      <c r="M45" s="3185"/>
      <c r="N45" s="3185"/>
      <c r="O45" s="3185"/>
    </row>
    <row r="46" spans="1:15" ht="14.25" customHeight="1">
      <c r="A46" s="3265" t="s">
        <v>2016</v>
      </c>
      <c r="B46" s="3266"/>
      <c r="C46" s="3266"/>
      <c r="D46" s="3266"/>
      <c r="E46" s="3266"/>
      <c r="F46" s="3266"/>
      <c r="G46" s="3267"/>
      <c r="H46" s="1993"/>
      <c r="I46" s="164"/>
      <c r="J46" s="2750">
        <v>1</v>
      </c>
      <c r="K46" s="3186" t="s">
        <v>2017</v>
      </c>
      <c r="L46" s="3186"/>
      <c r="M46" s="3187"/>
      <c r="N46" s="3187"/>
      <c r="O46" s="3187"/>
    </row>
    <row r="47" spans="1:15" ht="12" customHeight="1">
      <c r="A47" s="165" t="s">
        <v>2018</v>
      </c>
      <c r="B47" s="166"/>
      <c r="C47" s="167"/>
      <c r="D47" s="1247" t="s">
        <v>2019</v>
      </c>
      <c r="E47" s="308" t="s">
        <v>2020</v>
      </c>
      <c r="F47" s="168" t="s">
        <v>2021</v>
      </c>
      <c r="G47" s="2773" t="s">
        <v>2022</v>
      </c>
      <c r="H47" s="2774"/>
      <c r="I47" s="164"/>
      <c r="J47" s="2750">
        <v>2</v>
      </c>
      <c r="K47" s="3186" t="s">
        <v>2023</v>
      </c>
      <c r="L47" s="3186"/>
      <c r="M47" s="3188">
        <f>'数据-取费表'!B2</f>
        <v>44256</v>
      </c>
      <c r="N47" s="3188"/>
      <c r="O47" s="3188"/>
    </row>
    <row r="48" spans="1:15" ht="25.5">
      <c r="A48" s="3251" t="s">
        <v>2024</v>
      </c>
      <c r="B48" s="3252"/>
      <c r="C48" s="3252"/>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186" t="s">
        <v>2026</v>
      </c>
      <c r="L48" s="3186"/>
      <c r="M48" s="3189">
        <f ca="1">H101</f>
        <v>93883</v>
      </c>
      <c r="N48" s="3189"/>
      <c r="O48" s="3189"/>
    </row>
    <row r="49" spans="1:35" ht="25.5" customHeight="1">
      <c r="A49" s="2557" t="s">
        <v>2027</v>
      </c>
      <c r="B49" s="3234" t="s">
        <v>2028</v>
      </c>
      <c r="C49" s="3234"/>
      <c r="D49" s="1776">
        <v>0</v>
      </c>
      <c r="E49" s="330" t="s">
        <v>2029</v>
      </c>
      <c r="F49" s="2651" t="s">
        <v>34</v>
      </c>
      <c r="G49" s="3217"/>
      <c r="H49" s="2529" t="s">
        <v>2875</v>
      </c>
      <c r="I49" s="2530"/>
      <c r="J49" s="2750">
        <v>4</v>
      </c>
      <c r="K49" s="3186" t="str">
        <f>IF(项目基本情况!E8="房地产抵押价值","房地产抵押价值","抵押担保权已注销时的房地产抵押价值")</f>
        <v>房地产抵押价值</v>
      </c>
      <c r="L49" s="3186"/>
      <c r="M49" s="3189">
        <f ca="1">IF(项目基本情况!E8="房地产抵押价值",H107,H109)</f>
        <v>93883</v>
      </c>
      <c r="N49" s="3189"/>
      <c r="O49" s="3189"/>
    </row>
    <row r="50" spans="1:35" ht="25.5" customHeight="1">
      <c r="A50" s="2778"/>
      <c r="B50" s="3234" t="s">
        <v>2030</v>
      </c>
      <c r="C50" s="3234"/>
      <c r="D50" s="2779"/>
      <c r="E50" s="338"/>
      <c r="F50" s="2651"/>
      <c r="G50" s="3218"/>
      <c r="H50" s="2531" t="s">
        <v>2876</v>
      </c>
      <c r="I50" s="2530"/>
      <c r="J50" s="3185" t="s">
        <v>2031</v>
      </c>
      <c r="K50" s="3185"/>
      <c r="L50" s="3185"/>
      <c r="M50" s="3185"/>
      <c r="N50" s="3185"/>
      <c r="O50" s="3185"/>
    </row>
    <row r="51" spans="1:35" ht="20.45" customHeight="1">
      <c r="A51" s="2780"/>
      <c r="B51" s="3234" t="s">
        <v>2032</v>
      </c>
      <c r="C51" s="3234"/>
      <c r="D51" s="1247"/>
      <c r="E51" s="333"/>
      <c r="F51" s="2651"/>
      <c r="G51" s="3219"/>
      <c r="H51" s="2531" t="s">
        <v>2877</v>
      </c>
      <c r="I51" s="2530"/>
      <c r="J51" s="2751" t="s">
        <v>2033</v>
      </c>
      <c r="K51" s="3186" t="s">
        <v>2034</v>
      </c>
      <c r="L51" s="3186"/>
      <c r="M51" s="2751" t="s">
        <v>2035</v>
      </c>
      <c r="N51" s="2751" t="s">
        <v>2036</v>
      </c>
      <c r="O51" s="2751" t="s">
        <v>2037</v>
      </c>
    </row>
    <row r="52" spans="1:35" ht="24" customHeight="1">
      <c r="A52" s="2559" t="s">
        <v>2038</v>
      </c>
      <c r="B52" s="3234" t="s">
        <v>2039</v>
      </c>
      <c r="C52" s="3234"/>
      <c r="D52" s="1247">
        <f ca="1">ROUND(D45*'数据-取费表'!B41/(1+'数据-取费表'!C42),0)</f>
        <v>5007</v>
      </c>
      <c r="E52" s="2558" t="s">
        <v>2040</v>
      </c>
      <c r="F52" s="2781">
        <f>'数据-取费表'!B41</f>
        <v>5.6000000000000001E-2</v>
      </c>
      <c r="G52" s="2782"/>
      <c r="H52" s="2771"/>
      <c r="I52" s="1994"/>
      <c r="J52" s="2750">
        <v>1</v>
      </c>
      <c r="K52" s="3211" t="s">
        <v>2041</v>
      </c>
      <c r="L52" s="3211"/>
      <c r="M52" s="2752" t="b">
        <f>D48</f>
        <v>0</v>
      </c>
      <c r="N52" s="2750" t="str">
        <f>E48</f>
        <v>销售额×税（费）率</v>
      </c>
      <c r="O52" s="2753">
        <f>F48</f>
        <v>5.6000000000000001E-2</v>
      </c>
    </row>
    <row r="53" spans="1:35" ht="12" customHeight="1">
      <c r="A53" s="2559" t="s">
        <v>2042</v>
      </c>
      <c r="B53" s="3235" t="s">
        <v>3036</v>
      </c>
      <c r="C53" s="3236"/>
      <c r="D53" s="1247">
        <f ca="1">ROUND(D45*'数据-取费表'!B41/(1+'数据-取费表'!C42),0)</f>
        <v>5007</v>
      </c>
      <c r="E53" s="2558" t="s">
        <v>2040</v>
      </c>
      <c r="F53" s="2781">
        <f>'数据-取费表'!B41</f>
        <v>5.6000000000000001E-2</v>
      </c>
      <c r="G53" s="2782"/>
      <c r="H53" s="2771"/>
      <c r="I53" s="1994"/>
      <c r="J53" s="2750">
        <v>2</v>
      </c>
      <c r="K53" s="3211" t="s">
        <v>2043</v>
      </c>
      <c r="L53" s="3211"/>
      <c r="M53" s="2752">
        <f t="shared" ref="M53:O54" ca="1" si="0">D55</f>
        <v>47</v>
      </c>
      <c r="N53" s="2750" t="str">
        <f t="shared" si="0"/>
        <v>销售额×税（费）率</v>
      </c>
      <c r="O53" s="2753" t="str">
        <f t="shared" si="0"/>
        <v>免征</v>
      </c>
    </row>
    <row r="54" spans="1:35" ht="12" customHeight="1">
      <c r="A54" s="2559" t="s">
        <v>2044</v>
      </c>
      <c r="B54" s="3235" t="s">
        <v>3037</v>
      </c>
      <c r="C54" s="3236"/>
      <c r="D54" s="1247">
        <f ca="1">C68</f>
        <v>5007</v>
      </c>
      <c r="E54" s="333" t="s">
        <v>2045</v>
      </c>
      <c r="F54" s="2781">
        <f>'数据-取费表'!B41</f>
        <v>5.6000000000000001E-2</v>
      </c>
      <c r="G54" s="2782"/>
      <c r="H54" s="2783"/>
      <c r="I54" s="1994"/>
      <c r="J54" s="2750">
        <v>3</v>
      </c>
      <c r="K54" s="3211" t="s">
        <v>2046</v>
      </c>
      <c r="L54" s="3211"/>
      <c r="M54" s="2752">
        <f t="shared" ca="1" si="0"/>
        <v>53138</v>
      </c>
      <c r="N54" s="2750" t="str">
        <f t="shared" si="0"/>
        <v>增值额×税（费）率</v>
      </c>
      <c r="O54" s="2754" t="str">
        <f t="shared" si="0"/>
        <v>免征</v>
      </c>
    </row>
    <row r="55" spans="1:35" ht="24" customHeight="1">
      <c r="A55" s="3274" t="s">
        <v>2047</v>
      </c>
      <c r="B55" s="3252"/>
      <c r="C55" s="3252"/>
      <c r="D55" s="2548">
        <f ca="1">IF(H55="个人住宅",0,ROUND(D45*I55,0))</f>
        <v>47</v>
      </c>
      <c r="E55" s="2558" t="s">
        <v>2048</v>
      </c>
      <c r="F55" s="2781" t="str">
        <f>IF(H55="正常",I55,"免征")</f>
        <v>免征</v>
      </c>
      <c r="G55" s="2782"/>
      <c r="H55" s="2777"/>
      <c r="I55" s="170">
        <f>'数据-取费表'!B49</f>
        <v>5.0000000000000001E-4</v>
      </c>
      <c r="J55" s="2750">
        <f>IF(H59="非个人房产","",4)</f>
        <v>4</v>
      </c>
      <c r="K55" s="3211" t="str">
        <f>IF(H59="非个人房产","——","个人所得税")</f>
        <v>个人所得税</v>
      </c>
      <c r="L55" s="3211"/>
      <c r="M55" s="2755">
        <f ca="1">D59</f>
        <v>894</v>
      </c>
      <c r="N55" s="2229" t="str">
        <f>E59</f>
        <v>差额计税</v>
      </c>
      <c r="O55" s="2756">
        <f>F59</f>
        <v>0.01</v>
      </c>
    </row>
    <row r="56" spans="1:35" ht="24.75">
      <c r="A56" s="3274" t="s">
        <v>2049</v>
      </c>
      <c r="B56" s="3252"/>
      <c r="C56" s="3252"/>
      <c r="D56" s="2548">
        <f ca="1">IF(H56="个人住宅",D57,D58)</f>
        <v>53138</v>
      </c>
      <c r="E56" s="2558" t="s">
        <v>2050</v>
      </c>
      <c r="F56" s="2781" t="str">
        <f>IF(H56="正常",F58,"免征")</f>
        <v>免征</v>
      </c>
      <c r="G56" s="2784" t="s">
        <v>2051</v>
      </c>
      <c r="H56" s="2785"/>
      <c r="I56" s="1995"/>
      <c r="J56" s="2750" t="str">
        <f>IF(项目基本情况!K6="上海银行",IF(J55="",4,J55+1),"")</f>
        <v/>
      </c>
      <c r="K56" s="3192" t="str">
        <f>IF(项目基本情况!K6="上海银行","其他处置费用","")</f>
        <v/>
      </c>
      <c r="L56" s="3193"/>
      <c r="M56" s="2752" t="str">
        <f>IF(项目基本情况!K6="上海银行",M69,"")</f>
        <v/>
      </c>
      <c r="N56" s="3192" t="str">
        <f>IF(项目基本情况!K6="上海银行","包含处置中涉及的律师、诉讼、拍卖、评估等费用","")</f>
        <v/>
      </c>
      <c r="O56" s="3195"/>
    </row>
    <row r="57" spans="1:35" ht="12.75">
      <c r="A57" s="2559" t="s">
        <v>2027</v>
      </c>
      <c r="B57" s="3235" t="s">
        <v>2052</v>
      </c>
      <c r="C57" s="3236"/>
      <c r="D57" s="1776">
        <v>0</v>
      </c>
      <c r="E57" s="330" t="s">
        <v>2029</v>
      </c>
      <c r="F57" s="308"/>
      <c r="G57" s="2782"/>
      <c r="H57" s="2786"/>
      <c r="I57" s="1995"/>
      <c r="J57" s="3211">
        <f>IF(AND(J55="",J56=""),4,IF(项目基本情况!K6="上海银行",结果表!J56+1,结果表!J55+1))</f>
        <v>5</v>
      </c>
      <c r="K57" s="3211" t="s">
        <v>2053</v>
      </c>
      <c r="L57" s="2757" t="s">
        <v>2054</v>
      </c>
      <c r="M57" s="2758"/>
      <c r="N57" s="2759">
        <f ca="1">SUMIF(M52:M56,"&lt;9e307")</f>
        <v>54079</v>
      </c>
      <c r="O57" s="2760"/>
      <c r="P57" s="2920">
        <f ca="1">N57/M49</f>
        <v>0.57602547852113806</v>
      </c>
    </row>
    <row r="58" spans="1:35" ht="24.75">
      <c r="A58" s="2559" t="s">
        <v>2038</v>
      </c>
      <c r="B58" s="3235" t="s">
        <v>2055</v>
      </c>
      <c r="C58" s="3234"/>
      <c r="D58" s="2548">
        <f ca="1">IF(H58="转让取得",C81,C97)</f>
        <v>53138</v>
      </c>
      <c r="E58" s="2558" t="s">
        <v>2050</v>
      </c>
      <c r="F58" s="308" t="s">
        <v>34</v>
      </c>
      <c r="G58" s="2782"/>
      <c r="H58" s="2785"/>
      <c r="I58" s="1995"/>
      <c r="J58" s="3211"/>
      <c r="K58" s="3211"/>
      <c r="L58" s="2757" t="s">
        <v>2056</v>
      </c>
      <c r="M58" s="2761"/>
      <c r="N58" s="2762" t="str">
        <f ca="1">NUMBERSTRING(INT(N57*10000),2)&amp;"元整"</f>
        <v>伍亿肆仟零柒拾玖万元整</v>
      </c>
      <c r="O58" s="2763"/>
    </row>
    <row r="59" spans="1:35" ht="24.75" thickBot="1">
      <c r="A59" s="3215" t="s">
        <v>2057</v>
      </c>
      <c r="B59" s="3216"/>
      <c r="C59" s="3216"/>
      <c r="D59" s="2787">
        <f ca="1">IF(H59="非个人房产","——",IF(H59="个人住宅（满五唯一有凭证）",0,IF(H59="个人其他（无凭证）",ROUND(D45*F59,0),ROUND(C67*F59,0))))</f>
        <v>894</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13">
        <f>J57+1</f>
        <v>6</v>
      </c>
      <c r="K59" s="3211" t="s">
        <v>2058</v>
      </c>
      <c r="L59" s="2750" t="s">
        <v>2054</v>
      </c>
      <c r="M59" s="2764"/>
      <c r="N59" s="2765">
        <f ca="1">M49-N57</f>
        <v>39804</v>
      </c>
      <c r="O59" s="2766"/>
    </row>
    <row r="60" spans="1:35" ht="12" customHeight="1">
      <c r="A60" s="1996"/>
      <c r="B60" s="1934"/>
      <c r="C60" s="1934"/>
      <c r="D60" s="1934"/>
      <c r="E60" s="1764"/>
      <c r="F60" s="1995"/>
      <c r="G60" s="1995"/>
      <c r="H60" s="1997"/>
      <c r="I60" s="134"/>
      <c r="J60" s="3214"/>
      <c r="K60" s="3211"/>
      <c r="L60" s="2757" t="s">
        <v>2056</v>
      </c>
      <c r="M60" s="2761"/>
      <c r="N60" s="2762" t="str">
        <f ca="1">NUMBERSTRING(INT(N59*10000),2)&amp;"元整"</f>
        <v>叁亿玖仟捌佰零肆万元整</v>
      </c>
      <c r="O60" s="2763"/>
    </row>
    <row r="61" spans="1:35" ht="13.5" thickBot="1">
      <c r="A61" s="3273" t="s">
        <v>2059</v>
      </c>
      <c r="B61" s="3273"/>
      <c r="C61" s="3273"/>
      <c r="D61" s="3273"/>
      <c r="E61" s="3273"/>
      <c r="F61" s="1995"/>
      <c r="G61" s="1995"/>
      <c r="H61" s="1997"/>
      <c r="I61" s="134"/>
      <c r="J61" s="2750">
        <f>J59+1</f>
        <v>7</v>
      </c>
      <c r="K61" s="3211" t="s">
        <v>2060</v>
      </c>
      <c r="L61" s="3211"/>
      <c r="M61" s="2767"/>
      <c r="N61" s="2768">
        <f ca="1">ROUND(N59*10000/'数据-汇总表'!E3,0)</f>
        <v>4011</v>
      </c>
      <c r="O61" s="2769"/>
    </row>
    <row r="62" spans="1:35" ht="12.75">
      <c r="A62" s="3230" t="s">
        <v>2061</v>
      </c>
      <c r="B62" s="3231"/>
      <c r="C62" s="2210"/>
      <c r="D62" s="2210" t="s">
        <v>2062</v>
      </c>
      <c r="E62" s="171" t="s">
        <v>2063</v>
      </c>
      <c r="F62" s="1995"/>
      <c r="G62" s="1995"/>
      <c r="H62" s="1997"/>
      <c r="I62" s="134"/>
    </row>
    <row r="63" spans="1:35" ht="12.75">
      <c r="A63" s="178" t="s">
        <v>775</v>
      </c>
      <c r="B63" s="172" t="s">
        <v>2064</v>
      </c>
      <c r="C63" s="2791">
        <f ca="1">ROUND((C64+C65)/(1+'数据-取费表'!C42),0)</f>
        <v>89412</v>
      </c>
      <c r="D63" s="172"/>
      <c r="E63" s="173"/>
      <c r="F63" s="1995"/>
      <c r="G63" s="1995"/>
      <c r="H63" s="1997"/>
      <c r="I63" s="134"/>
      <c r="J63" s="3194" t="s">
        <v>2065</v>
      </c>
      <c r="K63" s="1502" t="s">
        <v>2066</v>
      </c>
      <c r="L63" s="1502">
        <f ca="1">IF(M49&gt;10000,M49*0.5%,IF(AND(M49&gt;1000,M49&lt;=10000),M49*1%,IF(AND(M49&gt;100,M49&lt;=1000),M49*3%,IF(AND(M49&gt;10,M49&lt;=100),M49*5%,M49*8%))))</f>
        <v>469.41500000000002</v>
      </c>
      <c r="M63" s="308">
        <f ca="1">ROUND(L63,1)</f>
        <v>469.4</v>
      </c>
      <c r="N63" s="2770"/>
      <c r="Z63" s="1939"/>
      <c r="AI63" s="1940"/>
    </row>
    <row r="64" spans="1:35" ht="14.25" customHeight="1">
      <c r="A64" s="174" t="s">
        <v>770</v>
      </c>
      <c r="B64" s="175" t="s">
        <v>2067</v>
      </c>
      <c r="C64" s="2792">
        <f ca="1">D45</f>
        <v>93883</v>
      </c>
      <c r="D64" s="175" t="s">
        <v>32</v>
      </c>
      <c r="E64" s="177"/>
      <c r="F64" s="1995"/>
      <c r="G64" s="1995"/>
      <c r="H64" s="1997"/>
      <c r="I64" s="134"/>
      <c r="J64" s="3194"/>
      <c r="K64" s="1502" t="s">
        <v>2068</v>
      </c>
      <c r="L64" s="1502">
        <f ca="1">IF(M49&gt;2000,M49*0.5%,IF(AND(M49&gt;1000,M49&lt;=2000),M49*0.6%,IF(AND(M49&gt;500,M49&lt;=1000),M49*0.7%,IF(AND(M49&gt;200,M49&lt;=500),M49*0.8%,IF(AND(M49&gt;100,M49&lt;=200),M49*0.9%,IF(AND(M49&gt;50,M49&lt;=100),M49*1%,IF(AND(M49&gt;20,M49&lt;=50),M49*1.5%,IF(AND(M49&gt;10,M49&lt;=20),M49*2%,IF(AND(M49&gt;1,M49&lt;=10),M49*2.5%)))))))))</f>
        <v>469.41500000000002</v>
      </c>
      <c r="M64" s="308">
        <f t="shared" ref="M64:M65" ca="1" si="1">ROUND(L64,1)</f>
        <v>469.4</v>
      </c>
      <c r="N64" s="2771" t="s">
        <v>2069</v>
      </c>
      <c r="Z64" s="1939"/>
      <c r="AI64" s="1940"/>
    </row>
    <row r="65" spans="1:35" ht="14.25" customHeight="1">
      <c r="A65" s="174" t="s">
        <v>771</v>
      </c>
      <c r="B65" s="175" t="s">
        <v>2070</v>
      </c>
      <c r="C65" s="2793"/>
      <c r="D65" s="175"/>
      <c r="E65" s="177"/>
      <c r="F65" s="1995"/>
      <c r="G65" s="1995"/>
      <c r="H65" s="1997"/>
      <c r="I65" s="134"/>
      <c r="J65" s="3194"/>
      <c r="K65" s="1502" t="s">
        <v>2071</v>
      </c>
      <c r="L65" s="1502">
        <f ca="1">IF(M49&gt;1000,M49*0.1%,IF(AND(M49&gt;500,M49&lt;=1000),M49*0.5%,IF(AND(M49&gt;50,M49&lt;=500),M49*1%,IF(AND(M49&gt;1,M49&lt;=50),M49*1.5%))))</f>
        <v>93.882999999999996</v>
      </c>
      <c r="M65" s="308">
        <f t="shared" ca="1" si="1"/>
        <v>93.9</v>
      </c>
      <c r="N65" s="2771" t="s">
        <v>2069</v>
      </c>
      <c r="Z65" s="1939"/>
      <c r="AI65" s="1940"/>
    </row>
    <row r="66" spans="1:35" ht="14.25" customHeight="1">
      <c r="A66" s="178" t="s">
        <v>772</v>
      </c>
      <c r="B66" s="179" t="s">
        <v>2072</v>
      </c>
      <c r="C66" s="2794"/>
      <c r="D66" s="179" t="s">
        <v>32</v>
      </c>
      <c r="E66" s="1510" t="s">
        <v>1337</v>
      </c>
      <c r="F66" s="1995"/>
      <c r="G66" s="1995"/>
      <c r="H66" s="1997"/>
      <c r="I66" s="134"/>
      <c r="J66" s="3194"/>
      <c r="K66" s="1502" t="s">
        <v>2073</v>
      </c>
      <c r="L66" s="1502">
        <f ca="1">M49*0.5%</f>
        <v>469.41500000000002</v>
      </c>
      <c r="M66" s="308">
        <f ca="1">IF(L66&gt;0.5,0.5,ROUND(L66,0))</f>
        <v>0.5</v>
      </c>
      <c r="N66" s="2771" t="s">
        <v>2074</v>
      </c>
      <c r="Z66" s="1939"/>
      <c r="AI66" s="1940"/>
    </row>
    <row r="67" spans="1:35" ht="14.25" customHeight="1">
      <c r="A67" s="178" t="s">
        <v>773</v>
      </c>
      <c r="B67" s="179" t="s">
        <v>2075</v>
      </c>
      <c r="C67" s="2795">
        <f ca="1">C63-C66</f>
        <v>89412</v>
      </c>
      <c r="D67" s="175" t="s">
        <v>32</v>
      </c>
      <c r="E67" s="177"/>
      <c r="F67" s="1995"/>
      <c r="G67" s="1995"/>
      <c r="H67" s="1997"/>
      <c r="I67" s="134"/>
      <c r="J67" s="3194"/>
      <c r="K67" s="1502" t="s">
        <v>2076</v>
      </c>
      <c r="L67" s="1502">
        <f ca="1">IF(M49&gt;=10000,(8.25+(M49-10000)*0.01%),IF(AND(M49&gt;=8000,M49&lt;10000),(7.85+(M49-8000)*0.02%),IF(AND(M49&gt;=5000,M49&lt;8000),(6.65+(M49-5000)*0.04%),IF(AND(M49&gt;=2000,M49&lt;5000),(4.25+(PM49-2000)*0.08%),IF(AND(M49&gt;=1000,M49&lt;2000),(2.75+(M49-1000)*0.15%),IF(AND(M49&gt;=100,M49&lt;1000),(0.5+(M49-100)*0.25%),IF(AND(M49&gt;0,M49&lt;100),M49*0.5%)))))))</f>
        <v>16.638300000000001</v>
      </c>
      <c r="M67" s="308">
        <f ca="1">ROUND(L67*0.9,1)</f>
        <v>15</v>
      </c>
      <c r="N67" s="2770"/>
      <c r="Z67" s="1939"/>
      <c r="AI67" s="1940"/>
    </row>
    <row r="68" spans="1:35" ht="14.25" customHeight="1" thickBot="1">
      <c r="A68" s="181" t="s">
        <v>774</v>
      </c>
      <c r="B68" s="182" t="s">
        <v>2077</v>
      </c>
      <c r="C68" s="2796">
        <f ca="1">IF(C67&lt;=0,0,ROUND(C67*D68,0))</f>
        <v>5007</v>
      </c>
      <c r="D68" s="2797">
        <f>'数据-取费表'!B41</f>
        <v>5.6000000000000001E-2</v>
      </c>
      <c r="E68" s="184"/>
      <c r="F68" s="1995"/>
      <c r="G68" s="1995"/>
      <c r="H68" s="1997"/>
      <c r="I68" s="134"/>
      <c r="J68" s="3194"/>
      <c r="K68" s="1502" t="s">
        <v>2078</v>
      </c>
      <c r="L68" s="1502">
        <f ca="1">IF(M49&gt;10000,M49*0.5%,IF(AND(M49&gt;5000,M49&lt;=10000),M49*1%,IF(AND(M49&gt;1000,M49&lt;=5000),M49*2%,IF(AND(M49&gt;200,M49&lt;=1000),M49*3%,M49*5%))))</f>
        <v>469.41500000000002</v>
      </c>
      <c r="M68" s="308">
        <f ca="1">ROUND(L68,1)</f>
        <v>469.4</v>
      </c>
      <c r="N68" s="2770"/>
      <c r="Z68" s="1939"/>
      <c r="AI68" s="1940"/>
    </row>
    <row r="69" spans="1:35" s="1959" customFormat="1" ht="16.5" customHeight="1">
      <c r="A69" s="1998"/>
      <c r="B69" s="1999"/>
      <c r="C69" s="2000"/>
      <c r="D69" s="2001"/>
      <c r="E69" s="2002"/>
      <c r="F69" s="1764"/>
      <c r="G69" s="1764"/>
      <c r="H69" s="1763"/>
      <c r="I69" s="1934"/>
      <c r="J69" s="3194"/>
      <c r="K69" s="1502" t="s">
        <v>2079</v>
      </c>
      <c r="L69" s="1502"/>
      <c r="M69" s="308">
        <f ca="1">ROUND(SUM(M63:M68),0)</f>
        <v>1518</v>
      </c>
      <c r="N69" s="2772">
        <f ca="1">M69/M49</f>
        <v>1.6169061491430825E-2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8" t="s">
        <v>2080</v>
      </c>
      <c r="B70" s="3239"/>
      <c r="C70" s="3239"/>
      <c r="D70" s="3239"/>
      <c r="E70" s="3239"/>
      <c r="F70" s="3239"/>
      <c r="G70" s="3239"/>
      <c r="H70" s="3239"/>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0" t="s">
        <v>2061</v>
      </c>
      <c r="B71" s="3231"/>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89412</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536</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35" t="s">
        <v>2088</v>
      </c>
      <c r="F76" s="3234"/>
      <c r="G76" s="3234"/>
      <c r="H76" s="323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536</v>
      </c>
      <c r="D78" s="2804">
        <f>'数据-取费表'!B43</f>
        <v>6.000000000000001E-3</v>
      </c>
      <c r="E78" s="3227" t="s">
        <v>2092</v>
      </c>
      <c r="F78" s="3228"/>
      <c r="G78" s="3228"/>
      <c r="H78" s="322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88876</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165.81343283582089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53138</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8" t="s">
        <v>2096</v>
      </c>
      <c r="B83" s="3239"/>
      <c r="C83" s="3239"/>
      <c r="D83" s="3239"/>
      <c r="E83" s="3239"/>
      <c r="F83" s="3239"/>
      <c r="G83" s="3239"/>
      <c r="H83" s="323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0" t="s">
        <v>2061</v>
      </c>
      <c r="B84" s="3231"/>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89412</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536</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96" t="s">
        <v>2870</v>
      </c>
      <c r="H90" s="3197"/>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IF(H91="——",'成本法-地上商业'!C33,I91)</f>
        <v>0</v>
      </c>
      <c r="D91" s="2804"/>
      <c r="E91" s="3227" t="s">
        <v>2105</v>
      </c>
      <c r="F91" s="3228"/>
      <c r="G91" s="322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27" t="s">
        <v>2108</v>
      </c>
      <c r="F92" s="3228"/>
      <c r="G92" s="3228"/>
      <c r="H92" s="3229"/>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536</v>
      </c>
      <c r="D93" s="2804">
        <f>'数据-取费表'!B43</f>
        <v>6.000000000000001E-3</v>
      </c>
      <c r="E93" s="3227" t="s">
        <v>2092</v>
      </c>
      <c r="F93" s="3228"/>
      <c r="G93" s="3228"/>
      <c r="H93" s="322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75" t="s">
        <v>2112</v>
      </c>
      <c r="F94" s="3276"/>
      <c r="G94" s="3276"/>
      <c r="H94" s="327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88876</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165.81343283582089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53138</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77" t="s">
        <v>2114</v>
      </c>
      <c r="B100" s="3178"/>
      <c r="C100" s="3178"/>
      <c r="D100" s="3212"/>
      <c r="E100" s="3178" t="s">
        <v>2115</v>
      </c>
      <c r="F100" s="3178"/>
      <c r="G100" s="3178"/>
      <c r="H100" s="3212"/>
      <c r="I100" s="134"/>
    </row>
    <row r="101" spans="1:35" ht="18.75" customHeight="1">
      <c r="A101" s="3220" t="s">
        <v>2116</v>
      </c>
      <c r="B101" s="3221"/>
      <c r="C101" s="2812" t="str">
        <f>C4</f>
        <v>成本法-地上商业</v>
      </c>
      <c r="D101" s="2813" t="str">
        <f>D4</f>
        <v>收益法-地上商业</v>
      </c>
      <c r="E101" s="3190" t="s">
        <v>2117</v>
      </c>
      <c r="F101" s="3191"/>
      <c r="G101" s="2014" t="s">
        <v>2118</v>
      </c>
      <c r="H101" s="2822">
        <f ca="1">H118</f>
        <v>93883</v>
      </c>
      <c r="I101" s="134"/>
    </row>
    <row r="102" spans="1:35" ht="18.75" customHeight="1">
      <c r="A102" s="3222" t="s">
        <v>2119</v>
      </c>
      <c r="B102" s="2811" t="s">
        <v>2118</v>
      </c>
      <c r="C102" s="2812">
        <f ca="1">C19</f>
        <v>90995</v>
      </c>
      <c r="D102" s="2813">
        <f ca="1">D19</f>
        <v>96771</v>
      </c>
      <c r="E102" s="3190"/>
      <c r="F102" s="3191"/>
      <c r="G102" s="2014" t="s">
        <v>2120</v>
      </c>
      <c r="H102" s="2782">
        <f ca="1">I118</f>
        <v>47343</v>
      </c>
      <c r="I102" s="134"/>
    </row>
    <row r="103" spans="1:35" ht="42.75" customHeight="1">
      <c r="A103" s="3222"/>
      <c r="B103" s="2811" t="s">
        <v>2120</v>
      </c>
      <c r="C103" s="2814">
        <f ca="1">C20</f>
        <v>45887</v>
      </c>
      <c r="D103" s="2815">
        <f ca="1">D20</f>
        <v>48800</v>
      </c>
      <c r="E103" s="3183" t="s">
        <v>2121</v>
      </c>
      <c r="F103" s="3184"/>
      <c r="G103" s="2015" t="s">
        <v>2122</v>
      </c>
      <c r="H103" s="2822">
        <f>IF(D36="正常操作",H104+H105+H106,H105+H106)</f>
        <v>0</v>
      </c>
      <c r="I103" s="134"/>
    </row>
    <row r="104" spans="1:35" ht="18.75" customHeight="1">
      <c r="A104" s="3222" t="s">
        <v>2123</v>
      </c>
      <c r="B104" s="2816" t="s">
        <v>2118</v>
      </c>
      <c r="C104" s="2817">
        <f ca="1">H118</f>
        <v>93883</v>
      </c>
      <c r="D104" s="2818"/>
      <c r="E104" s="1861" t="s">
        <v>2124</v>
      </c>
      <c r="F104" s="1852"/>
      <c r="G104" s="2015" t="s">
        <v>2122</v>
      </c>
      <c r="H104" s="2823">
        <f>IF(D36="同一抵押权人同一抵押物续贷",C36&amp;"（续贷，未扣减，详见特别提示）",C36)</f>
        <v>0</v>
      </c>
      <c r="I104" s="134"/>
    </row>
    <row r="105" spans="1:35" ht="18.75" customHeight="1" thickBot="1">
      <c r="A105" s="3232"/>
      <c r="B105" s="2819" t="s">
        <v>2120</v>
      </c>
      <c r="C105" s="2820">
        <f ca="1">I118</f>
        <v>47343</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23" t="str">
        <f>IF(项目基本情况!E8="已注销","——","3.房地产抵押价值")</f>
        <v>3.房地产抵押价值</v>
      </c>
      <c r="F107" s="3191"/>
      <c r="G107" s="2014" t="s">
        <v>2118</v>
      </c>
      <c r="H107" s="2822">
        <f ca="1">IF(E107="——","——",H101-H103)</f>
        <v>93883</v>
      </c>
      <c r="I107" s="134"/>
    </row>
    <row r="108" spans="1:35" ht="18.75" customHeight="1">
      <c r="A108" s="134"/>
      <c r="B108" s="134"/>
      <c r="C108" s="134"/>
      <c r="D108" s="134"/>
      <c r="E108" s="3223"/>
      <c r="F108" s="3191"/>
      <c r="G108" s="2014" t="s">
        <v>2120</v>
      </c>
      <c r="H108" s="2782">
        <f ca="1">ROUND(H107*10000/'数据-汇总表'!E3,0)</f>
        <v>9461</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191"/>
      <c r="G109" s="2014" t="s">
        <v>2118</v>
      </c>
      <c r="H109" s="2825" t="str">
        <f>IF(E109="——","——",H101-H105-H106)</f>
        <v>——</v>
      </c>
      <c r="I109" s="134"/>
    </row>
    <row r="110" spans="1:35" ht="18.75" customHeight="1">
      <c r="A110" s="134"/>
      <c r="B110" s="134"/>
      <c r="C110" s="134"/>
      <c r="D110" s="134"/>
      <c r="E110" s="3223"/>
      <c r="F110" s="3191"/>
      <c r="G110" s="2014" t="s">
        <v>2120</v>
      </c>
      <c r="H110" s="2782" t="str">
        <f>IF(H109="——","——",ROUND(H109*10000/'数据-汇总表'!E3,0))</f>
        <v>——</v>
      </c>
      <c r="I110" s="134"/>
    </row>
    <row r="111" spans="1:35" ht="18.75" customHeight="1">
      <c r="A111" s="134"/>
      <c r="B111" s="134"/>
      <c r="C111" s="134"/>
      <c r="D111" s="134"/>
      <c r="E111" s="3224" t="str">
        <f>IF(项目基本情况!E9="抵押净值",IF(OR(项目基本情况!E8="已注销",项目基本情况!E8="房地产抵押价值"),"4.抵押净值","5.抵押净值"),"——")</f>
        <v>——</v>
      </c>
      <c r="F111" s="3210"/>
      <c r="G111" s="2014" t="s">
        <v>2118</v>
      </c>
      <c r="H111" s="2822" t="str">
        <f>IF(E111="——","——",N59)</f>
        <v>——</v>
      </c>
      <c r="I111" s="134"/>
    </row>
    <row r="112" spans="1:35" ht="18.75" customHeight="1" thickBot="1">
      <c r="A112" s="134"/>
      <c r="B112" s="134"/>
      <c r="C112" s="134"/>
      <c r="D112" s="134"/>
      <c r="E112" s="3225"/>
      <c r="F112" s="3226"/>
      <c r="G112" s="2017" t="s">
        <v>2120</v>
      </c>
      <c r="H112" s="2826" t="str">
        <f>IF(E111="——","——",N61)</f>
        <v>——</v>
      </c>
      <c r="I112" s="134"/>
    </row>
    <row r="113" spans="1:27" ht="18.75" customHeight="1">
      <c r="A113" s="134"/>
      <c r="B113" s="134"/>
      <c r="C113" s="134"/>
      <c r="D113" s="134"/>
      <c r="E113" s="3233" t="s">
        <v>2126</v>
      </c>
      <c r="F113" s="3233"/>
      <c r="G113" s="3233"/>
      <c r="H113" s="3233"/>
      <c r="I113" s="134"/>
    </row>
    <row r="114" spans="1:27" ht="3.75" customHeight="1">
      <c r="A114" s="1934"/>
      <c r="B114" s="1934"/>
      <c r="C114" s="1934"/>
      <c r="D114" s="1934"/>
      <c r="E114" s="1996"/>
      <c r="F114" s="1996"/>
      <c r="G114" s="1996"/>
      <c r="H114" s="1996"/>
      <c r="I114" s="1934"/>
    </row>
    <row r="115" spans="1:27" ht="18.75" customHeight="1">
      <c r="A115" s="3244" t="s">
        <v>2128</v>
      </c>
      <c r="B115" s="3245"/>
      <c r="C115" s="3245"/>
      <c r="D115" s="3245"/>
      <c r="E115" s="3245"/>
      <c r="F115" s="3245"/>
      <c r="G115" s="3245"/>
      <c r="H115" s="3245"/>
      <c r="I115" s="3246"/>
    </row>
    <row r="116" spans="1:27" ht="27" customHeight="1">
      <c r="A116" s="3198" t="s">
        <v>2129</v>
      </c>
      <c r="B116" s="3202" t="s">
        <v>2130</v>
      </c>
      <c r="C116" s="3202" t="s">
        <v>2131</v>
      </c>
      <c r="D116" s="3208" t="s">
        <v>2132</v>
      </c>
      <c r="E116" s="3209"/>
      <c r="F116" s="3240" t="s">
        <v>2133</v>
      </c>
      <c r="G116" s="3240"/>
      <c r="H116" s="3198" t="s">
        <v>2134</v>
      </c>
      <c r="I116" s="3198"/>
    </row>
    <row r="117" spans="1:27" ht="18.75" customHeight="1">
      <c r="A117" s="3198"/>
      <c r="B117" s="3203"/>
      <c r="C117" s="3203"/>
      <c r="D117" s="2553" t="s">
        <v>2135</v>
      </c>
      <c r="E117" s="2553" t="s">
        <v>2136</v>
      </c>
      <c r="F117" s="2553" t="s">
        <v>2135</v>
      </c>
      <c r="G117" s="2553" t="s">
        <v>2137</v>
      </c>
      <c r="H117" s="2553" t="s">
        <v>2135</v>
      </c>
      <c r="I117" s="2553" t="s">
        <v>2137</v>
      </c>
    </row>
    <row r="118" spans="1:27" ht="24.75" customHeight="1">
      <c r="A118" s="2827" t="str">
        <f>项目基本情况!S2</f>
        <v>北京市房地产</v>
      </c>
      <c r="B118" s="2553">
        <f>M18</f>
        <v>19830.27</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93883</v>
      </c>
      <c r="I118" s="2553">
        <f ca="1">ROUND(IF(D32="楼面单价",C32,H118*10000/B118),0)</f>
        <v>47343</v>
      </c>
    </row>
    <row r="119" spans="1:27" ht="18.75" customHeight="1">
      <c r="A119" s="3198" t="s">
        <v>2138</v>
      </c>
      <c r="B119" s="3198"/>
      <c r="C119" s="3198"/>
      <c r="D119" s="3204" t="e">
        <f ca="1">NUMBERSTRING(INT(D118*10000),2)&amp;"元整"</f>
        <v>#REF!</v>
      </c>
      <c r="E119" s="3205"/>
      <c r="F119" s="3204" t="e">
        <f ca="1">NUMBERSTRING(INT(F118*10000),2)&amp;"元整"</f>
        <v>#REF!</v>
      </c>
      <c r="G119" s="3205"/>
      <c r="H119" s="3204" t="str">
        <f ca="1">NUMBERSTRING(INT(H118*10000),2)&amp;"元整"</f>
        <v>玖亿叁仟捌佰捌拾叁万元整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1" t="s">
        <v>2138</v>
      </c>
      <c r="B121" s="3242"/>
      <c r="C121" s="3243"/>
      <c r="D121" s="3204" t="str">
        <f>IF(D120=0,"零元整",NUMBERSTRING(INT(D120*10000),2)&amp;"元整")</f>
        <v>零元整</v>
      </c>
      <c r="E121" s="3206"/>
      <c r="F121" s="3206"/>
      <c r="G121" s="3206"/>
      <c r="H121" s="3206"/>
      <c r="I121" s="3205"/>
      <c r="AA121" s="734"/>
    </row>
    <row r="122" spans="1:27" ht="18.75" customHeight="1">
      <c r="A122" s="3210" t="str">
        <f>IF(项目基本情况!B9="房地产市场价值","",MID(E107,3,LEN(E107)-2))</f>
        <v>房地产抵押价值</v>
      </c>
      <c r="B122" s="3210"/>
      <c r="C122" s="3210"/>
      <c r="D122" s="3199">
        <f ca="1">H107</f>
        <v>93883</v>
      </c>
      <c r="E122" s="3200"/>
      <c r="F122" s="3200"/>
      <c r="G122" s="3200"/>
      <c r="H122" s="3200"/>
      <c r="I122" s="3201"/>
      <c r="AA122" s="734"/>
    </row>
    <row r="123" spans="1:27" ht="18.75" customHeight="1">
      <c r="A123" s="3198" t="s">
        <v>2138</v>
      </c>
      <c r="B123" s="3198"/>
      <c r="C123" s="3198"/>
      <c r="D123" s="3204" t="str">
        <f ca="1">NUMBERSTRING(INT(D122*10000),2)&amp;"元整"</f>
        <v>玖亿叁仟捌佰捌拾叁万元整</v>
      </c>
      <c r="E123" s="3206"/>
      <c r="F123" s="3206"/>
      <c r="G123" s="3206"/>
      <c r="H123" s="3206"/>
      <c r="I123" s="3205"/>
      <c r="AA123" s="734"/>
    </row>
    <row r="124" spans="1:27" ht="18.75" customHeight="1">
      <c r="A124" s="3210" t="str">
        <f>IF(项目基本情况!B9="房地产市场价值","",MID(E109,3,LEN(E109)-2))</f>
        <v/>
      </c>
      <c r="B124" s="3210"/>
      <c r="C124" s="3210"/>
      <c r="D124" s="3199" t="str">
        <f>H109</f>
        <v>——</v>
      </c>
      <c r="E124" s="3200"/>
      <c r="F124" s="3200"/>
      <c r="G124" s="3200"/>
      <c r="H124" s="3200"/>
      <c r="I124" s="3201"/>
      <c r="AA124" s="734"/>
    </row>
    <row r="125" spans="1:27" ht="18.75" customHeight="1">
      <c r="A125" s="3198" t="s">
        <v>2138</v>
      </c>
      <c r="B125" s="3198"/>
      <c r="C125" s="3198"/>
      <c r="D125" s="3204" t="e">
        <f>NUMBERSTRING(INT(D124*10000),2)&amp;"元整"</f>
        <v>#VALUE!</v>
      </c>
      <c r="E125" s="3206"/>
      <c r="F125" s="3206"/>
      <c r="G125" s="3206"/>
      <c r="H125" s="3206"/>
      <c r="I125" s="3205"/>
      <c r="AA125" s="734"/>
    </row>
    <row r="126" spans="1:27" ht="18.75" customHeight="1">
      <c r="A126" s="3210" t="str">
        <f>IF(项目基本情况!B9="房地产市场价值","",MID(E111,3,LEN(E111)-2))</f>
        <v/>
      </c>
      <c r="B126" s="3210"/>
      <c r="C126" s="3210"/>
      <c r="D126" s="3199" t="str">
        <f>H111</f>
        <v>——</v>
      </c>
      <c r="E126" s="3200"/>
      <c r="F126" s="3200"/>
      <c r="G126" s="3200"/>
      <c r="H126" s="3200"/>
      <c r="I126" s="3201"/>
      <c r="AA126" s="734"/>
    </row>
    <row r="127" spans="1:27" ht="18.75" customHeight="1">
      <c r="A127" s="3198" t="s">
        <v>2138</v>
      </c>
      <c r="B127" s="3198"/>
      <c r="C127" s="3198"/>
      <c r="D127" s="3204" t="e">
        <f>NUMBERSTRING(INT(D126*10000),2)&amp;"元整"</f>
        <v>#VALUE!</v>
      </c>
      <c r="E127" s="3206"/>
      <c r="F127" s="3206"/>
      <c r="G127" s="3206"/>
      <c r="H127" s="3206"/>
      <c r="I127" s="3205"/>
      <c r="AA127" s="734"/>
    </row>
    <row r="128" spans="1:27" ht="21.75" customHeight="1">
      <c r="A128" s="3207" t="s">
        <v>2139</v>
      </c>
      <c r="B128" s="3207"/>
      <c r="C128" s="3207"/>
      <c r="D128" s="3207"/>
      <c r="E128" s="3207"/>
      <c r="F128" s="3207"/>
      <c r="G128" s="3207"/>
      <c r="H128" s="3207"/>
      <c r="I128" s="3207"/>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1" t="str">
        <f>项目基本情况!B1</f>
        <v>北京市房地产抵押价值预评估</v>
      </c>
      <c r="C37" s="3091"/>
      <c r="D37" s="3091"/>
      <c r="E37" s="3091"/>
      <c r="F37" s="3091"/>
      <c r="G37" s="3091"/>
      <c r="H37" s="3091"/>
      <c r="I37" s="3091"/>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3" sqref="G3"/>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62645.83</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81493</v>
      </c>
      <c r="C2" s="2186" t="s">
        <v>2634</v>
      </c>
      <c r="D2" s="2187" t="s">
        <v>2635</v>
      </c>
      <c r="E2" s="2188" t="s">
        <v>1343</v>
      </c>
      <c r="F2" s="2187" t="s">
        <v>2636</v>
      </c>
      <c r="G2" s="2189" t="str">
        <f>IF(E2="商业",项目基本情况!B37,IF(E2="办公",项目基本情况!C37,IF(E2="住宅",项目基本情况!D37,项目基本情况!E37)))</f>
        <v>五级</v>
      </c>
      <c r="H2" s="2187" t="s">
        <v>2637</v>
      </c>
      <c r="I2" s="2189" t="str">
        <f>IF(E2="商业",项目基本情况!B38,IF(E2="办公",项目基本情况!C38,IF(E2="住宅",项目基本情况!D38,项目基本情况!E38)))</f>
        <v>Ⅴ-26</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29795</v>
      </c>
      <c r="U2" s="1375">
        <f>Sheet1!D8</f>
        <v>8567.73</v>
      </c>
      <c r="V2" s="1374">
        <f ca="1">ROUND(T2*U2/10000,0)</f>
        <v>25528</v>
      </c>
      <c r="W2" s="1378"/>
      <c r="X2" s="1378"/>
      <c r="Y2" s="1378"/>
      <c r="Z2" s="1378"/>
      <c r="AA2" s="1378"/>
      <c r="AB2" s="1378"/>
      <c r="AC2" s="1379"/>
      <c r="AD2" s="1380"/>
      <c r="AE2" s="1380"/>
      <c r="AF2" s="1380"/>
      <c r="AG2" s="1380"/>
      <c r="AH2" s="1380"/>
      <c r="AI2" s="1380"/>
      <c r="AJ2" s="1381"/>
    </row>
    <row r="3" spans="1:36" ht="15.75">
      <c r="A3" s="209" t="s">
        <v>2639</v>
      </c>
      <c r="B3" s="210">
        <f ca="1">ROUND(B2*10000/D1,0)</f>
        <v>13009</v>
      </c>
      <c r="C3" s="2186" t="s">
        <v>2640</v>
      </c>
      <c r="D3" s="2187" t="s">
        <v>2641</v>
      </c>
      <c r="E3" s="2192" t="s">
        <v>3141</v>
      </c>
      <c r="F3" s="2193" t="s">
        <v>3128</v>
      </c>
      <c r="G3" s="855">
        <f>IF(F3="宗地容积率",'数据-汇总表'!I4,IF(F3="估价对象容积率",'数据-汇总表'!I6,'数据-汇总表'!I7))</f>
        <v>5.07</v>
      </c>
      <c r="H3" s="175" t="s">
        <v>2642</v>
      </c>
      <c r="I3" s="881">
        <v>1</v>
      </c>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21387</v>
      </c>
      <c r="U3" s="1375">
        <f>Sheet1!D9</f>
        <v>11262.54</v>
      </c>
      <c r="V3" s="1374">
        <f t="shared" ref="V3:V16" ca="1" si="1">ROUND(T3*U3/10000,0)</f>
        <v>24087</v>
      </c>
      <c r="W3" s="1378"/>
      <c r="X3" s="1378"/>
      <c r="Y3" s="1378"/>
      <c r="Z3" s="1378"/>
      <c r="AA3" s="1378"/>
      <c r="AB3" s="1378"/>
      <c r="AC3" s="1379"/>
      <c r="AD3" s="1380"/>
      <c r="AE3" s="1380"/>
      <c r="AF3" s="1380"/>
      <c r="AG3" s="1380"/>
      <c r="AH3" s="1380"/>
      <c r="AI3" s="1380"/>
      <c r="AJ3" s="1381"/>
    </row>
    <row r="4" spans="1:36" ht="15.75">
      <c r="A4" s="3299"/>
      <c r="B4" s="3300"/>
      <c r="C4" s="3300"/>
      <c r="D4" s="3301"/>
      <c r="E4" s="3301"/>
      <c r="F4" s="3301"/>
      <c r="G4" s="3301"/>
      <c r="H4" s="3301"/>
      <c r="I4" s="3301"/>
      <c r="J4" s="3302"/>
      <c r="K4" s="1280"/>
      <c r="L4" s="2191"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17254</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f>ROUND(IF(E2="商业",C6*C7+C16,(IF(E2="住宅",C6*C12+C16,C6+C16))),0)</f>
        <v>12960</v>
      </c>
      <c r="D5" s="1524">
        <f>ROUND(C6+C16,0)</f>
        <v>12960</v>
      </c>
      <c r="E5" s="1524"/>
      <c r="F5" s="2196"/>
      <c r="G5" s="2197"/>
      <c r="H5" s="2197"/>
      <c r="I5" s="2197"/>
      <c r="J5" s="2198"/>
      <c r="K5" s="2199"/>
      <c r="L5" s="2191" t="s">
        <v>2647</v>
      </c>
      <c r="M5" s="995">
        <f>SUMPRODUCT((区片价!B76:B109=I2)*(区片价!C3:F3=E2)*(区片价!C76:F109))</f>
        <v>12960</v>
      </c>
      <c r="N5" s="997">
        <f>SUMPRODUCT((因素修正幅度!B76:B109=I2)*(因素修正幅度!C3:F3=E2)*(因素修正幅度!C76:F109))</f>
        <v>9.8000000000000004E-2</v>
      </c>
      <c r="O5" s="1280"/>
      <c r="P5" s="1280"/>
      <c r="Q5" s="1280"/>
      <c r="R5" s="1374">
        <v>4</v>
      </c>
      <c r="S5" s="1374">
        <f>ROUND(IF(G3&gt;1,IF(R5&lt;7,SUMPRODUCT((B93:B98=R5)*(C92:N92=G2)*(C93:N98)),SUMIF(C92:N92,G2,C100:N100)),IF(R5&lt;7,SUMPRODUCT((B102:B107=R5)*(C92:N92=G2)*(C102:N107)),SUMIF(C92:N92,G2,C109:N109))),4)</f>
        <v>0.86560000000000004</v>
      </c>
      <c r="T5" s="1374">
        <f t="shared" ca="1" si="0"/>
        <v>13845</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12960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11789</v>
      </c>
      <c r="U6" s="1375"/>
      <c r="V6" s="1374">
        <f t="shared" ca="1" si="1"/>
        <v>0</v>
      </c>
      <c r="W6" s="1378"/>
      <c r="X6" s="1378"/>
      <c r="Y6" s="1378"/>
      <c r="Z6" s="1378"/>
      <c r="AA6" s="1378"/>
      <c r="AB6" s="1378"/>
      <c r="AC6" s="2200"/>
      <c r="AD6" s="2201"/>
      <c r="AE6" s="2201"/>
      <c r="AF6" s="2201"/>
      <c r="AG6" s="2201"/>
      <c r="AH6" s="2201"/>
      <c r="AI6" s="2201"/>
      <c r="AJ6" s="2202"/>
    </row>
    <row r="7" spans="1:36" ht="24">
      <c r="A7" s="3280" t="str">
        <f>IF(E2="商业",IF(C8="不临58条商业街","",2),"")</f>
        <v/>
      </c>
      <c r="B7" s="2210" t="s">
        <v>2652</v>
      </c>
      <c r="C7" s="858">
        <f>IF(C8="不临58条商业街",1,ROUND(1+(1.6*E8+1.2*E9+0.8*E10+0.4*E11)*C9,4))</f>
        <v>1</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10367</v>
      </c>
      <c r="U7" s="1375"/>
      <c r="V7" s="1374">
        <f t="shared" ca="1" si="1"/>
        <v>0</v>
      </c>
      <c r="W7" s="1543" t="s">
        <v>2655</v>
      </c>
      <c r="X7" s="1376" t="str">
        <f>G2</f>
        <v>五级</v>
      </c>
      <c r="Y7" s="1376" t="s">
        <v>2656</v>
      </c>
      <c r="Z7" s="1377">
        <f>G3</f>
        <v>5.07</v>
      </c>
      <c r="AA7" s="1378"/>
      <c r="AB7" s="1378"/>
      <c r="AC7" s="1379"/>
      <c r="AD7" s="1380"/>
      <c r="AE7" s="1380"/>
      <c r="AF7" s="1380"/>
      <c r="AG7" s="1380"/>
      <c r="AH7" s="1380"/>
      <c r="AI7" s="1380"/>
      <c r="AJ7" s="1381"/>
    </row>
    <row r="8" spans="1:36" ht="25.5">
      <c r="A8" s="3303"/>
      <c r="B8" s="175" t="s">
        <v>2657</v>
      </c>
      <c r="C8" s="2215" t="s">
        <v>3093</v>
      </c>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96" t="s">
        <v>2660</v>
      </c>
      <c r="X8" s="3297"/>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03"/>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98"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03"/>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9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03"/>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98" t="s">
        <v>2684</v>
      </c>
      <c r="X11" s="1386" t="s">
        <v>2685</v>
      </c>
      <c r="Y11" s="1387">
        <f>$G$3</f>
        <v>5.07</v>
      </c>
      <c r="Z11" s="1387">
        <f t="shared" ref="Z11:AJ11" si="3">$G$3</f>
        <v>5.07</v>
      </c>
      <c r="AA11" s="1387">
        <f t="shared" si="3"/>
        <v>5.07</v>
      </c>
      <c r="AB11" s="1387">
        <f t="shared" si="3"/>
        <v>5.07</v>
      </c>
      <c r="AC11" s="1387">
        <f t="shared" si="3"/>
        <v>5.07</v>
      </c>
      <c r="AD11" s="1387">
        <f t="shared" si="3"/>
        <v>5.07</v>
      </c>
      <c r="AE11" s="1387">
        <f t="shared" si="3"/>
        <v>5.07</v>
      </c>
      <c r="AF11" s="1387">
        <f t="shared" si="3"/>
        <v>5.07</v>
      </c>
      <c r="AG11" s="1387">
        <f t="shared" si="3"/>
        <v>5.07</v>
      </c>
      <c r="AH11" s="1387">
        <f t="shared" si="3"/>
        <v>5.07</v>
      </c>
      <c r="AI11" s="1387">
        <f t="shared" si="3"/>
        <v>5.07</v>
      </c>
      <c r="AJ11" s="1387">
        <f t="shared" si="3"/>
        <v>5.07</v>
      </c>
    </row>
    <row r="12" spans="1:36" ht="25.5" thickBot="1">
      <c r="A12" s="3280"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98"/>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04"/>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f t="shared" ca="1" si="0"/>
        <v>0</v>
      </c>
      <c r="U13" s="1375"/>
      <c r="V13" s="1374">
        <f t="shared" ca="1" si="1"/>
        <v>0</v>
      </c>
      <c r="W13" s="3298"/>
      <c r="X13" s="1388"/>
      <c r="Y13" s="1385">
        <f>(-0.163*(Y12^2)-0.59*Y12+7617)*(10^(-4))/Y11</f>
        <v>0.15023668639053253</v>
      </c>
      <c r="Z13" s="1385">
        <f t="shared" ref="Z13:AJ13" si="5">(-0.163*(Z12^2)-0.59*Z12+7617)*(10^(-4))/Z11</f>
        <v>0.15023668639053253</v>
      </c>
      <c r="AA13" s="1385">
        <f t="shared" si="5"/>
        <v>0.15023668639053253</v>
      </c>
      <c r="AB13" s="1385">
        <f t="shared" si="5"/>
        <v>0.15023668639053253</v>
      </c>
      <c r="AC13" s="1385">
        <f t="shared" si="5"/>
        <v>0.15023668639053253</v>
      </c>
      <c r="AD13" s="1385">
        <f t="shared" si="5"/>
        <v>0.15023668639053253</v>
      </c>
      <c r="AE13" s="1385">
        <f t="shared" si="5"/>
        <v>0.15023668639053253</v>
      </c>
      <c r="AF13" s="1385">
        <f t="shared" si="5"/>
        <v>0.15023668639053253</v>
      </c>
      <c r="AG13" s="1385">
        <f t="shared" si="5"/>
        <v>0.15023668639053253</v>
      </c>
      <c r="AH13" s="1385">
        <f t="shared" si="5"/>
        <v>0.15023668639053253</v>
      </c>
      <c r="AI13" s="1385">
        <f t="shared" si="5"/>
        <v>0.15023668639053253</v>
      </c>
      <c r="AJ13" s="1385">
        <f t="shared" si="5"/>
        <v>0.15023668639053253</v>
      </c>
    </row>
    <row r="14" spans="1:36" ht="15">
      <c r="A14" s="3304"/>
      <c r="B14" s="2233"/>
      <c r="C14" s="2234"/>
      <c r="D14" s="2235"/>
      <c r="E14" s="2235"/>
      <c r="F14" s="2236"/>
      <c r="G14" s="2237" t="s">
        <v>2697</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05"/>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80" t="s">
        <v>2703</v>
      </c>
      <c r="B16" s="2210" t="s">
        <v>2704</v>
      </c>
      <c r="C16" s="2372">
        <f>ROUND(IF(F17="与级别开发程度一致",0,(G17-E17)/C17),0)</f>
        <v>0</v>
      </c>
      <c r="D16" s="3293" t="s">
        <v>2708</v>
      </c>
      <c r="E16" s="3294"/>
      <c r="F16" s="3293" t="s">
        <v>2705</v>
      </c>
      <c r="G16" s="3294"/>
      <c r="H16" s="2242" t="s">
        <v>3094</v>
      </c>
      <c r="I16" s="2242" t="s">
        <v>3095</v>
      </c>
      <c r="J16" s="2376" t="s">
        <v>3096</v>
      </c>
      <c r="K16" s="2242" t="s">
        <v>3097</v>
      </c>
      <c r="L16" s="2242" t="s">
        <v>3098</v>
      </c>
      <c r="M16" s="2242" t="s">
        <v>3099</v>
      </c>
      <c r="N16" s="2242" t="s">
        <v>3100</v>
      </c>
      <c r="O16" s="2243" t="s">
        <v>3101</v>
      </c>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81"/>
      <c r="B17" s="2383" t="s">
        <v>2707</v>
      </c>
      <c r="C17" s="2384">
        <f>SUMPRODUCT((修正!A2:A5=E2)*(修正!B1:M1=G2)*(修正!B2:M5))</f>
        <v>2.5</v>
      </c>
      <c r="D17" s="193" t="str">
        <f>IF(OR(G2="八级",G2="九级",G2="十级",G2="十一级",G2="十二级"),"五通一平","七通一平")</f>
        <v>七通一平</v>
      </c>
      <c r="E17" s="2373">
        <f>SUMPRODUCT((修正!B1:M1=G2)*(修正!B15:M15))</f>
        <v>300</v>
      </c>
      <c r="F17" s="2374" t="s">
        <v>3102</v>
      </c>
      <c r="G17" s="2375">
        <f>SUM(H17:O17)</f>
        <v>300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50</v>
      </c>
      <c r="N17" s="2384">
        <f>SUMPRODUCT((七通一平=N16)*(修正!B1:M1=G2)*(修正!B6:M14))</f>
        <v>40</v>
      </c>
      <c r="O17" s="2386">
        <f>SUMPRODUCT((七通一平=O16)*(修正!B1:M1=G2)*(修正!B6:M14))</f>
        <v>15</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9.25" thickBot="1">
      <c r="A19" s="2247" t="s">
        <v>809</v>
      </c>
      <c r="B19" s="2248" t="s">
        <v>2711</v>
      </c>
      <c r="C19" s="863">
        <f>ROUND(IF(H19="按公示增长率计算",SUMPRODUCT((地价!A3:A33=YEAR(G19)&amp;"-"&amp;ROUNDUP(MONTH(G19)/3,0))*(地价!X2:AB2=E2)*(地价!X3:AB33)),IF(H19="地价指数",M20/M19,(1+I19)^O19)),4)</f>
        <v>1.3420000000000001</v>
      </c>
      <c r="D19" s="2252" t="s">
        <v>2712</v>
      </c>
      <c r="E19" s="864">
        <v>41640</v>
      </c>
      <c r="F19" s="2252" t="s">
        <v>2713</v>
      </c>
      <c r="G19" s="865">
        <f>'数据-取费表'!B2</f>
        <v>44256</v>
      </c>
      <c r="H19" s="2253" t="s">
        <v>3103</v>
      </c>
      <c r="I19" s="866" t="str">
        <f>IF(H19="季度增幅（自定义）",SUMIF(N21:N24,E2,O21:O24),"")</f>
        <v/>
      </c>
      <c r="J19" s="2250"/>
      <c r="K19" s="1287"/>
      <c r="L19" s="2254" t="s">
        <v>2714</v>
      </c>
      <c r="M19" s="1497">
        <f>ROUND(SUMIF(地价!B2:F2,E2,地价!B33:F33),0)</f>
        <v>258</v>
      </c>
      <c r="N19" s="2255"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0.88980000000000004</v>
      </c>
      <c r="D20" s="2259" t="s">
        <v>2717</v>
      </c>
      <c r="E20" s="1506">
        <f ca="1">存贷款利率!D4/100</f>
        <v>3.85E-2</v>
      </c>
      <c r="F20" s="2259" t="s">
        <v>2709</v>
      </c>
      <c r="G20" s="873">
        <f ca="1">SUMIF(M26:P26,E2,M28:P28)</f>
        <v>4.8000000000000001E-2</v>
      </c>
      <c r="H20" s="2259" t="s">
        <v>2718</v>
      </c>
      <c r="I20" s="874">
        <f>SUMIF('数据-取费表'!C6:C15,E2,'数据-取费表'!F6:F15)/COUNTIF('数据-取费表'!C6:C15,E2)</f>
        <v>29.86</v>
      </c>
      <c r="J20" s="875">
        <f>IF(E2="住宅",70,IF(E2="商业",40,50))</f>
        <v>40</v>
      </c>
      <c r="K20" s="1287"/>
      <c r="L20" s="2260" t="s">
        <v>2719</v>
      </c>
      <c r="M20" s="1498">
        <f>ROUND(SUMPRODUCT((地价!A4:A33=YEAR(G19)&amp;"-"&amp;ROUNDUP(MONTH(G19)/3,0))*(地价!B2:F2=E2)*(地价!B4:F33)),0)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3104</v>
      </c>
      <c r="C21" s="876">
        <f>IF(B21="容积率修正",IF(G3&lt;=10,D22,J22),C23)</f>
        <v>1.8629</v>
      </c>
      <c r="D21" s="2266"/>
      <c r="E21" s="2266"/>
      <c r="F21" s="2266"/>
      <c r="G21" s="2266"/>
      <c r="H21" s="2266"/>
      <c r="I21" s="2266"/>
      <c r="J21" s="2267"/>
      <c r="K21" s="1287"/>
      <c r="L21" s="3020"/>
      <c r="M21" s="3020"/>
      <c r="N21" s="2268" t="s">
        <v>2723</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0.81859999999999999</v>
      </c>
      <c r="E22" s="855">
        <f>ROUNDDOWN(G3,1)</f>
        <v>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5">
        <f>ROUNDUP(G3,1)</f>
        <v>5.0999999999999996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7" t="s">
        <v>155</v>
      </c>
      <c r="J22" s="877" t="str">
        <f>IF(G3&gt;10,D113,"——")</f>
        <v>——</v>
      </c>
      <c r="K22" s="1287"/>
      <c r="L22" s="3020"/>
      <c r="M22" s="3020"/>
      <c r="N22" s="2268" t="s">
        <v>2727</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1.8629</v>
      </c>
      <c r="D23" s="2238"/>
      <c r="E23" s="2238"/>
      <c r="F23" s="2271"/>
      <c r="G23" s="2272"/>
      <c r="H23" s="2273"/>
      <c r="I23" s="2274"/>
      <c r="J23" s="2275"/>
      <c r="K23" s="1280"/>
      <c r="L23" s="2184"/>
      <c r="M23" s="2184"/>
      <c r="N23" s="2268" t="s">
        <v>2730</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1.0335000000000001</v>
      </c>
      <c r="D24" s="2249"/>
      <c r="E24" s="2276"/>
      <c r="F24" s="2276"/>
      <c r="G24" s="2276"/>
      <c r="H24" s="2276"/>
      <c r="I24" s="2276"/>
      <c r="J24" s="2277"/>
      <c r="K24" s="1287"/>
      <c r="L24" s="3020"/>
      <c r="M24" s="3020"/>
      <c r="N24" s="2278" t="s">
        <v>2732</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81493</v>
      </c>
      <c r="D26" s="2282"/>
      <c r="E26" s="2238"/>
      <c r="F26" s="2283"/>
      <c r="G26" s="2238"/>
      <c r="H26" s="2238"/>
      <c r="I26" s="2238"/>
      <c r="J26" s="2284"/>
      <c r="K26" s="1280"/>
      <c r="L26" s="3018" t="s">
        <v>2635</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7971</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29795</v>
      </c>
      <c r="D29" s="2297"/>
      <c r="E29" s="879">
        <f ca="1">ROUND(C29*D29/10000,0)</f>
        <v>0</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7449</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90"/>
      <c r="B33" s="2313" t="s">
        <v>2749</v>
      </c>
      <c r="C33" s="180">
        <f ca="1">ROUND(D5*C19*C20*C24*F33,0)</f>
        <v>11196</v>
      </c>
      <c r="D33" s="2297">
        <f>Sheet1!E10</f>
        <v>2297.4300000000003</v>
      </c>
      <c r="E33" s="176">
        <f ca="1">ROUND(C33*D33/10000,0)</f>
        <v>2572</v>
      </c>
      <c r="F33" s="176">
        <f>SUMIF(修正!A45:A56,G2,修正!B45:B56)</f>
        <v>0.7</v>
      </c>
      <c r="G33" s="176">
        <f t="shared" ref="G33" ca="1" si="6">ROUND(IF(E2="工业",C33*$M$39,C33*$M$38),0)</f>
        <v>2799</v>
      </c>
      <c r="H33" s="176">
        <f>D33</f>
        <v>2297.4300000000003</v>
      </c>
      <c r="I33" s="176">
        <f ca="1">ROUND(G33*H33/10000,0)</f>
        <v>643</v>
      </c>
      <c r="J33" s="3295"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91"/>
      <c r="B34" s="2230" t="s">
        <v>2750</v>
      </c>
      <c r="C34" s="180">
        <f ca="1">ROUND(D5*C19*C20*C24*F34,0)</f>
        <v>6398</v>
      </c>
      <c r="D34" s="2297">
        <f>Sheet1!E11</f>
        <v>29689.33</v>
      </c>
      <c r="E34" s="176">
        <f t="shared" ref="E34:E39" ca="1" si="7">ROUND(C34*D34/10000,0)</f>
        <v>18995</v>
      </c>
      <c r="F34" s="176">
        <f>SUMIF(修正!A45:A56,G2,修正!C45:C56)</f>
        <v>0.4</v>
      </c>
      <c r="G34" s="176">
        <f ca="1">ROUND(IF(E2="工业",C34*$M$39,C34*$M$38),0)</f>
        <v>1600</v>
      </c>
      <c r="H34" s="176">
        <f t="shared" ref="H34:H39" si="8">D34</f>
        <v>29689.33</v>
      </c>
      <c r="I34" s="176">
        <f t="shared" ref="I34:I39" ca="1" si="9">ROUND(G34*H34/10000,0)</f>
        <v>4750</v>
      </c>
      <c r="J34" s="32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91"/>
      <c r="B35" s="2230" t="s">
        <v>2751</v>
      </c>
      <c r="C35" s="180">
        <f ca="1">ROUND(D5*C19*C20*C24*F35,0)</f>
        <v>4478</v>
      </c>
      <c r="D35" s="2297"/>
      <c r="E35" s="176">
        <f t="shared" ca="1" si="7"/>
        <v>0</v>
      </c>
      <c r="F35" s="176">
        <f>SUMIF(修正!A45:A56,G2,修正!D45:D56)</f>
        <v>0.28000000000000003</v>
      </c>
      <c r="G35" s="176">
        <f ca="1">ROUND(IF(E2="工业",C35*$M$39,C35*$M$38),0)</f>
        <v>1120</v>
      </c>
      <c r="H35" s="176">
        <f t="shared" si="8"/>
        <v>0</v>
      </c>
      <c r="I35" s="176">
        <f t="shared" ca="1" si="9"/>
        <v>0</v>
      </c>
      <c r="J35" s="32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92"/>
      <c r="B36" s="2230" t="s">
        <v>2752</v>
      </c>
      <c r="C36" s="180">
        <f ca="1">ROUND(D5*C19*C20*C24*F36,0)</f>
        <v>3999</v>
      </c>
      <c r="D36" s="2297"/>
      <c r="E36" s="176">
        <f t="shared" ca="1" si="7"/>
        <v>0</v>
      </c>
      <c r="F36" s="176">
        <f>SUMIF(修正!A45:A56,G2,修正!E45:E56)</f>
        <v>0.25</v>
      </c>
      <c r="G36" s="176">
        <f ca="1">ROUND(IF(E2="工业",C36*$M$39,C36*$M$38),0)</f>
        <v>1000</v>
      </c>
      <c r="H36" s="176">
        <f t="shared" si="8"/>
        <v>0</v>
      </c>
      <c r="I36" s="176">
        <f t="shared" ca="1" si="9"/>
        <v>0</v>
      </c>
      <c r="J36" s="3292"/>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3999</v>
      </c>
      <c r="D37" s="2297"/>
      <c r="E37" s="176">
        <f t="shared" ca="1" si="7"/>
        <v>0</v>
      </c>
      <c r="F37" s="180">
        <f>SUMIF(修正!A45:A56,G2,修正!F45:F56)</f>
        <v>0.25</v>
      </c>
      <c r="G37" s="176">
        <f ca="1">ROUND(IF(E2="工业",C37*$M$39,C37*$M$38),0)</f>
        <v>1000</v>
      </c>
      <c r="H37" s="176">
        <f t="shared" si="8"/>
        <v>0</v>
      </c>
      <c r="I37" s="176">
        <f t="shared" ca="1" si="9"/>
        <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4204</v>
      </c>
      <c r="D38" s="2297"/>
      <c r="E38" s="176">
        <f t="shared" ca="1" si="7"/>
        <v>0</v>
      </c>
      <c r="F38" s="180">
        <f>SUMIF(修正!A45:A56,G2,修正!G45:G56)</f>
        <v>0.25</v>
      </c>
      <c r="G38" s="176">
        <f ca="1">ROUND(IF(E2="工业",C38*$M$39,C38*$M$38),0)</f>
        <v>1051</v>
      </c>
      <c r="H38" s="176">
        <f t="shared" si="8"/>
        <v>0</v>
      </c>
      <c r="I38" s="176">
        <f t="shared" ca="1" si="9"/>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3363</v>
      </c>
      <c r="D39" s="2303">
        <f>Sheet1!E12</f>
        <v>30659.07</v>
      </c>
      <c r="E39" s="193">
        <f t="shared" ca="1" si="7"/>
        <v>10311</v>
      </c>
      <c r="F39" s="871">
        <f>SUMIF(修正!A45:A56,G2,修正!H45:H56)</f>
        <v>0.2</v>
      </c>
      <c r="G39" s="193">
        <f ca="1">ROUND(IF(E2="工业",C39*$M$39,C39*$M$38),0)</f>
        <v>841</v>
      </c>
      <c r="H39" s="193">
        <f t="shared" si="8"/>
        <v>30659.07</v>
      </c>
      <c r="I39" s="193">
        <f t="shared" ca="1" si="9"/>
        <v>2578</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0.9355</v>
      </c>
      <c r="D41" s="176" t="s">
        <v>2709</v>
      </c>
      <c r="E41" s="2370">
        <f ca="1">G20</f>
        <v>4.8000000000000001E-2</v>
      </c>
      <c r="F41" s="176" t="s">
        <v>2718</v>
      </c>
      <c r="G41" s="189">
        <f>项目基本情况!G15</f>
        <v>39.869999999999997</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1.0335000000000001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t="s">
        <v>3105</v>
      </c>
      <c r="D48" s="1196">
        <f t="shared" ref="D48:D56" si="10">SUMIF($J$47:$N$47,C48,J48:N48)</f>
        <v>0</v>
      </c>
      <c r="E48" s="760">
        <f>ROUND(SUM(D48:D56),4)</f>
        <v>3.3500000000000002E-2</v>
      </c>
      <c r="F48" s="2001">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t="s">
        <v>3106</v>
      </c>
      <c r="D49" s="1196">
        <f t="shared" si="10"/>
        <v>1.2200000000000001E-2</v>
      </c>
      <c r="E49" s="761"/>
      <c r="F49" s="2001"/>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t="s">
        <v>3106</v>
      </c>
      <c r="D50" s="1196">
        <f t="shared" si="10"/>
        <v>2.3999999999999998E-3</v>
      </c>
      <c r="E50" s="761"/>
      <c r="F50" s="2001"/>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30" t="s">
        <v>2771</v>
      </c>
      <c r="B51" s="2335" t="s">
        <v>2772</v>
      </c>
      <c r="C51" s="2235" t="s">
        <v>3106</v>
      </c>
      <c r="D51" s="1196">
        <f t="shared" si="10"/>
        <v>2.3999999999999998E-3</v>
      </c>
      <c r="E51" s="761"/>
      <c r="F51" s="2001"/>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t="s">
        <v>3105</v>
      </c>
      <c r="D52" s="1196">
        <f t="shared" si="10"/>
        <v>0</v>
      </c>
      <c r="E52" s="761"/>
      <c r="F52" s="2001"/>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30" t="s">
        <v>2774</v>
      </c>
      <c r="B53" s="2336" t="s">
        <v>2775</v>
      </c>
      <c r="C53" s="2235" t="s">
        <v>3106</v>
      </c>
      <c r="D53" s="1196">
        <f t="shared" si="10"/>
        <v>1.4E-3</v>
      </c>
      <c r="E53" s="761"/>
      <c r="F53" s="2001"/>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t="s">
        <v>3106</v>
      </c>
      <c r="D54" s="1196">
        <f t="shared" si="10"/>
        <v>2.3999999999999998E-3</v>
      </c>
      <c r="E54" s="761"/>
      <c r="F54" s="2001"/>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t="s">
        <v>3107</v>
      </c>
      <c r="D55" s="1196">
        <f t="shared" si="10"/>
        <v>9.7999999999999997E-3</v>
      </c>
      <c r="E55" s="761"/>
      <c r="F55" s="2001"/>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t="s">
        <v>3106</v>
      </c>
      <c r="D56" s="1196">
        <f t="shared" si="10"/>
        <v>2.8999999999999998E-3</v>
      </c>
      <c r="E56" s="764"/>
      <c r="F56" s="2001"/>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6">SUMIF($J$58:$N$58,C59,J59:N59)</f>
        <v>0</v>
      </c>
      <c r="E59" s="760">
        <f>ROUND(SUM(D59:D67),4)</f>
        <v>0</v>
      </c>
      <c r="F59" s="2001"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6"/>
        <v>0</v>
      </c>
      <c r="E60" s="761"/>
      <c r="F60" s="2001"/>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6"/>
        <v>0</v>
      </c>
      <c r="E61" s="761"/>
      <c r="F61" s="2001"/>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6"/>
        <v>0</v>
      </c>
      <c r="E62" s="761"/>
      <c r="F62" s="2001"/>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6"/>
        <v>0</v>
      </c>
      <c r="E63" s="761"/>
      <c r="F63" s="2001"/>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6"/>
        <v>0</v>
      </c>
      <c r="E64" s="761"/>
      <c r="F64" s="2001"/>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6"/>
        <v>0</v>
      </c>
      <c r="E65" s="761"/>
      <c r="F65" s="2001"/>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6"/>
        <v>0</v>
      </c>
      <c r="E66" s="761"/>
      <c r="F66" s="2001"/>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6"/>
        <v>0</v>
      </c>
      <c r="E67" s="764"/>
      <c r="F67" s="2001"/>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2785</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2418</v>
      </c>
      <c r="K80" s="560" t="s">
        <v>2419</v>
      </c>
      <c r="L80" s="560" t="s">
        <v>2420</v>
      </c>
      <c r="M80" s="560" t="s">
        <v>2421</v>
      </c>
      <c r="N80" s="560" t="s">
        <v>2422</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2770</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2784</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2776</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2777</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2774</v>
      </c>
      <c r="B87" s="2336" t="s">
        <v>2788</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82" t="s">
        <v>2790</v>
      </c>
      <c r="B90" s="3282"/>
      <c r="C90" s="3282"/>
      <c r="D90" s="3282"/>
      <c r="E90" s="3282"/>
      <c r="F90" s="3282"/>
      <c r="G90" s="3282"/>
      <c r="H90" s="3282"/>
      <c r="I90" s="3282"/>
      <c r="J90" s="3282"/>
      <c r="K90" s="2344"/>
      <c r="L90" s="2344"/>
      <c r="M90" s="2344"/>
      <c r="N90" s="2344"/>
    </row>
    <row r="91" spans="1:37">
      <c r="A91" s="3284" t="s">
        <v>2791</v>
      </c>
      <c r="B91" s="3284" t="s">
        <v>2792</v>
      </c>
      <c r="C91" s="2298" t="s">
        <v>2793</v>
      </c>
      <c r="D91" s="2299"/>
      <c r="E91" s="2299"/>
      <c r="F91" s="2299"/>
      <c r="G91" s="2299"/>
      <c r="H91" s="2299"/>
      <c r="I91" s="2299"/>
      <c r="J91" s="2345"/>
      <c r="K91" s="2346"/>
      <c r="L91" s="2346"/>
      <c r="M91" s="2346"/>
      <c r="N91" s="2346"/>
    </row>
    <row r="92" spans="1:37">
      <c r="A92" s="3284"/>
      <c r="B92" s="3284"/>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85"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86"/>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86"/>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86"/>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86"/>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86"/>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86"/>
      <c r="B99" s="2347" t="s">
        <v>2677</v>
      </c>
      <c r="C99" s="2349">
        <f>$I$3</f>
        <v>1</v>
      </c>
      <c r="D99" s="2349">
        <f t="shared" ref="D99:M99" si="31">$I$3</f>
        <v>1</v>
      </c>
      <c r="E99" s="2349">
        <f t="shared" si="31"/>
        <v>1</v>
      </c>
      <c r="F99" s="2349">
        <f t="shared" si="31"/>
        <v>1</v>
      </c>
      <c r="G99" s="2349">
        <f t="shared" si="31"/>
        <v>1</v>
      </c>
      <c r="H99" s="2349">
        <f t="shared" si="31"/>
        <v>1</v>
      </c>
      <c r="I99" s="2349">
        <f t="shared" si="31"/>
        <v>1</v>
      </c>
      <c r="J99" s="2349">
        <f t="shared" si="31"/>
        <v>1</v>
      </c>
      <c r="K99" s="2349">
        <f t="shared" si="31"/>
        <v>1</v>
      </c>
      <c r="L99" s="2349">
        <f t="shared" si="31"/>
        <v>1</v>
      </c>
      <c r="M99" s="2349">
        <f t="shared" si="31"/>
        <v>1</v>
      </c>
      <c r="N99" s="2349">
        <f>$I$3</f>
        <v>1</v>
      </c>
    </row>
    <row r="100" spans="1:14">
      <c r="A100" s="3287"/>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285" t="s">
        <v>2795</v>
      </c>
      <c r="B101" s="2351" t="s">
        <v>2796</v>
      </c>
      <c r="C101" s="2352">
        <f>$G$3</f>
        <v>5.07</v>
      </c>
      <c r="D101" s="2352">
        <f t="shared" ref="D101:N101" si="32">$G$3</f>
        <v>5.07</v>
      </c>
      <c r="E101" s="2352">
        <f t="shared" si="32"/>
        <v>5.07</v>
      </c>
      <c r="F101" s="2352">
        <f t="shared" si="32"/>
        <v>5.07</v>
      </c>
      <c r="G101" s="2352">
        <f t="shared" si="32"/>
        <v>5.07</v>
      </c>
      <c r="H101" s="2352">
        <f t="shared" si="32"/>
        <v>5.07</v>
      </c>
      <c r="I101" s="2352">
        <f t="shared" si="32"/>
        <v>5.07</v>
      </c>
      <c r="J101" s="2352">
        <f t="shared" si="32"/>
        <v>5.07</v>
      </c>
      <c r="K101" s="2352">
        <f t="shared" si="32"/>
        <v>5.07</v>
      </c>
      <c r="L101" s="2352">
        <f t="shared" si="32"/>
        <v>5.07</v>
      </c>
      <c r="M101" s="2352">
        <f t="shared" si="32"/>
        <v>5.07</v>
      </c>
      <c r="N101" s="2352">
        <f t="shared" si="32"/>
        <v>5.07</v>
      </c>
    </row>
    <row r="102" spans="1:14">
      <c r="A102" s="3286"/>
      <c r="B102" s="2347">
        <v>1</v>
      </c>
      <c r="C102" s="2348">
        <f>1.9362/C101</f>
        <v>0.3818934911242603</v>
      </c>
      <c r="D102" s="2348">
        <f>1.9362/D101</f>
        <v>0.3818934911242603</v>
      </c>
      <c r="E102" s="2348">
        <f>1.8629/E101</f>
        <v>0.36743589743589744</v>
      </c>
      <c r="F102" s="2348">
        <f>1.8629/F101</f>
        <v>0.36743589743589744</v>
      </c>
      <c r="G102" s="2348">
        <f>1.8629/G101</f>
        <v>0.36743589743589744</v>
      </c>
      <c r="H102" s="2348">
        <f>1.8629/H101</f>
        <v>0.36743589743589744</v>
      </c>
      <c r="I102" s="2348">
        <f>1.8629/I101</f>
        <v>0.36743589743589744</v>
      </c>
      <c r="J102" s="2348">
        <f>1.942/J101</f>
        <v>0.38303747534516763</v>
      </c>
      <c r="K102" s="2348">
        <f>1.942/K101</f>
        <v>0.38303747534516763</v>
      </c>
      <c r="L102" s="2348">
        <f>1.942/L101</f>
        <v>0.38303747534516763</v>
      </c>
      <c r="M102" s="2348">
        <f>1.942/M101</f>
        <v>0.38303747534516763</v>
      </c>
      <c r="N102" s="2348">
        <f>1.942/N101</f>
        <v>0.38303747534516763</v>
      </c>
    </row>
    <row r="103" spans="1:14">
      <c r="A103" s="3286"/>
      <c r="B103" s="2347">
        <v>2</v>
      </c>
      <c r="C103" s="2348">
        <f>1.4198/C101</f>
        <v>0.28003944773175538</v>
      </c>
      <c r="D103" s="2348">
        <f>1.4198/D101</f>
        <v>0.28003944773175538</v>
      </c>
      <c r="E103" s="2348">
        <f>1.3372/E101</f>
        <v>0.26374753451676525</v>
      </c>
      <c r="F103" s="2348">
        <f>1.3372/F101</f>
        <v>0.26374753451676525</v>
      </c>
      <c r="G103" s="2348">
        <f>1.3372/G101</f>
        <v>0.26374753451676525</v>
      </c>
      <c r="H103" s="2348">
        <f>1.3372/H101</f>
        <v>0.26374753451676525</v>
      </c>
      <c r="I103" s="2348">
        <f>1.3372/I101</f>
        <v>0.26374753451676525</v>
      </c>
      <c r="J103" s="2348">
        <f>1.2799/J101</f>
        <v>0.25244575936883629</v>
      </c>
      <c r="K103" s="2348">
        <f>1.2799/K101</f>
        <v>0.25244575936883629</v>
      </c>
      <c r="L103" s="2348">
        <f>1.2799/L101</f>
        <v>0.25244575936883629</v>
      </c>
      <c r="M103" s="2348">
        <f>1.2799/M101</f>
        <v>0.25244575936883629</v>
      </c>
      <c r="N103" s="2348">
        <f>1.2799/N101</f>
        <v>0.25244575936883629</v>
      </c>
    </row>
    <row r="104" spans="1:14">
      <c r="A104" s="3286"/>
      <c r="B104" s="2347">
        <v>3</v>
      </c>
      <c r="C104" s="2348">
        <f>1.1594/C101</f>
        <v>0.22867850098619327</v>
      </c>
      <c r="D104" s="2348">
        <f>1.1594/D101</f>
        <v>0.22867850098619327</v>
      </c>
      <c r="E104" s="2348">
        <f>1.0788/E101</f>
        <v>0.21278106508875738</v>
      </c>
      <c r="F104" s="2348">
        <f>1.0788/F101</f>
        <v>0.21278106508875738</v>
      </c>
      <c r="G104" s="2348">
        <f>1.0788/G101</f>
        <v>0.21278106508875738</v>
      </c>
      <c r="H104" s="2348">
        <f>1.0788/H101</f>
        <v>0.21278106508875738</v>
      </c>
      <c r="I104" s="2348">
        <f>1.0788/I101</f>
        <v>0.21278106508875738</v>
      </c>
      <c r="J104" s="2348">
        <f>1.0072/J101</f>
        <v>0.1986587771203156</v>
      </c>
      <c r="K104" s="2348">
        <f>1.0072/K101</f>
        <v>0.1986587771203156</v>
      </c>
      <c r="L104" s="2348">
        <f>1.0072/L101</f>
        <v>0.1986587771203156</v>
      </c>
      <c r="M104" s="2348">
        <f>1.0072/M101</f>
        <v>0.1986587771203156</v>
      </c>
      <c r="N104" s="2348">
        <f>1.0072/N101</f>
        <v>0.1986587771203156</v>
      </c>
    </row>
    <row r="105" spans="1:14">
      <c r="A105" s="3286"/>
      <c r="B105" s="2347">
        <v>4</v>
      </c>
      <c r="C105" s="2348">
        <f>0.9622/C101</f>
        <v>0.18978303747534517</v>
      </c>
      <c r="D105" s="2348">
        <f>0.9622/D101</f>
        <v>0.18978303747534517</v>
      </c>
      <c r="E105" s="2348">
        <f>0.8656/E101</f>
        <v>0.17072978303747535</v>
      </c>
      <c r="F105" s="2348">
        <f>0.8656/F101</f>
        <v>0.17072978303747535</v>
      </c>
      <c r="G105" s="2348">
        <f>0.8656/G101</f>
        <v>0.17072978303747535</v>
      </c>
      <c r="H105" s="2348">
        <f>0.8656/H101</f>
        <v>0.17072978303747535</v>
      </c>
      <c r="I105" s="2348">
        <f>0.8656/I101</f>
        <v>0.17072978303747535</v>
      </c>
      <c r="J105" s="2348">
        <f>0.7525/J101</f>
        <v>0.14842209072978302</v>
      </c>
      <c r="K105" s="2348">
        <f>0.7525/K101</f>
        <v>0.14842209072978302</v>
      </c>
      <c r="L105" s="2348">
        <f>0.7525/L101</f>
        <v>0.14842209072978302</v>
      </c>
      <c r="M105" s="2348">
        <f>0.7525/M101</f>
        <v>0.14842209072978302</v>
      </c>
      <c r="N105" s="2348">
        <f>0.7525/N101</f>
        <v>0.14842209072978302</v>
      </c>
    </row>
    <row r="106" spans="1:14">
      <c r="A106" s="3286"/>
      <c r="B106" s="2347">
        <v>5</v>
      </c>
      <c r="C106" s="2348">
        <f>0.8417/C101</f>
        <v>0.16601577909270215</v>
      </c>
      <c r="D106" s="2348">
        <f>0.8417/D101</f>
        <v>0.16601577909270215</v>
      </c>
      <c r="E106" s="2348">
        <f>0.7371/E101</f>
        <v>0.14538461538461536</v>
      </c>
      <c r="F106" s="2348">
        <f>0.7371/F101</f>
        <v>0.14538461538461536</v>
      </c>
      <c r="G106" s="2348">
        <f>0.7371/G101</f>
        <v>0.14538461538461536</v>
      </c>
      <c r="H106" s="2348">
        <f>0.7371/H101</f>
        <v>0.14538461538461536</v>
      </c>
      <c r="I106" s="2348">
        <f>0.7371/I101</f>
        <v>0.14538461538461536</v>
      </c>
      <c r="J106" s="2348">
        <f>0.5659/J101</f>
        <v>0.11161735700197237</v>
      </c>
      <c r="K106" s="2348">
        <f>0.5659/K101</f>
        <v>0.11161735700197237</v>
      </c>
      <c r="L106" s="2348">
        <f>0.5659/L101</f>
        <v>0.11161735700197237</v>
      </c>
      <c r="M106" s="2348">
        <f>0.5659/M101</f>
        <v>0.11161735700197237</v>
      </c>
      <c r="N106" s="2348">
        <f>0.5659/N101</f>
        <v>0.11161735700197237</v>
      </c>
    </row>
    <row r="107" spans="1:14">
      <c r="A107" s="3286"/>
      <c r="B107" s="2347">
        <v>6</v>
      </c>
      <c r="C107" s="2348">
        <f>0.7608/C101</f>
        <v>0.15005917159763313</v>
      </c>
      <c r="D107" s="2348">
        <f>0.7608/D101</f>
        <v>0.15005917159763313</v>
      </c>
      <c r="E107" s="2348">
        <f>0.6482/E101</f>
        <v>0.12785009861932939</v>
      </c>
      <c r="F107" s="2348">
        <f>0.6482/F101</f>
        <v>0.12785009861932939</v>
      </c>
      <c r="G107" s="2348">
        <f>0.6482/G101</f>
        <v>0.12785009861932939</v>
      </c>
      <c r="H107" s="2348">
        <f>0.6482/H101</f>
        <v>0.12785009861932939</v>
      </c>
      <c r="I107" s="2348">
        <f>0.6482/I101</f>
        <v>0.12785009861932939</v>
      </c>
      <c r="J107" s="2348">
        <f>0.4525/J101</f>
        <v>8.9250493096646941E-2</v>
      </c>
      <c r="K107" s="2348">
        <f>0.4525/K101</f>
        <v>8.9250493096646941E-2</v>
      </c>
      <c r="L107" s="2348">
        <f>0.4525/L101</f>
        <v>8.9250493096646941E-2</v>
      </c>
      <c r="M107" s="2348">
        <f>0.4525/M101</f>
        <v>8.9250493096646941E-2</v>
      </c>
      <c r="N107" s="2348">
        <f>0.4525/N101</f>
        <v>8.9250493096646941E-2</v>
      </c>
    </row>
    <row r="108" spans="1:14">
      <c r="A108" s="3286"/>
      <c r="B108" s="3288" t="s">
        <v>2797</v>
      </c>
      <c r="C108" s="2349">
        <f>C99</f>
        <v>1</v>
      </c>
      <c r="D108" s="2349">
        <f t="shared" ref="D108:N108" si="33">D99</f>
        <v>1</v>
      </c>
      <c r="E108" s="2349">
        <f t="shared" si="33"/>
        <v>1</v>
      </c>
      <c r="F108" s="2349">
        <f t="shared" si="33"/>
        <v>1</v>
      </c>
      <c r="G108" s="2349">
        <f t="shared" si="33"/>
        <v>1</v>
      </c>
      <c r="H108" s="2349">
        <f t="shared" si="33"/>
        <v>1</v>
      </c>
      <c r="I108" s="2349">
        <f t="shared" si="33"/>
        <v>1</v>
      </c>
      <c r="J108" s="2349">
        <f t="shared" si="33"/>
        <v>1</v>
      </c>
      <c r="K108" s="2349">
        <f t="shared" si="33"/>
        <v>1</v>
      </c>
      <c r="L108" s="2349">
        <f t="shared" si="33"/>
        <v>1</v>
      </c>
      <c r="M108" s="2349">
        <f t="shared" si="33"/>
        <v>1</v>
      </c>
      <c r="N108" s="2349">
        <f t="shared" si="33"/>
        <v>1</v>
      </c>
    </row>
    <row r="109" spans="1:14">
      <c r="A109" s="3287"/>
      <c r="B109" s="3289"/>
      <c r="C109" s="2350">
        <f>(-0.163*(C108^2)-0.59*C108+7617)*(10^(-4))/C101</f>
        <v>0.15022183431952663</v>
      </c>
      <c r="D109" s="2350">
        <f>(-0.163*(D108^2)-0.59*D108+7617)*(10^(-4))/D101</f>
        <v>0.15022183431952663</v>
      </c>
      <c r="E109" s="2350">
        <f>(-0.161*(E108^2)-7.509*E108+6533)*(10^(-4))/E101</f>
        <v>0.12870473372781066</v>
      </c>
      <c r="F109" s="2350">
        <f>(-0.161*(F108^2)-7.509*F108+6533)*(10^(-4))/F101</f>
        <v>0.12870473372781066</v>
      </c>
      <c r="G109" s="2350">
        <f>(-0.161*(G108^2)-7.509*G108+6533)*(10^(-4))/G101</f>
        <v>0.12870473372781066</v>
      </c>
      <c r="H109" s="2350">
        <f>(-0.161*(H108^2)-7.509*H108+6533)*(10^(-4))/H101</f>
        <v>0.12870473372781066</v>
      </c>
      <c r="I109" s="2350">
        <f>(-0.161*(I108^2)-7.509*I108+6533)*(10^(-4))/I101</f>
        <v>0.12870473372781066</v>
      </c>
      <c r="J109" s="2350">
        <f>(-0.214*(J108^2)-21.991*J108+4665)*(10^(-4))/J101</f>
        <v>9.1573865877712032E-2</v>
      </c>
      <c r="K109" s="2350">
        <f>(-0.214*(K108^2)-21.991*K108+4665)*(10^(-4))/K101</f>
        <v>9.1573865877712032E-2</v>
      </c>
      <c r="L109" s="2350">
        <f>(-0.214*(L108^2)-21.991*L108+4665)*(10^(-4))/L101</f>
        <v>9.1573865877712032E-2</v>
      </c>
      <c r="M109" s="2350">
        <f>(-0.214*(M108^2)-21.991*M108+4665)*(10^(-4))/M101</f>
        <v>9.1573865877712032E-2</v>
      </c>
      <c r="N109" s="2350">
        <f>(-0.214*(N108^2)-21.991*N108+4665)*(10^(-4))/N101</f>
        <v>9.1573865877712032E-2</v>
      </c>
    </row>
    <row r="110" spans="1:14">
      <c r="A110" s="3283" t="s">
        <v>2798</v>
      </c>
      <c r="B110" s="3283"/>
      <c r="C110" s="3283"/>
      <c r="D110" s="3283"/>
      <c r="E110" s="3283"/>
      <c r="F110" s="3283"/>
      <c r="G110" s="3283"/>
      <c r="H110" s="3283"/>
      <c r="I110" s="3283"/>
      <c r="J110" s="3283"/>
      <c r="K110" s="2353"/>
      <c r="L110" s="2353"/>
      <c r="M110" s="2353"/>
      <c r="N110" s="2353"/>
    </row>
    <row r="112" spans="1:14" ht="13.5" thickBot="1"/>
    <row r="113" spans="1:13" ht="25.5" thickBot="1">
      <c r="A113" s="842" t="s">
        <v>2799</v>
      </c>
      <c r="B113" s="1197">
        <f>G3</f>
        <v>5.07</v>
      </c>
      <c r="C113" s="843" t="s">
        <v>2800</v>
      </c>
      <c r="D113" s="844">
        <f>SUMPRODUCT((A115:A118=F113)*(B114:M114=H113)*B115:M118)</f>
        <v>0.77780000000000005</v>
      </c>
      <c r="E113" s="2189" t="s">
        <v>2635</v>
      </c>
      <c r="F113" s="2355" t="str">
        <f>E2</f>
        <v>商业</v>
      </c>
      <c r="G113" s="2189" t="s">
        <v>2636</v>
      </c>
      <c r="H113" s="2355" t="str">
        <f>G2</f>
        <v>五级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0.88580000000000003</v>
      </c>
      <c r="C115" s="849">
        <f>B115</f>
        <v>0.88580000000000003</v>
      </c>
      <c r="D115" s="849">
        <f>ROUND(0.8331-0.0109*B113,4)</f>
        <v>0.77780000000000005</v>
      </c>
      <c r="E115" s="849">
        <f>D115</f>
        <v>0.77780000000000005</v>
      </c>
      <c r="F115" s="849">
        <f>E115</f>
        <v>0.77780000000000005</v>
      </c>
      <c r="G115" s="849">
        <f>F115</f>
        <v>0.77780000000000005</v>
      </c>
      <c r="H115" s="849">
        <f>G115</f>
        <v>0.77780000000000005</v>
      </c>
      <c r="I115" s="849">
        <f>ROUND(0.689-0.0155*B113,4)</f>
        <v>0.61040000000000005</v>
      </c>
      <c r="J115" s="849">
        <f t="shared" ref="J115:M118" si="34">I115</f>
        <v>0.61040000000000005</v>
      </c>
      <c r="K115" s="849">
        <f t="shared" si="34"/>
        <v>0.61040000000000005</v>
      </c>
      <c r="L115" s="849">
        <f t="shared" si="34"/>
        <v>0.61040000000000005</v>
      </c>
      <c r="M115" s="850">
        <f t="shared" si="34"/>
        <v>0.61040000000000005</v>
      </c>
    </row>
    <row r="116" spans="1:13">
      <c r="A116" s="848" t="s">
        <v>2700</v>
      </c>
      <c r="B116" s="849">
        <f>ROUND(0.949-0.012*B113,4)</f>
        <v>0.88819999999999999</v>
      </c>
      <c r="C116" s="849">
        <f>B116</f>
        <v>0.88819999999999999</v>
      </c>
      <c r="D116" s="849">
        <f>ROUND(0.8567-0.013*B113,4)</f>
        <v>0.79079999999999995</v>
      </c>
      <c r="E116" s="849">
        <f t="shared" ref="E116:H117" si="35">D116</f>
        <v>0.79079999999999995</v>
      </c>
      <c r="F116" s="849">
        <f t="shared" si="35"/>
        <v>0.79079999999999995</v>
      </c>
      <c r="G116" s="849">
        <f t="shared" si="35"/>
        <v>0.79079999999999995</v>
      </c>
      <c r="H116" s="849">
        <f t="shared" si="35"/>
        <v>0.79079999999999995</v>
      </c>
      <c r="I116" s="849">
        <f>ROUND(0.7694-0.014*B113,4)</f>
        <v>0.69840000000000002</v>
      </c>
      <c r="J116" s="849">
        <f t="shared" si="34"/>
        <v>0.69840000000000002</v>
      </c>
      <c r="K116" s="849">
        <f t="shared" si="34"/>
        <v>0.69840000000000002</v>
      </c>
      <c r="L116" s="849">
        <f t="shared" si="34"/>
        <v>0.69840000000000002</v>
      </c>
      <c r="M116" s="850">
        <f t="shared" si="34"/>
        <v>0.69840000000000002</v>
      </c>
    </row>
    <row r="117" spans="1:13">
      <c r="A117" s="848" t="s">
        <v>2701</v>
      </c>
      <c r="B117" s="849">
        <f>ROUND(0.8808-0.006*B113,4)</f>
        <v>0.85040000000000004</v>
      </c>
      <c r="C117" s="849">
        <f>B117</f>
        <v>0.85040000000000004</v>
      </c>
      <c r="D117" s="849">
        <f>ROUND(0.8748-0.008*B113,4)</f>
        <v>0.83420000000000005</v>
      </c>
      <c r="E117" s="849">
        <f t="shared" si="35"/>
        <v>0.83420000000000005</v>
      </c>
      <c r="F117" s="849">
        <f t="shared" si="35"/>
        <v>0.83420000000000005</v>
      </c>
      <c r="G117" s="849">
        <f t="shared" si="35"/>
        <v>0.83420000000000005</v>
      </c>
      <c r="H117" s="849">
        <f t="shared" si="35"/>
        <v>0.83420000000000005</v>
      </c>
      <c r="I117" s="849">
        <f>ROUND(0.7412-0.0095*B113,4)</f>
        <v>0.69299999999999995</v>
      </c>
      <c r="J117" s="849">
        <f t="shared" si="34"/>
        <v>0.69299999999999995</v>
      </c>
      <c r="K117" s="849">
        <f t="shared" si="34"/>
        <v>0.69299999999999995</v>
      </c>
      <c r="L117" s="849">
        <f t="shared" si="34"/>
        <v>0.69299999999999995</v>
      </c>
      <c r="M117" s="850">
        <f t="shared" si="34"/>
        <v>0.69299999999999995</v>
      </c>
    </row>
    <row r="118" spans="1:13" ht="13.5" thickBot="1">
      <c r="A118" s="670" t="s">
        <v>2702</v>
      </c>
      <c r="B118" s="851">
        <f>ROUND(0.7275-0.01*B113,4)</f>
        <v>0.67679999999999996</v>
      </c>
      <c r="C118" s="851">
        <f>B118</f>
        <v>0.67679999999999996</v>
      </c>
      <c r="D118" s="851">
        <f>ROUND(0.7043-0.012*B113,4)</f>
        <v>0.64349999999999996</v>
      </c>
      <c r="E118" s="851">
        <f>D118</f>
        <v>0.64349999999999996</v>
      </c>
      <c r="F118" s="851">
        <f>E118</f>
        <v>0.64349999999999996</v>
      </c>
      <c r="G118" s="851">
        <f>ROUND(0.6299-0.0122*B113,4)</f>
        <v>0.56799999999999995</v>
      </c>
      <c r="H118" s="851">
        <f>G118</f>
        <v>0.56799999999999995</v>
      </c>
      <c r="I118" s="851">
        <f>ROUND(0.5667-0.0136*B113,4)</f>
        <v>0.49769999999999998</v>
      </c>
      <c r="J118" s="851">
        <f t="shared" si="34"/>
        <v>0.49769999999999998</v>
      </c>
      <c r="K118" s="851">
        <f t="shared" si="34"/>
        <v>0.49769999999999998</v>
      </c>
      <c r="L118" s="851">
        <f t="shared" si="34"/>
        <v>0.49769999999999998</v>
      </c>
      <c r="M118" s="852">
        <f t="shared" si="34"/>
        <v>0.49769999999999998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0" sqref="L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3083</v>
      </c>
      <c r="C1" s="204"/>
      <c r="D1" s="204"/>
      <c r="E1" s="204"/>
      <c r="F1" s="204"/>
      <c r="G1" s="1288">
        <f>MATCH(B1,'数据-取费表'!A6:A16,0)+5</f>
        <v>6</v>
      </c>
    </row>
    <row r="2" spans="1:9" s="206" customFormat="1" ht="18" customHeight="1">
      <c r="A2" s="207" t="s">
        <v>2148</v>
      </c>
      <c r="B2" s="208">
        <f ca="1">IF(D2="——",C52,C52-E2)</f>
        <v>90995</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45887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51525</v>
      </c>
      <c r="D5" s="217" t="s">
        <v>2155</v>
      </c>
      <c r="E5" s="218" t="s">
        <v>2156</v>
      </c>
      <c r="F5" s="218" t="s">
        <v>2157</v>
      </c>
      <c r="G5" s="219"/>
    </row>
    <row r="6" spans="1:9" s="220" customFormat="1" ht="13.5" customHeight="1">
      <c r="A6" s="886" t="s">
        <v>2158</v>
      </c>
      <c r="B6" s="221" t="s">
        <v>2159</v>
      </c>
      <c r="C6" s="222">
        <f ca="1">基准地价修正!V2+基准地价修正!V3</f>
        <v>49615</v>
      </c>
      <c r="D6" s="223"/>
      <c r="E6" s="224"/>
      <c r="F6" s="224"/>
      <c r="G6" s="225"/>
    </row>
    <row r="7" spans="1:9" s="220" customFormat="1" ht="13.5" customHeight="1">
      <c r="A7" s="886" t="s">
        <v>2160</v>
      </c>
      <c r="B7" s="221" t="s">
        <v>2161</v>
      </c>
      <c r="C7" s="226">
        <f ca="1">ROUND(C6*F7,0)</f>
        <v>1513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397</v>
      </c>
      <c r="D8" s="228"/>
      <c r="E8" s="226"/>
      <c r="F8" s="227"/>
      <c r="G8" s="2043" t="s">
        <v>3092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3090</v>
      </c>
      <c r="H9" s="1299"/>
      <c r="I9" s="2045" t="s">
        <v>2165</v>
      </c>
    </row>
    <row r="10" spans="1:9" s="220" customFormat="1" ht="13.5" customHeight="1">
      <c r="A10" s="887" t="s">
        <v>801</v>
      </c>
      <c r="B10" s="230" t="s">
        <v>2166</v>
      </c>
      <c r="C10" s="231">
        <f ca="1">ROUND(D10*E10/10000,0)</f>
        <v>397</v>
      </c>
      <c r="D10" s="954">
        <f ca="1">IF(B1="",'数据-汇总表'!E6,IF(INDIRECT("'数据-取费表'!c"&amp;$G$1)="住宅",INDIRECT("'数据-取费表'!s"&amp;$G$1),INDIRECT("'数据-取费表'!k"&amp;$G$1)+INDIRECT("'数据-取费表'!s"&amp;$G$1)))</f>
        <v>19830.27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19830.27</v>
      </c>
      <c r="E19" s="217">
        <f>'数据-取费表'!B31</f>
        <v>200</v>
      </c>
      <c r="F19" s="237"/>
      <c r="G19" s="2043" t="s">
        <v>3091</v>
      </c>
    </row>
    <row r="20" spans="1:7" s="220" customFormat="1" ht="13.5" customHeight="1">
      <c r="A20" s="261" t="s">
        <v>2179</v>
      </c>
      <c r="B20" s="216" t="s">
        <v>2180</v>
      </c>
      <c r="C20" s="238">
        <f ca="1">ROUND((C5+C19)*F20,0)</f>
        <v>1031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4084</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4044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40</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10511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10511</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72840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13659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12691</v>
      </c>
      <c r="D34" s="223"/>
      <c r="E34" s="226"/>
      <c r="F34" s="263">
        <f ca="1">IF('数据-取费表'!B24=0,1,IF(B1="",'数据-取费表'!N16,INDIRECT("'数据-取费表'!n"&amp;$G$1)))</f>
        <v>1</v>
      </c>
      <c r="G34" s="225" t="s">
        <v>2212</v>
      </c>
    </row>
    <row r="35" spans="1:7" ht="13.5" customHeight="1">
      <c r="A35" s="888" t="s">
        <v>796</v>
      </c>
      <c r="B35" s="221" t="s">
        <v>2213</v>
      </c>
      <c r="C35" s="226">
        <f ca="1">ROUND(C34*F35,0)</f>
        <v>381</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397</v>
      </c>
      <c r="D37" s="223">
        <f ca="1">D19</f>
        <v>19830.27</v>
      </c>
      <c r="E37" s="255">
        <f>'数据-取费表'!B35</f>
        <v>200</v>
      </c>
      <c r="F37" s="265"/>
      <c r="G37" s="267" t="s">
        <v>2218</v>
      </c>
    </row>
    <row r="38" spans="1:7" ht="13.5" customHeight="1">
      <c r="A38" s="888" t="s">
        <v>799</v>
      </c>
      <c r="B38" s="221" t="s">
        <v>2219</v>
      </c>
      <c r="C38" s="226">
        <f ca="1">ROUND(C34*F38,0)</f>
        <v>190</v>
      </c>
      <c r="D38" s="226"/>
      <c r="E38" s="226"/>
      <c r="F38" s="265">
        <f>'数据-取费表'!B36</f>
        <v>1.4999999999999999E-2</v>
      </c>
      <c r="G38" s="225" t="s">
        <v>2214</v>
      </c>
    </row>
    <row r="39" spans="1:7" s="220" customFormat="1" ht="13.5" customHeight="1">
      <c r="A39" s="261" t="s">
        <v>2220</v>
      </c>
      <c r="B39" s="216" t="s">
        <v>2221</v>
      </c>
      <c r="C39" s="238">
        <f ca="1">ROUND(C33*F20,0)</f>
        <v>273</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537</v>
      </c>
      <c r="D41" s="241">
        <f ca="1">C44</f>
        <v>8.0000000000000004E-4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526</v>
      </c>
      <c r="D42" s="244"/>
      <c r="E42" s="244"/>
      <c r="F42" s="245"/>
      <c r="G42" s="3306" t="s">
        <v>2230</v>
      </c>
    </row>
    <row r="43" spans="1:7" ht="13.5" customHeight="1">
      <c r="A43" s="888" t="s">
        <v>792</v>
      </c>
      <c r="B43" s="221" t="s">
        <v>2231</v>
      </c>
      <c r="C43" s="244">
        <f ca="1">ROUND(IF('数据-取费表'!B22&lt;=1,C39*F22*'数据-取费表'!B21/2,C39*(POWER((1+F22),'数据-取费表'!B21/2)-1)),0)</f>
        <v>11</v>
      </c>
      <c r="D43" s="244"/>
      <c r="E43" s="244"/>
      <c r="F43" s="245"/>
      <c r="G43" s="3307"/>
    </row>
    <row r="44" spans="1:7" ht="13.5" customHeight="1">
      <c r="A44" s="888" t="s">
        <v>793</v>
      </c>
      <c r="B44" s="221" t="s">
        <v>2232</v>
      </c>
      <c r="C44" s="244">
        <f ca="1">ROUND(IF('数据-取费表'!B22&lt;=1,C40*F22*'数据-取费表'!B21/2,C40*(POWER((1+F22),'数据-取费表'!B21/2)-1)),4)</f>
        <v>8.0000000000000004E-4</v>
      </c>
      <c r="D44" s="244"/>
      <c r="E44" s="244"/>
      <c r="F44" s="245"/>
      <c r="G44" s="3308"/>
    </row>
    <row r="45" spans="1:7" s="220" customFormat="1" ht="13.5" customHeight="1">
      <c r="A45" s="261" t="s">
        <v>2233</v>
      </c>
      <c r="B45" s="250" t="s">
        <v>2199</v>
      </c>
      <c r="C45" s="251">
        <f ca="1">C46</f>
        <v>2786</v>
      </c>
      <c r="D45" s="241">
        <f ca="1">C47</f>
        <v>4.0000000000000001E-3</v>
      </c>
      <c r="E45" s="242" t="s">
        <v>2225</v>
      </c>
      <c r="F45" s="2538">
        <f ca="1">F27</f>
        <v>0.2</v>
      </c>
      <c r="G45" s="253" t="s">
        <v>2234</v>
      </c>
    </row>
    <row r="46" spans="1:7" s="220" customFormat="1" ht="13.5" customHeight="1">
      <c r="A46" s="888" t="s">
        <v>791</v>
      </c>
      <c r="B46" s="254" t="s">
        <v>2235</v>
      </c>
      <c r="C46" s="255">
        <f ca="1">ROUND((C33+C39)*F27,0)</f>
        <v>2786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18717</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18155</v>
      </c>
      <c r="D51" s="238"/>
      <c r="E51" s="238"/>
      <c r="F51" s="270"/>
      <c r="G51" s="240" t="s">
        <v>2246</v>
      </c>
    </row>
    <row r="52" spans="1:7" s="214" customFormat="1" ht="16.5" thickBot="1">
      <c r="A52" s="271" t="s">
        <v>2247</v>
      </c>
      <c r="B52" s="272"/>
      <c r="C52" s="273">
        <f ca="1">C31+C51</f>
        <v>90995</v>
      </c>
      <c r="D52" s="272"/>
      <c r="E52" s="272"/>
      <c r="F52" s="272"/>
      <c r="G52" s="274"/>
    </row>
    <row r="55" spans="1:7" ht="15">
      <c r="B55" s="276" t="s">
        <v>2248</v>
      </c>
      <c r="C55" s="277"/>
    </row>
    <row r="56" spans="1:7">
      <c r="B56" s="279" t="s">
        <v>1478</v>
      </c>
      <c r="C56" s="281">
        <f ca="1">1-C57</f>
        <v>0.8</v>
      </c>
    </row>
    <row r="57" spans="1:7">
      <c r="B57" s="279" t="s">
        <v>1479</v>
      </c>
      <c r="C57" s="280">
        <f ca="1">ROUND(C51/C52,3)</f>
        <v>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10</v>
      </c>
      <c r="H1" s="1192" t="str">
        <f>IF(ISERROR(FIND("住宅",B1)),"非住宅","住宅")</f>
        <v>非住宅</v>
      </c>
    </row>
    <row r="2" spans="1:8" s="206" customFormat="1" ht="18" customHeight="1">
      <c r="A2" s="207" t="s">
        <v>2148</v>
      </c>
      <c r="B2" s="208">
        <f ca="1">ROUND(IF(D2="——",C52/10000,C52/10000-E2),0)</f>
        <v>68257</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6879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19846466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19846466</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19846466</v>
      </c>
      <c r="D10" s="954">
        <f ca="1">IF(B1="",'数据-汇总表'!E6,IF(INDIRECT("'数据-取费表'!c"&amp;$G$1)="住宅",INDIRECT("'数据-取费表'!s"&amp;$G$1),INDIRECT("'数据-取费表'!k"&amp;$G$1)+INDIRECT("'数据-取费表'!s"&amp;$G$1)))</f>
        <v>99232.329999999987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19846466</v>
      </c>
      <c r="D19" s="958">
        <f ca="1">D9+D10</f>
        <v>99232.329999999987</v>
      </c>
      <c r="E19" s="217">
        <f>'数据-取费表'!B31</f>
        <v>200</v>
      </c>
      <c r="F19" s="237"/>
      <c r="G19" s="2043"/>
    </row>
    <row r="20" spans="1:7" s="220" customFormat="1" ht="13.5" customHeight="1">
      <c r="A20" s="261" t="s">
        <v>2260</v>
      </c>
      <c r="B20" s="216" t="s">
        <v>2261</v>
      </c>
      <c r="C20" s="238">
        <f ca="1">ROUND((C5+C19)*F20,0)</f>
        <v>793859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3145754</v>
      </c>
      <c r="D22" s="241">
        <f ca="1">C26</f>
        <v>8.0000000000000004E-4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1557595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1557595</v>
      </c>
      <c r="D24" s="244"/>
      <c r="E24" s="244"/>
      <c r="F24" s="245"/>
      <c r="G24" s="246" t="s">
        <v>2272</v>
      </c>
    </row>
    <row r="25" spans="1:7" s="220" customFormat="1" ht="24">
      <c r="A25" s="888" t="s">
        <v>2162</v>
      </c>
      <c r="B25" s="221" t="s">
        <v>2273</v>
      </c>
      <c r="C25" s="1290">
        <f ca="1">ROUND(IF('数据-取费表'!B22&lt;=1,C20*F22*'数据-取费表'!B22/2,C20*(POWER((1+F22),'数据-取费表'!B22/2)-1)),0)</f>
        <v>30564</v>
      </c>
      <c r="D25" s="244"/>
      <c r="E25" s="247"/>
      <c r="F25" s="245"/>
      <c r="G25" s="248" t="s">
        <v>2274</v>
      </c>
    </row>
    <row r="26" spans="1:7" s="220" customFormat="1">
      <c r="A26" s="888" t="s">
        <v>795</v>
      </c>
      <c r="B26" s="221" t="s">
        <v>2197</v>
      </c>
      <c r="C26" s="244">
        <f ca="1">ROUND(IF('数据-取费表'!B22&lt;=1,F21*F22*'数据-取费表'!B22/2,F21*(POWER((1+F22),'数据-取费表'!B22/2)-1)),4)</f>
        <v>8.0000000000000004E-4</v>
      </c>
      <c r="D26" s="244"/>
      <c r="E26" s="247"/>
      <c r="F26" s="245"/>
      <c r="G26" s="249"/>
    </row>
    <row r="27" spans="1:7" s="220" customFormat="1" ht="24.75">
      <c r="A27" s="261" t="s">
        <v>2198</v>
      </c>
      <c r="B27" s="250" t="s">
        <v>2199</v>
      </c>
      <c r="C27" s="251">
        <f ca="1">C28</f>
        <v>6882754</v>
      </c>
      <c r="D27" s="241">
        <f ca="1">C29</f>
        <v>3.3999999999999998E-3</v>
      </c>
      <c r="E27" s="242" t="s">
        <v>2200</v>
      </c>
      <c r="F27" s="252">
        <f ca="1">IF(B1="",'数据-取费表'!Q16,INDIRECT("'数据-取费表'!q"&amp;$G$1))</f>
        <v>0.17</v>
      </c>
      <c r="G27" s="253" t="s">
        <v>2201</v>
      </c>
    </row>
    <row r="28" spans="1:7" s="220" customFormat="1" ht="13.5" customHeight="1">
      <c r="A28" s="888" t="s">
        <v>791</v>
      </c>
      <c r="B28" s="254" t="s">
        <v>2202</v>
      </c>
      <c r="C28" s="255">
        <f ca="1">ROUND((C5+C19+C20)*F27,0)</f>
        <v>6882754</v>
      </c>
      <c r="D28" s="241"/>
      <c r="E28" s="242"/>
      <c r="F28" s="252"/>
      <c r="G28" s="253"/>
    </row>
    <row r="29" spans="1:7" s="220" customFormat="1" ht="13.5" customHeight="1">
      <c r="A29" s="888" t="s">
        <v>792</v>
      </c>
      <c r="B29" s="254" t="s">
        <v>2203</v>
      </c>
      <c r="C29" s="244">
        <f ca="1">ROUND(C21*F27,4)</f>
        <v>3.3999999999999998E-3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54759132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484371923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444521968</v>
      </c>
      <c r="D34" s="223"/>
      <c r="E34" s="226"/>
      <c r="F34" s="263"/>
      <c r="G34" s="225"/>
    </row>
    <row r="35" spans="1:7" ht="13.5" customHeight="1">
      <c r="A35" s="888" t="s">
        <v>796</v>
      </c>
      <c r="B35" s="221" t="s">
        <v>2213</v>
      </c>
      <c r="C35" s="226">
        <f ca="1">ROUND(C34*F35,0)</f>
        <v>13335659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19846466</v>
      </c>
      <c r="D37" s="223">
        <f ca="1">D19</f>
        <v>99232.329999999987</v>
      </c>
      <c r="E37" s="255">
        <f>'数据-取费表'!B35</f>
        <v>200</v>
      </c>
      <c r="F37" s="265"/>
      <c r="G37" s="267"/>
    </row>
    <row r="38" spans="1:7" ht="13.5" customHeight="1">
      <c r="A38" s="888" t="s">
        <v>799</v>
      </c>
      <c r="B38" s="221" t="s">
        <v>2219</v>
      </c>
      <c r="C38" s="226">
        <f ca="1">ROUND(C34*F38,0)</f>
        <v>6667830</v>
      </c>
      <c r="D38" s="226"/>
      <c r="E38" s="226"/>
      <c r="F38" s="265">
        <f>'数据-取费表'!B36</f>
        <v>1.4999999999999999E-2</v>
      </c>
      <c r="G38" s="225" t="s">
        <v>2214</v>
      </c>
    </row>
    <row r="39" spans="1:7" s="220" customFormat="1" ht="13.5" customHeight="1">
      <c r="A39" s="261" t="s">
        <v>2220</v>
      </c>
      <c r="B39" s="216" t="s">
        <v>2221</v>
      </c>
      <c r="C39" s="238">
        <f ca="1">ROUND(C33*F20,0)</f>
        <v>9687438</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19021285</v>
      </c>
      <c r="D41" s="241">
        <f ca="1">C44</f>
        <v>8.0000000000000004E-4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18648319</v>
      </c>
      <c r="D42" s="244"/>
      <c r="E42" s="244"/>
      <c r="F42" s="245"/>
      <c r="G42" s="3306" t="s">
        <v>2277</v>
      </c>
    </row>
    <row r="43" spans="1:7" ht="13.5" customHeight="1">
      <c r="A43" s="888" t="s">
        <v>792</v>
      </c>
      <c r="B43" s="221" t="s">
        <v>2231</v>
      </c>
      <c r="C43" s="244">
        <f ca="1">ROUND(IF('数据-取费表'!B22&lt;=1,C39*F22*'数据-取费表'!B20/2,C39*(POWER((1+F22),'数据-取费表'!B20/2)-1)),0)</f>
        <v>372966</v>
      </c>
      <c r="D43" s="244"/>
      <c r="E43" s="244"/>
      <c r="F43" s="245"/>
      <c r="G43" s="3307"/>
    </row>
    <row r="44" spans="1:7" ht="13.5" customHeight="1">
      <c r="A44" s="888" t="s">
        <v>793</v>
      </c>
      <c r="B44" s="221" t="s">
        <v>2232</v>
      </c>
      <c r="C44" s="244">
        <f ca="1">ROUND(IF('数据-取费表'!B22&lt;=1,C40*F22*'数据-取费表'!B20/2,C40*(POWER((1+F22),'数据-取费表'!B20/2)-1)),4)</f>
        <v>8.0000000000000004E-4</v>
      </c>
      <c r="D44" s="244"/>
      <c r="E44" s="244"/>
      <c r="F44" s="245"/>
      <c r="G44" s="3308"/>
    </row>
    <row r="45" spans="1:7" s="220" customFormat="1" ht="13.5" customHeight="1">
      <c r="A45" s="261" t="s">
        <v>2233</v>
      </c>
      <c r="B45" s="250" t="s">
        <v>2199</v>
      </c>
      <c r="C45" s="251">
        <f ca="1">C46</f>
        <v>83990091</v>
      </c>
      <c r="D45" s="241">
        <f ca="1">C47</f>
        <v>3.3999999999999998E-3</v>
      </c>
      <c r="E45" s="242" t="s">
        <v>2225</v>
      </c>
      <c r="F45" s="2538">
        <f ca="1">F27</f>
        <v>0.17</v>
      </c>
      <c r="G45" s="253" t="s">
        <v>2234</v>
      </c>
    </row>
    <row r="46" spans="1:7" s="220" customFormat="1" ht="13.5" customHeight="1">
      <c r="A46" s="888" t="s">
        <v>791</v>
      </c>
      <c r="B46" s="254" t="s">
        <v>2235</v>
      </c>
      <c r="C46" s="255">
        <f ca="1">ROUND((C33+C39)*F27,0)</f>
        <v>83990091</v>
      </c>
      <c r="D46" s="269"/>
      <c r="E46" s="242"/>
      <c r="F46" s="252"/>
      <c r="G46" s="253"/>
    </row>
    <row r="47" spans="1:7" s="220" customFormat="1" ht="13.5" customHeight="1">
      <c r="A47" s="888" t="s">
        <v>792</v>
      </c>
      <c r="B47" s="254" t="s">
        <v>2236</v>
      </c>
      <c r="C47" s="244">
        <f ca="1">ROUND(C40*F27,4)</f>
        <v>3.3999999999999998E-3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647231151</v>
      </c>
      <c r="D49" s="238"/>
      <c r="E49" s="238"/>
      <c r="F49" s="270"/>
      <c r="G49" s="240" t="s">
        <v>2240</v>
      </c>
    </row>
    <row r="50" spans="1:7" s="264" customFormat="1">
      <c r="A50" s="261" t="s">
        <v>2241</v>
      </c>
      <c r="B50" s="216" t="s">
        <v>2242</v>
      </c>
      <c r="C50" s="238"/>
      <c r="D50" s="238"/>
      <c r="E50" s="238"/>
      <c r="F50" s="270">
        <f>IF('数据-取费表'!B24=0,'数据-取费表'!N16,1)</f>
        <v>0.97</v>
      </c>
      <c r="G50" s="253"/>
    </row>
    <row r="51" spans="1:7" ht="16.5" customHeight="1">
      <c r="A51" s="261" t="s">
        <v>2244</v>
      </c>
      <c r="B51" s="216" t="s">
        <v>2279</v>
      </c>
      <c r="C51" s="238">
        <f ca="1">ROUND(C49*F50,0)</f>
        <v>627814216</v>
      </c>
      <c r="D51" s="238"/>
      <c r="E51" s="238"/>
      <c r="F51" s="270"/>
      <c r="G51" s="240" t="s">
        <v>2246</v>
      </c>
    </row>
    <row r="52" spans="1:7" s="214" customFormat="1" ht="16.5" thickBot="1">
      <c r="A52" s="271" t="s">
        <v>2247</v>
      </c>
      <c r="B52" s="272"/>
      <c r="C52" s="273">
        <f ca="1">C31+C51</f>
        <v>682573348</v>
      </c>
      <c r="D52" s="272"/>
      <c r="E52" s="272"/>
      <c r="F52" s="272"/>
      <c r="G52" s="274"/>
    </row>
    <row r="55" spans="1:7" ht="15">
      <c r="B55" s="276" t="s">
        <v>2248</v>
      </c>
      <c r="C55" s="277"/>
    </row>
    <row r="56" spans="1:7">
      <c r="B56" s="279" t="s">
        <v>1478</v>
      </c>
      <c r="C56" s="281">
        <f ca="1">1-C57</f>
        <v>7.999999999999996E-2</v>
      </c>
    </row>
    <row r="57" spans="1:7">
      <c r="B57" s="279" t="s">
        <v>1479</v>
      </c>
      <c r="C57" s="280">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10</v>
      </c>
    </row>
    <row r="2" spans="1:33" ht="18" customHeight="1">
      <c r="A2" s="207" t="s">
        <v>2148</v>
      </c>
      <c r="B2" s="210">
        <f ca="1">C32</f>
        <v>0</v>
      </c>
      <c r="C2" s="282" t="s">
        <v>2281</v>
      </c>
      <c r="D2" s="282"/>
      <c r="E2" s="3038"/>
      <c r="F2" s="3038"/>
      <c r="G2" s="3038"/>
      <c r="H2" s="3038"/>
      <c r="I2" s="3038"/>
      <c r="J2" s="3038"/>
      <c r="K2" s="3038"/>
    </row>
    <row r="3" spans="1:33" ht="18" customHeight="1" thickBot="1">
      <c r="A3" s="209" t="s">
        <v>2150</v>
      </c>
      <c r="B3" s="210">
        <f ca="1">ROUND(B2*10000/IF(C1="",'数据-汇总表'!E3,INDIRECT("'数据-取费表'!K"&amp;$K$1)),0)</f>
        <v>0</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30659.07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99232.329999999987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99232.329999999987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1985</v>
      </c>
      <c r="D20" s="955">
        <f ca="1">IF(C1="",'数据-汇总表'!E6,IF(INDIRECT("'数据-取费表'!c"&amp;$K$1)="住宅",INDIRECT("'数据-取费表'!s"&amp;$K$1),INDIRECT("'数据-取费表'!k"&amp;$K$1)+INDIRECT("'数据-取费表'!s"&amp;$K$1)))</f>
        <v>99232.329999999987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3083</v>
      </c>
      <c r="D1" s="1547" t="s">
        <v>70</v>
      </c>
      <c r="E1" s="1548" t="s">
        <v>1352</v>
      </c>
      <c r="F1" s="1193">
        <f ca="1">J53</f>
        <v>29.86</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96771</v>
      </c>
      <c r="C2" s="1572" t="s">
        <v>1481</v>
      </c>
      <c r="D2" s="1572"/>
      <c r="E2" s="1573"/>
      <c r="F2" s="1574"/>
      <c r="G2" s="2936"/>
      <c r="H2" s="2925"/>
      <c r="I2" s="2925"/>
      <c r="J2" s="2925"/>
      <c r="K2" s="2926"/>
      <c r="L2" s="2925"/>
      <c r="M2" s="2925"/>
    </row>
    <row r="3" spans="1:37" ht="18" customHeight="1" thickBot="1">
      <c r="A3" s="1575" t="s">
        <v>1482</v>
      </c>
      <c r="B3" s="1576">
        <f ca="1">IF(ISERROR(B2*10000/F43),0,ROUND(B2*10000/F43,0))</f>
        <v>48800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6542</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6534</v>
      </c>
      <c r="D6" s="160" t="s">
        <v>2849</v>
      </c>
      <c r="E6" s="308" t="s">
        <v>1370</v>
      </c>
      <c r="F6" s="309">
        <f ca="1">INDIRECT("'数据-取费表'!u"&amp;$G$1)</f>
        <v>10.029999999999999</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19830.27</v>
      </c>
      <c r="G7" s="1569"/>
      <c r="H7" s="310"/>
      <c r="I7" s="3312"/>
      <c r="J7" s="312"/>
      <c r="K7" s="313"/>
      <c r="L7" s="308" t="s">
        <v>1371</v>
      </c>
      <c r="M7" s="309">
        <f ca="1">F7</f>
        <v>19830.27</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8</v>
      </c>
      <c r="D10" s="1551" t="s">
        <v>2857</v>
      </c>
      <c r="E10" s="319" t="s">
        <v>1375</v>
      </c>
      <c r="F10" s="1276" t="s">
        <v>3118</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18155</v>
      </c>
      <c r="D13" s="1241" t="s">
        <v>1380</v>
      </c>
      <c r="E13" s="1241" t="s">
        <v>1381</v>
      </c>
      <c r="F13" s="1242">
        <f ca="1">INDIRECT("'数据-取费表'!y"&amp;$G$1)</f>
        <v>0.97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12691</v>
      </c>
      <c r="D14" s="1530" t="s">
        <v>1383</v>
      </c>
      <c r="E14" s="1527"/>
      <c r="F14" s="325"/>
      <c r="G14" s="1569"/>
      <c r="H14" s="1113" t="s">
        <v>1003</v>
      </c>
      <c r="I14" s="308" t="s">
        <v>1384</v>
      </c>
      <c r="J14" s="24">
        <f ca="1">C29</f>
        <v>18717</v>
      </c>
      <c r="K14" s="15"/>
      <c r="L14" s="916"/>
      <c r="M14" s="917"/>
    </row>
    <row r="15" spans="1:37" s="1582" customFormat="1" ht="18" customHeight="1" thickBot="1">
      <c r="A15" s="1113" t="s">
        <v>1004</v>
      </c>
      <c r="B15" s="308" t="s">
        <v>1385</v>
      </c>
      <c r="C15" s="24">
        <f ca="1">ROUND(C14*F15,0)</f>
        <v>381</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438</v>
      </c>
      <c r="K16" s="1247" t="s">
        <v>1390</v>
      </c>
      <c r="L16" s="1248"/>
      <c r="M16" s="1204"/>
    </row>
    <row r="17" spans="1:37" s="1582" customFormat="1" ht="18" customHeight="1">
      <c r="A17" s="1113" t="s">
        <v>1355</v>
      </c>
      <c r="B17" s="308" t="s">
        <v>1391</v>
      </c>
      <c r="C17" s="24">
        <f ca="1">ROUND(F17*(F43+INDIRECT("'数据-取费表'!S"&amp;$G$1))/10000,0)</f>
        <v>397</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157</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190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13659</v>
      </c>
      <c r="D19" s="136" t="s">
        <v>1401</v>
      </c>
      <c r="E19" s="1545"/>
      <c r="F19" s="26"/>
      <c r="G19" s="1569"/>
      <c r="H19" s="1113" t="s">
        <v>1004</v>
      </c>
      <c r="I19" s="308" t="s">
        <v>1402</v>
      </c>
      <c r="J19" s="24">
        <f ca="1">IF(K19="按租金收入计税",ROUND(J6*M19/(1+'数据-取费表'!C42),2),ROUND(C29*M19*0.7,2))</f>
        <v>157.22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273</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280.8</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537</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-438</v>
      </c>
      <c r="K25" s="1255" t="s">
        <v>1429</v>
      </c>
      <c r="L25" s="1256"/>
      <c r="M25" s="1257"/>
    </row>
    <row r="26" spans="1:37">
      <c r="A26" s="1113" t="s">
        <v>1002</v>
      </c>
      <c r="B26" s="308" t="s">
        <v>1430</v>
      </c>
      <c r="C26" s="24">
        <f ca="1">ROUND((C19+C20)*F26,0)</f>
        <v>2786</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18717</v>
      </c>
      <c r="D29" s="1252"/>
      <c r="E29" s="1250"/>
      <c r="F29" s="1253"/>
      <c r="G29" s="1581"/>
      <c r="H29" s="340" t="s">
        <v>1001</v>
      </c>
      <c r="I29" s="341" t="s">
        <v>1444</v>
      </c>
      <c r="J29" s="342">
        <f ca="1">ROUND(J26/(1+F40)^F41,0)</f>
        <v>0</v>
      </c>
      <c r="K29" s="343" t="s">
        <v>1445</v>
      </c>
      <c r="L29" s="344"/>
      <c r="M29" s="345">
        <f ca="1">INDIRECT("'数据-取费表'!k"&amp;$G$1)</f>
        <v>19830.27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1534</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1095</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348.48</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746.74</v>
      </c>
      <c r="D33" s="1555" t="s">
        <v>3119</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280.8</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27.2</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130.80000000000001</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5008</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96101</v>
      </c>
      <c r="D40" s="330" t="s">
        <v>1434</v>
      </c>
      <c r="E40" s="308" t="s">
        <v>1435</v>
      </c>
      <c r="F40" s="318">
        <f ca="1">INDIRECT("'数据-取费表'!I"&amp;$G$1)</f>
        <v>0.06</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29.86</v>
      </c>
      <c r="G41" s="1569"/>
      <c r="H41" s="1353"/>
      <c r="I41" s="1583"/>
      <c r="J41" s="1584"/>
      <c r="K41" s="2771"/>
      <c r="L41" s="1353"/>
      <c r="M41" s="1353"/>
    </row>
    <row r="42" spans="1:18" ht="18" customHeight="1">
      <c r="A42" s="314"/>
      <c r="B42" s="315"/>
      <c r="C42" s="316"/>
      <c r="D42" s="333"/>
      <c r="E42" s="308" t="s">
        <v>1442</v>
      </c>
      <c r="F42" s="318">
        <f ca="1">INDIRECT("'数据-取费表'!v"&amp;$G$1)</f>
        <v>0.03</v>
      </c>
      <c r="G42" s="1569"/>
      <c r="H42" s="1353"/>
      <c r="I42" s="1583"/>
      <c r="J42" s="1584"/>
      <c r="K42" s="2771"/>
      <c r="L42" s="1353"/>
      <c r="M42" s="1353"/>
    </row>
    <row r="43" spans="1:18" ht="18" customHeight="1" thickBot="1">
      <c r="A43" s="340" t="s">
        <v>1001</v>
      </c>
      <c r="B43" s="341" t="s">
        <v>1452</v>
      </c>
      <c r="C43" s="342">
        <f ca="1">ROUND(C40*10000/F43,0)</f>
        <v>48462</v>
      </c>
      <c r="D43" s="343" t="s">
        <v>1453</v>
      </c>
      <c r="E43" s="344" t="s">
        <v>1454</v>
      </c>
      <c r="F43" s="345">
        <f ca="1">INDIRECT("'数据-取费表'!k"&amp;$G$1)</f>
        <v>19830.27</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-121934</v>
      </c>
      <c r="D46" s="1591" t="str">
        <f>C2</f>
        <v>万元</v>
      </c>
      <c r="E46" s="1585"/>
      <c r="F46" s="1585"/>
      <c r="I46" s="1592" t="s">
        <v>1486</v>
      </c>
      <c r="J46" s="1593"/>
      <c r="K46" s="1594"/>
      <c r="L46" s="1595">
        <f ca="1">IF(M47="住宅",0,IF(L48&gt;J51,L60,J60))</f>
        <v>670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3115</v>
      </c>
      <c r="K47" s="1601" t="s">
        <v>1492</v>
      </c>
      <c r="L47" s="1602">
        <f ca="1">INDIRECT("'数据-取费表'!d"&amp;$G$1)</f>
        <v>40</v>
      </c>
      <c r="M47" s="1565" t="str">
        <f>IF(ISNUMBER(FIND("住宅",C1)),"住宅","非住宅")</f>
        <v>非住宅</v>
      </c>
      <c r="O47" s="1603" t="s">
        <v>1008</v>
      </c>
      <c r="P47" s="1604" t="s">
        <v>1493</v>
      </c>
      <c r="Q47" s="1605">
        <f ca="1">C40+J29</f>
        <v>96101</v>
      </c>
      <c r="R47" s="1605" t="s">
        <v>1494</v>
      </c>
    </row>
    <row r="48" spans="1:18" s="1569" customFormat="1" ht="28.5" thickBot="1">
      <c r="A48" s="1270" t="s">
        <v>1103</v>
      </c>
      <c r="B48" s="306" t="s">
        <v>1366</v>
      </c>
      <c r="C48" s="1544">
        <f ca="1">C49+C53+C55</f>
        <v>0</v>
      </c>
      <c r="D48" s="1272"/>
      <c r="E48" s="1273"/>
      <c r="F48" s="1093"/>
      <c r="G48" s="731"/>
      <c r="H48" s="732"/>
      <c r="I48" s="1606" t="s">
        <v>1495</v>
      </c>
      <c r="J48" s="1607" t="s">
        <v>3116</v>
      </c>
      <c r="K48" s="1608" t="s">
        <v>1496</v>
      </c>
      <c r="L48" s="1609">
        <f ca="1">INDIRECT("'数据-取费表'!f"&amp;$G$1)</f>
        <v>29.86</v>
      </c>
      <c r="O48" s="1603" t="s">
        <v>1009</v>
      </c>
      <c r="P48" s="1604" t="s">
        <v>1497</v>
      </c>
      <c r="Q48" s="1605">
        <f ca="1">J60</f>
        <v>670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2019</v>
      </c>
      <c r="K49" s="1608" t="s">
        <v>1500</v>
      </c>
      <c r="L49" s="1612"/>
      <c r="O49" s="1613" t="s">
        <v>1010</v>
      </c>
      <c r="P49" s="1604" t="s">
        <v>1501</v>
      </c>
      <c r="Q49" s="1605">
        <f ca="1">C29</f>
        <v>18717</v>
      </c>
      <c r="R49" s="1605" t="s">
        <v>1494</v>
      </c>
    </row>
    <row r="50" spans="1:18" s="1569" customFormat="1" ht="13.5" thickBot="1">
      <c r="A50" s="1107"/>
      <c r="B50" s="1110"/>
      <c r="C50" s="1278"/>
      <c r="D50" s="1084"/>
      <c r="E50" s="1187" t="s">
        <v>1371</v>
      </c>
      <c r="F50" s="1188">
        <f ca="1">F7</f>
        <v>19830.27</v>
      </c>
      <c r="H50" s="732"/>
      <c r="I50" s="1606" t="s">
        <v>1502</v>
      </c>
      <c r="J50" s="1614">
        <f>SUMPRODUCT((I63:I65=J47)*(J62:L62=J48)*(J63:L65))</f>
        <v>60</v>
      </c>
      <c r="K50" s="1608" t="s">
        <v>1503</v>
      </c>
      <c r="L50" s="1612"/>
      <c r="M50" s="1615"/>
      <c r="O50" s="1613" t="s">
        <v>1011</v>
      </c>
      <c r="P50" s="1604" t="s">
        <v>1504</v>
      </c>
      <c r="Q50" s="1616">
        <f ca="1">J58</f>
        <v>0.46899999999999997</v>
      </c>
      <c r="R50" s="1605"/>
    </row>
    <row r="51" spans="1:18" s="1569" customFormat="1" ht="13.5" thickBot="1">
      <c r="A51" s="1108"/>
      <c r="B51" s="1110"/>
      <c r="C51" s="1111"/>
      <c r="D51" s="1084"/>
      <c r="E51" s="1112" t="s">
        <v>1372</v>
      </c>
      <c r="F51" s="309">
        <f ca="1">F8</f>
        <v>365</v>
      </c>
      <c r="I51" s="1617" t="s">
        <v>1505</v>
      </c>
      <c r="J51" s="1618">
        <f>IF(J49="",J50,J49+J50-YEAR('数据-取费表'!B2))</f>
        <v>58</v>
      </c>
      <c r="K51" s="1619" t="s">
        <v>1506</v>
      </c>
      <c r="L51" s="1620">
        <f ca="1">ROUND(-PV(INDIRECT("'数据-取费表'!h"&amp;$G$1),J51,(C39-C13*C76),0),0)</f>
        <v>60174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29.86</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29.86</v>
      </c>
      <c r="K53" s="3309" t="s">
        <v>1513</v>
      </c>
      <c r="L53" s="3310"/>
      <c r="O53" s="1603" t="s">
        <v>1014</v>
      </c>
      <c r="P53" s="1604" t="s">
        <v>1514</v>
      </c>
      <c r="Q53" s="1605">
        <f ca="1">Q47+Q48</f>
        <v>96771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f ca="1">ROUND(IF(J47="钢混",J57/J50,1-(1-2%)*(J50-J57)/J50),3)</f>
        <v>0.46899999999999997</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18155</v>
      </c>
      <c r="D56" s="1632"/>
      <c r="E56" s="1633"/>
      <c r="F56" s="1625"/>
      <c r="I56" s="1634" t="s">
        <v>1519</v>
      </c>
      <c r="J56" s="1635" t="s">
        <v>3117</v>
      </c>
      <c r="K56" s="1606" t="s">
        <v>1520</v>
      </c>
      <c r="L56" s="1609" t="str">
        <f ca="1">IF(L48&lt;J51,"——",L48-J53)</f>
        <v>——</v>
      </c>
      <c r="O56" s="1603" t="s">
        <v>1008</v>
      </c>
      <c r="P56" s="1604" t="s">
        <v>1493</v>
      </c>
      <c r="Q56" s="1605">
        <f ca="1">C40+J29</f>
        <v>96101</v>
      </c>
      <c r="R56" s="1605" t="s">
        <v>1494</v>
      </c>
    </row>
    <row r="57" spans="1:18" s="1569" customFormat="1" ht="24.75" thickBot="1">
      <c r="A57" s="1636"/>
      <c r="B57" s="1081" t="s">
        <v>1443</v>
      </c>
      <c r="C57" s="244">
        <f ca="1">C29</f>
        <v>18717</v>
      </c>
      <c r="D57" s="1637"/>
      <c r="E57" s="1638"/>
      <c r="F57" s="1639"/>
      <c r="I57" s="1640" t="s">
        <v>1521</v>
      </c>
      <c r="J57" s="1641">
        <f ca="1">IF(OR(M47="住宅",J51&lt;L48,J56="是"),"——",J51-L48)</f>
        <v>28.14</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1880</v>
      </c>
      <c r="D58" s="1091" t="s">
        <v>1390</v>
      </c>
      <c r="E58" s="1092"/>
      <c r="F58" s="1093"/>
      <c r="I58" s="1640" t="s">
        <v>1525</v>
      </c>
      <c r="J58" s="1642">
        <f ca="1">IF(J55&lt;0.4,0.4,J55)</f>
        <v>0.46899999999999997</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1572</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8778</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670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1572.23</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96101</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280.8</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27.2</v>
      </c>
      <c r="D65" s="1095" t="s">
        <v>1419</v>
      </c>
      <c r="E65" s="1081" t="s">
        <v>1420</v>
      </c>
      <c r="F65" s="336">
        <f t="shared" ca="1" si="0"/>
        <v>1.5E-3</v>
      </c>
      <c r="I65" s="1647" t="s">
        <v>1544</v>
      </c>
      <c r="J65" s="1648">
        <v>40</v>
      </c>
      <c r="K65" s="1648">
        <v>30</v>
      </c>
      <c r="L65" s="1648">
        <v>50</v>
      </c>
      <c r="M65" s="1650">
        <v>0.02</v>
      </c>
      <c r="O65" s="1603" t="s">
        <v>1008</v>
      </c>
      <c r="P65" s="1604" t="s">
        <v>1545</v>
      </c>
      <c r="Q65" s="1605">
        <f ca="1">C40+J29</f>
        <v>96101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-1880</v>
      </c>
      <c r="D67" s="1094" t="s">
        <v>1429</v>
      </c>
      <c r="E67" s="1099"/>
      <c r="F67" s="1100"/>
      <c r="O67" s="1613" t="s">
        <v>1010</v>
      </c>
      <c r="P67" s="1604" t="s">
        <v>1527</v>
      </c>
      <c r="Q67" s="1651">
        <f ca="1">L51</f>
        <v>60174</v>
      </c>
      <c r="R67" s="1605" t="s">
        <v>1547</v>
      </c>
    </row>
    <row r="68" spans="1:18" s="1569" customFormat="1" ht="16.5" thickBot="1">
      <c r="A68" s="1078" t="s">
        <v>1000</v>
      </c>
      <c r="B68" s="1079" t="s">
        <v>1450</v>
      </c>
      <c r="C68" s="307">
        <f ca="1">ROUND(C67*(1-((1+F70)/(1+F68))^F69)/(F68-F70),0)</f>
        <v>-25833</v>
      </c>
      <c r="D68" s="1096" t="s">
        <v>1434</v>
      </c>
      <c r="E68" s="1081" t="s">
        <v>1435</v>
      </c>
      <c r="F68" s="318">
        <f ca="1">F40</f>
        <v>0.06</v>
      </c>
      <c r="O68" s="1613" t="s">
        <v>1011</v>
      </c>
      <c r="P68" s="1652" t="s">
        <v>1548</v>
      </c>
      <c r="Q68" s="1605">
        <f ca="1">ROUND(Q69-Q70*Q71,0)</f>
        <v>3465</v>
      </c>
      <c r="R68" s="1605" t="s">
        <v>1019</v>
      </c>
    </row>
    <row r="69" spans="1:18" s="1569" customFormat="1" ht="13.5" thickBot="1">
      <c r="A69" s="1082"/>
      <c r="B69" s="1083"/>
      <c r="C69" s="312"/>
      <c r="D69" s="1101" t="s">
        <v>1438</v>
      </c>
      <c r="E69" s="1081" t="s">
        <v>1439</v>
      </c>
      <c r="F69" s="339">
        <f ca="1">F41</f>
        <v>29.86</v>
      </c>
      <c r="O69" s="1613" t="s">
        <v>1016</v>
      </c>
      <c r="P69" s="1652" t="s">
        <v>1549</v>
      </c>
      <c r="Q69" s="1605">
        <f ca="1">C39</f>
        <v>5008</v>
      </c>
      <c r="R69" s="1605" t="s">
        <v>1494</v>
      </c>
    </row>
    <row r="70" spans="1:18" s="1569" customFormat="1" ht="13.5" thickBot="1">
      <c r="A70" s="1085"/>
      <c r="B70" s="1086"/>
      <c r="C70" s="316"/>
      <c r="D70" s="1097"/>
      <c r="E70" s="1081" t="s">
        <v>1442</v>
      </c>
      <c r="F70" s="1185"/>
      <c r="O70" s="1613" t="s">
        <v>1017</v>
      </c>
      <c r="P70" s="1652" t="s">
        <v>1550</v>
      </c>
      <c r="Q70" s="1605">
        <f ca="1">C13</f>
        <v>18155</v>
      </c>
      <c r="R70" s="1605" t="s">
        <v>1494</v>
      </c>
    </row>
    <row r="71" spans="1:18" s="1569" customFormat="1" ht="13.5" thickBot="1">
      <c r="A71" s="1102" t="s">
        <v>1001</v>
      </c>
      <c r="B71" s="1103" t="s">
        <v>1452</v>
      </c>
      <c r="C71" s="342">
        <f ca="1">ROUND(C68*10000/F71,0)</f>
        <v>-13027</v>
      </c>
      <c r="D71" s="1104" t="s">
        <v>1453</v>
      </c>
      <c r="E71" s="1105" t="s">
        <v>1454</v>
      </c>
      <c r="F71" s="345">
        <f ca="1">F43</f>
        <v>19830.27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1543</v>
      </c>
      <c r="D75" s="1569"/>
      <c r="E75" s="1569"/>
      <c r="F75" s="1569"/>
      <c r="K75" s="1587"/>
      <c r="L75" s="1569"/>
      <c r="O75" s="1603" t="s">
        <v>1014</v>
      </c>
      <c r="P75" s="1604" t="s">
        <v>1514</v>
      </c>
      <c r="Q75" s="1605">
        <f ca="1">Q65+Q66</f>
        <v>96101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0.69199999999999995</v>
      </c>
    </row>
    <row r="80" spans="1:18">
      <c r="B80" s="346" t="s">
        <v>1476</v>
      </c>
      <c r="C80" s="280">
        <f ca="1">ROUND(C75/C39,3)</f>
        <v>0.308</v>
      </c>
    </row>
    <row r="81" spans="2:3">
      <c r="B81" s="276" t="s">
        <v>1477</v>
      </c>
      <c r="C81" s="244"/>
    </row>
    <row r="82" spans="2:3">
      <c r="B82" s="279" t="s">
        <v>1478</v>
      </c>
      <c r="C82" s="281">
        <f ca="1">1-C83</f>
        <v>0.81099999999999994</v>
      </c>
    </row>
    <row r="83" spans="2:3">
      <c r="B83" s="279" t="s">
        <v>1479</v>
      </c>
      <c r="C83" s="280">
        <f ca="1">ROUND(C13/C40,3)</f>
        <v>0.189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10</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11" t="s">
        <v>1368</v>
      </c>
      <c r="C6" s="1206">
        <f ca="1">ROUND(F6*F8*F7*(1-F9),0)</f>
        <v>0</v>
      </c>
      <c r="D6" s="160" t="s">
        <v>2846</v>
      </c>
      <c r="E6" s="308" t="s">
        <v>1370</v>
      </c>
      <c r="F6" s="309">
        <f ca="1">INDIRECT("'数据-取费表'!u"&amp;$G$1)</f>
        <v>0</v>
      </c>
      <c r="G6" s="1569"/>
      <c r="H6" s="1201" t="s">
        <v>1003</v>
      </c>
      <c r="I6" s="3311" t="s">
        <v>1368</v>
      </c>
      <c r="J6" s="307">
        <f ca="1">ROUND(M6*M8*M7*(1-M9),0)</f>
        <v>0</v>
      </c>
      <c r="K6" s="1561" t="s">
        <v>2847</v>
      </c>
      <c r="L6" s="308" t="s">
        <v>1370</v>
      </c>
      <c r="M6" s="309">
        <f ca="1">INDIRECT("'数据-取费表'!z"&amp;$G$1)</f>
        <v>0</v>
      </c>
    </row>
    <row r="7" spans="1:37" ht="18" customHeight="1">
      <c r="A7" s="1205"/>
      <c r="B7" s="3312"/>
      <c r="C7" s="1207"/>
      <c r="D7" s="313"/>
      <c r="E7" s="1208" t="s">
        <v>1371</v>
      </c>
      <c r="F7" s="309">
        <f ca="1">IF(INDIRECT("'数据-取费表'!ah"&amp;$G$1)="",INDIRECT("'数据-取费表'!k"&amp;$G$1),INDIRECT("'数据-取费表'!ah"&amp;$G$1))</f>
        <v>0</v>
      </c>
      <c r="G7" s="1569"/>
      <c r="H7" s="310"/>
      <c r="I7" s="3312"/>
      <c r="J7" s="312"/>
      <c r="K7" s="313"/>
      <c r="L7" s="308" t="s">
        <v>1371</v>
      </c>
      <c r="M7" s="309">
        <f ca="1">F7</f>
        <v>0</v>
      </c>
    </row>
    <row r="8" spans="1:37" ht="18" customHeight="1">
      <c r="A8" s="310"/>
      <c r="B8" s="3312"/>
      <c r="C8" s="312"/>
      <c r="D8" s="313"/>
      <c r="E8" s="308" t="s">
        <v>1372</v>
      </c>
      <c r="F8" s="309">
        <f ca="1">INDIRECT("'数据-取费表'!ai"&amp;$G$1)</f>
        <v>0</v>
      </c>
      <c r="G8" s="1569"/>
      <c r="H8" s="310"/>
      <c r="I8" s="3312"/>
      <c r="J8" s="312"/>
      <c r="K8" s="313"/>
      <c r="L8" s="308" t="s">
        <v>1372</v>
      </c>
      <c r="M8" s="309">
        <f ca="1">INDIRECT("'数据-取费表'!ai"&amp;$G$1)</f>
        <v>0</v>
      </c>
    </row>
    <row r="9" spans="1:37" ht="18" customHeight="1">
      <c r="A9" s="310"/>
      <c r="B9" s="3313"/>
      <c r="C9" s="312"/>
      <c r="D9" s="313"/>
      <c r="E9" s="308" t="s">
        <v>1373</v>
      </c>
      <c r="F9" s="318">
        <f ca="1">INDIRECT("'数据-取费表'!w"&amp;$G$1)</f>
        <v>0</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309" t="s">
        <v>1513</v>
      </c>
      <c r="L53" s="3310"/>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193156</v>
      </c>
      <c r="C2" s="2059" t="s">
        <v>2340</v>
      </c>
      <c r="D2" s="2060" t="s">
        <v>2341</v>
      </c>
      <c r="E2" s="2834">
        <f>SUM(E6:E13)</f>
        <v>99232.33</v>
      </c>
      <c r="F2" s="2937"/>
      <c r="G2" s="1675"/>
      <c r="H2" s="1675"/>
      <c r="I2" s="1675"/>
      <c r="J2" s="1675"/>
      <c r="K2" s="1675"/>
      <c r="L2" s="1675"/>
      <c r="M2" s="1675"/>
      <c r="N2" s="1675"/>
      <c r="O2" s="1675"/>
      <c r="P2" s="1675"/>
      <c r="Q2" s="1675"/>
      <c r="R2" s="1675"/>
      <c r="S2" s="1675"/>
    </row>
    <row r="3" spans="1:22" ht="15.75">
      <c r="A3" s="2057" t="s">
        <v>1360</v>
      </c>
      <c r="B3" s="2828">
        <f ca="1">ROUND(B2*10000/E2,0)</f>
        <v>19465</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14" t="s">
        <v>2343</v>
      </c>
      <c r="C5" s="3315"/>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收益法-地上商业</v>
      </c>
      <c r="B6" s="2829">
        <f ca="1">IF(F6="是",'数据-取费表'!AO6,0)</f>
        <v>96771</v>
      </c>
      <c r="C6" s="2059" t="s">
        <v>2340</v>
      </c>
      <c r="D6" s="2939"/>
      <c r="E6" s="2833">
        <f>IF(OR(A6=0,F6="否"),0,'数据-取费表'!K6+'数据-取费表'!S6)</f>
        <v>19830.27</v>
      </c>
      <c r="F6" s="2063" t="s">
        <v>2346</v>
      </c>
      <c r="G6" s="1675"/>
      <c r="H6" s="1675"/>
      <c r="I6" s="1675"/>
      <c r="J6" s="1675"/>
      <c r="K6" s="1675"/>
      <c r="L6" s="1675"/>
      <c r="M6" s="1675"/>
      <c r="N6" s="1675"/>
      <c r="O6" s="1675"/>
      <c r="P6" s="1675"/>
      <c r="Q6" s="1675"/>
      <c r="R6" s="1675"/>
      <c r="S6" s="1675"/>
    </row>
    <row r="7" spans="1:22">
      <c r="A7" s="2831" t="str">
        <f>'数据-取费表'!AN7</f>
        <v>收益法-地下商业1</v>
      </c>
      <c r="B7" s="2829">
        <f ca="1">IF(F7="是",'数据-取费表'!AO7,0)</f>
        <v>54667</v>
      </c>
      <c r="C7" s="2059" t="s">
        <v>2340</v>
      </c>
      <c r="D7" s="2939"/>
      <c r="E7" s="2833">
        <f>IF(OR(A7=0,F7="否"),0,'数据-取费表'!K7+'数据-取费表'!S7)</f>
        <v>31986.760000000002</v>
      </c>
      <c r="F7" s="2063" t="s">
        <v>2346</v>
      </c>
      <c r="G7" s="1675"/>
      <c r="H7" s="1675"/>
      <c r="I7" s="1675"/>
      <c r="J7" s="1675"/>
      <c r="K7" s="1675"/>
      <c r="L7" s="1675"/>
      <c r="M7" s="1675"/>
      <c r="N7" s="1675"/>
      <c r="O7" s="1675"/>
      <c r="P7" s="1675"/>
      <c r="Q7" s="1675"/>
      <c r="R7" s="1675"/>
      <c r="S7" s="1675"/>
    </row>
    <row r="8" spans="1:22">
      <c r="A8" s="2831" t="str">
        <f>'数据-取费表'!AN8</f>
        <v>收益法-地下车库</v>
      </c>
      <c r="B8" s="2829">
        <f ca="1">IF(F8="是",'数据-取费表'!AO8,0)</f>
        <v>13591</v>
      </c>
      <c r="C8" s="2059" t="s">
        <v>2340</v>
      </c>
      <c r="D8" s="2939"/>
      <c r="E8" s="2833">
        <f>IF(OR(A8=0,F8="否"),0,'数据-取费表'!K8+'数据-取费表'!S8)</f>
        <v>30659.07</v>
      </c>
      <c r="F8" s="2063" t="s">
        <v>2346</v>
      </c>
      <c r="G8" s="1675"/>
      <c r="H8" s="1675"/>
      <c r="I8" s="1675"/>
      <c r="J8" s="1675"/>
      <c r="K8" s="1675"/>
      <c r="L8" s="1675"/>
      <c r="M8" s="1675"/>
      <c r="N8" s="1675"/>
      <c r="O8" s="1675"/>
      <c r="P8" s="1675"/>
      <c r="Q8" s="1675"/>
      <c r="R8" s="1675"/>
      <c r="S8" s="1675"/>
    </row>
    <row r="9" spans="1:22">
      <c r="A9" s="2831" t="str">
        <f>'数据-取费表'!AN9</f>
        <v>收益法-地下商业2</v>
      </c>
      <c r="B9" s="2829">
        <f ca="1">IF(F9="是",'数据-取费表'!AO9,0)</f>
        <v>28127</v>
      </c>
      <c r="C9" s="2059" t="s">
        <v>2340</v>
      </c>
      <c r="D9" s="2939"/>
      <c r="E9" s="2833">
        <f>IF(OR(A9=0,F9="否"),0,'数据-取费表'!K9+'数据-取费表'!S9)</f>
        <v>16756.23</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6" t="s">
        <v>1044</v>
      </c>
      <c r="B1" s="3317"/>
      <c r="C1" s="3318"/>
      <c r="D1" s="3319">
        <f>SUM(I10,I15,I20,I21,I23)</f>
        <v>0</v>
      </c>
      <c r="E1" s="3319"/>
      <c r="F1" s="3319"/>
      <c r="G1" s="3319"/>
      <c r="H1" s="3319"/>
      <c r="I1" s="3320"/>
    </row>
    <row r="2" spans="1:9">
      <c r="A2" s="3321" t="s">
        <v>1045</v>
      </c>
      <c r="B2" s="3322" t="s">
        <v>1046</v>
      </c>
      <c r="C2" s="3322"/>
      <c r="D2" s="1211" t="s">
        <v>1047</v>
      </c>
      <c r="E2" s="1211" t="s">
        <v>1048</v>
      </c>
      <c r="F2" s="1211" t="s">
        <v>1049</v>
      </c>
      <c r="G2" s="1211" t="s">
        <v>1050</v>
      </c>
      <c r="H2" s="1211" t="s">
        <v>1051</v>
      </c>
      <c r="I2" s="1212" t="s">
        <v>1052</v>
      </c>
    </row>
    <row r="3" spans="1:9">
      <c r="A3" s="3321"/>
      <c r="B3" s="3322" t="s">
        <v>1053</v>
      </c>
      <c r="C3" s="3322"/>
      <c r="D3" s="1213"/>
      <c r="E3" s="1211"/>
      <c r="F3" s="1214"/>
      <c r="G3" s="1214"/>
      <c r="H3" s="1215"/>
      <c r="I3" s="1216">
        <f>ROUND(D3*E3*F3*G3*H3/10000,0)</f>
        <v>0</v>
      </c>
    </row>
    <row r="4" spans="1:9">
      <c r="A4" s="3321"/>
      <c r="B4" s="3322" t="s">
        <v>1054</v>
      </c>
      <c r="C4" s="3322"/>
      <c r="D4" s="1213"/>
      <c r="E4" s="1211"/>
      <c r="F4" s="1214"/>
      <c r="G4" s="1214"/>
      <c r="H4" s="1215"/>
      <c r="I4" s="1216">
        <f t="shared" ref="I4:I9" si="0">ROUND(D4*E4*F4*G4*H4/10000,0)</f>
        <v>0</v>
      </c>
    </row>
    <row r="5" spans="1:9">
      <c r="A5" s="3321"/>
      <c r="B5" s="3322" t="s">
        <v>1055</v>
      </c>
      <c r="C5" s="3322"/>
      <c r="D5" s="1213"/>
      <c r="E5" s="1211"/>
      <c r="F5" s="1214"/>
      <c r="G5" s="1214"/>
      <c r="H5" s="1215"/>
      <c r="I5" s="1216">
        <f t="shared" si="0"/>
        <v>0</v>
      </c>
    </row>
    <row r="6" spans="1:9">
      <c r="A6" s="3321"/>
      <c r="B6" s="3322" t="s">
        <v>1056</v>
      </c>
      <c r="C6" s="3322"/>
      <c r="D6" s="1213"/>
      <c r="E6" s="1211"/>
      <c r="F6" s="1214"/>
      <c r="G6" s="1214"/>
      <c r="H6" s="1215"/>
      <c r="I6" s="1216">
        <f t="shared" si="0"/>
        <v>0</v>
      </c>
    </row>
    <row r="7" spans="1:9">
      <c r="A7" s="3321"/>
      <c r="B7" s="3322" t="s">
        <v>1057</v>
      </c>
      <c r="C7" s="3322"/>
      <c r="D7" s="1213"/>
      <c r="E7" s="1211"/>
      <c r="F7" s="1214"/>
      <c r="G7" s="1214"/>
      <c r="H7" s="1215"/>
      <c r="I7" s="1216">
        <f t="shared" si="0"/>
        <v>0</v>
      </c>
    </row>
    <row r="8" spans="1:9">
      <c r="A8" s="3321"/>
      <c r="B8" s="3322" t="s">
        <v>1058</v>
      </c>
      <c r="C8" s="3322"/>
      <c r="D8" s="1213"/>
      <c r="E8" s="1211"/>
      <c r="F8" s="1214"/>
      <c r="G8" s="1214"/>
      <c r="H8" s="1215"/>
      <c r="I8" s="1216">
        <f t="shared" si="0"/>
        <v>0</v>
      </c>
    </row>
    <row r="9" spans="1:9">
      <c r="A9" s="3321"/>
      <c r="B9" s="3322" t="s">
        <v>1059</v>
      </c>
      <c r="C9" s="3322"/>
      <c r="D9" s="1213"/>
      <c r="E9" s="1211"/>
      <c r="F9" s="1214"/>
      <c r="G9" s="1214"/>
      <c r="H9" s="1215"/>
      <c r="I9" s="1216">
        <f t="shared" si="0"/>
        <v>0</v>
      </c>
    </row>
    <row r="10" spans="1:9">
      <c r="A10" s="3321"/>
      <c r="B10" s="3323" t="s">
        <v>1060</v>
      </c>
      <c r="C10" s="3323"/>
      <c r="D10" s="1217"/>
      <c r="E10" s="1217" t="e">
        <f>ROUND(D1*10000/D10/H9,0)</f>
        <v>#DIV/0!</v>
      </c>
      <c r="F10" s="1218"/>
      <c r="G10" s="1218"/>
      <c r="H10" s="1219"/>
      <c r="I10" s="1220">
        <f>SUM(I3:I9)</f>
        <v>0</v>
      </c>
    </row>
    <row r="11" spans="1:9" ht="14.25">
      <c r="A11" s="3321" t="s">
        <v>1061</v>
      </c>
      <c r="B11" s="3322" t="s">
        <v>1062</v>
      </c>
      <c r="C11" s="3322"/>
      <c r="D11" s="1213" t="s">
        <v>1063</v>
      </c>
      <c r="E11" s="1213" t="s">
        <v>1064</v>
      </c>
      <c r="F11" s="1214" t="s">
        <v>1065</v>
      </c>
      <c r="G11" s="1214" t="s">
        <v>1051</v>
      </c>
      <c r="H11" s="1221" t="s">
        <v>1066</v>
      </c>
      <c r="I11" s="1212" t="s">
        <v>1052</v>
      </c>
    </row>
    <row r="12" spans="1:9">
      <c r="A12" s="3321"/>
      <c r="B12" s="3322" t="s">
        <v>1067</v>
      </c>
      <c r="C12" s="3322"/>
      <c r="D12" s="1213"/>
      <c r="E12" s="1213"/>
      <c r="F12" s="1214"/>
      <c r="G12" s="1215"/>
      <c r="H12" s="1222"/>
      <c r="I12" s="1212">
        <f>ROUND(D12*E12*F12*G12/10000,0)</f>
        <v>0</v>
      </c>
    </row>
    <row r="13" spans="1:9">
      <c r="A13" s="3321"/>
      <c r="B13" s="3322" t="s">
        <v>1068</v>
      </c>
      <c r="C13" s="3322"/>
      <c r="D13" s="1213"/>
      <c r="E13" s="1213"/>
      <c r="F13" s="1214"/>
      <c r="G13" s="1215"/>
      <c r="H13" s="1222"/>
      <c r="I13" s="1212">
        <f>ROUND(D13*E13*F13*G13/10000,0)</f>
        <v>0</v>
      </c>
    </row>
    <row r="14" spans="1:9">
      <c r="A14" s="3321"/>
      <c r="B14" s="3322" t="s">
        <v>1069</v>
      </c>
      <c r="C14" s="3322"/>
      <c r="D14" s="1213"/>
      <c r="E14" s="1213"/>
      <c r="F14" s="1214"/>
      <c r="G14" s="1215"/>
      <c r="H14" s="1222"/>
      <c r="I14" s="1212">
        <f>ROUND(D14*E14*F14*G14/10000,0)</f>
        <v>0</v>
      </c>
    </row>
    <row r="15" spans="1:9">
      <c r="A15" s="3321"/>
      <c r="B15" s="3323" t="s">
        <v>1060</v>
      </c>
      <c r="C15" s="3323"/>
      <c r="D15" s="1217"/>
      <c r="E15" s="1217">
        <f>SUM(E12:E14)</f>
        <v>0</v>
      </c>
      <c r="F15" s="1218"/>
      <c r="G15" s="1215"/>
      <c r="H15" s="1222"/>
      <c r="I15" s="1223">
        <f>SUM(I12:I14)</f>
        <v>0</v>
      </c>
    </row>
    <row r="16" spans="1:9" ht="24">
      <c r="A16" s="3321" t="s">
        <v>1070</v>
      </c>
      <c r="B16" s="3322" t="s">
        <v>1071</v>
      </c>
      <c r="C16" s="3322"/>
      <c r="D16" s="1213" t="s">
        <v>1047</v>
      </c>
      <c r="E16" s="1224" t="s">
        <v>1072</v>
      </c>
      <c r="F16" s="1214" t="s">
        <v>1073</v>
      </c>
      <c r="G16" s="1215" t="s">
        <v>1051</v>
      </c>
      <c r="H16" s="1221" t="s">
        <v>1066</v>
      </c>
      <c r="I16" s="1212" t="s">
        <v>1052</v>
      </c>
    </row>
    <row r="17" spans="1:9" ht="14.25">
      <c r="A17" s="3321"/>
      <c r="B17" s="3322" t="s">
        <v>1074</v>
      </c>
      <c r="C17" s="3322"/>
      <c r="D17" s="1213"/>
      <c r="E17" s="1213"/>
      <c r="F17" s="1214"/>
      <c r="G17" s="1215"/>
      <c r="H17" s="1225"/>
      <c r="I17" s="1226">
        <f>ROUND(D17*E17*F17*G17/10000,0)</f>
        <v>0</v>
      </c>
    </row>
    <row r="18" spans="1:9" ht="14.25">
      <c r="A18" s="3321"/>
      <c r="B18" s="3322" t="s">
        <v>1075</v>
      </c>
      <c r="C18" s="3322"/>
      <c r="D18" s="1213"/>
      <c r="E18" s="1213"/>
      <c r="F18" s="1214"/>
      <c r="G18" s="1215"/>
      <c r="H18" s="1225"/>
      <c r="I18" s="1226">
        <f>ROUND(D18*E18*F18*G18/10000,0)</f>
        <v>0</v>
      </c>
    </row>
    <row r="19" spans="1:9" ht="14.25">
      <c r="A19" s="3321"/>
      <c r="B19" s="3322" t="s">
        <v>1076</v>
      </c>
      <c r="C19" s="3322"/>
      <c r="D19" s="1213"/>
      <c r="E19" s="1213"/>
      <c r="F19" s="1214"/>
      <c r="G19" s="1215"/>
      <c r="H19" s="1225"/>
      <c r="I19" s="1226">
        <f>ROUND(D19*E19*F19*G19/10000,0)</f>
        <v>0</v>
      </c>
    </row>
    <row r="20" spans="1:9">
      <c r="A20" s="3321"/>
      <c r="B20" s="3323" t="s">
        <v>1060</v>
      </c>
      <c r="C20" s="3323"/>
      <c r="D20" s="1217">
        <f>SUM(D17:D19)</f>
        <v>0</v>
      </c>
      <c r="E20" s="1217"/>
      <c r="F20" s="1218"/>
      <c r="G20" s="1215"/>
      <c r="H20" s="1222"/>
      <c r="I20" s="1223">
        <f>SUM(I17:I19)</f>
        <v>0</v>
      </c>
    </row>
    <row r="21" spans="1:9">
      <c r="A21" s="3321" t="s">
        <v>1077</v>
      </c>
      <c r="B21" s="3325"/>
      <c r="C21" s="3325"/>
      <c r="D21" s="3325"/>
      <c r="E21" s="3325"/>
      <c r="F21" s="3325"/>
      <c r="G21" s="3325"/>
      <c r="H21" s="1503">
        <v>0.1</v>
      </c>
      <c r="I21" s="1220">
        <f>ROUND(I10*H21,0)</f>
        <v>0</v>
      </c>
    </row>
    <row r="22" spans="1:9" ht="14.25">
      <c r="A22" s="3326" t="s">
        <v>1078</v>
      </c>
      <c r="B22" s="3327"/>
      <c r="C22" s="3328"/>
      <c r="D22" s="1227" t="s">
        <v>1079</v>
      </c>
      <c r="E22" s="1227" t="s">
        <v>1080</v>
      </c>
      <c r="F22" s="1228" t="s">
        <v>1081</v>
      </c>
      <c r="G22" s="1228" t="s">
        <v>1082</v>
      </c>
      <c r="H22" s="1221" t="s">
        <v>1083</v>
      </c>
      <c r="I22" s="1212" t="s">
        <v>1084</v>
      </c>
    </row>
    <row r="23" spans="1:9" ht="14.25" thickBot="1">
      <c r="A23" s="3329"/>
      <c r="B23" s="3330"/>
      <c r="C23" s="3331"/>
      <c r="D23" s="1229"/>
      <c r="E23" s="1229"/>
      <c r="F23" s="1229"/>
      <c r="G23" s="1230"/>
      <c r="H23" s="1231"/>
      <c r="I23" s="1232">
        <f>ROUND(E23*D23*F23*(1-G23)/10000,0)</f>
        <v>0</v>
      </c>
    </row>
    <row r="26" spans="1:9">
      <c r="A26" s="1233" t="s">
        <v>1085</v>
      </c>
      <c r="B26" s="1233"/>
      <c r="C26" s="1233"/>
      <c r="D26" s="1233"/>
      <c r="E26" s="3332">
        <f>C27-C30-C31-C32</f>
        <v>0</v>
      </c>
      <c r="F26" s="3332"/>
      <c r="G26" s="3332"/>
      <c r="H26" s="1500" t="s">
        <v>1306</v>
      </c>
    </row>
    <row r="27" spans="1:9">
      <c r="A27" s="1234">
        <v>1</v>
      </c>
      <c r="B27" s="1235" t="s">
        <v>1086</v>
      </c>
      <c r="C27" s="1235">
        <f>C28+C29</f>
        <v>0</v>
      </c>
      <c r="D27" s="1235"/>
      <c r="E27" s="3333"/>
      <c r="F27" s="3333"/>
      <c r="G27" s="3333"/>
    </row>
    <row r="28" spans="1:9">
      <c r="A28" s="1236" t="s">
        <v>1087</v>
      </c>
      <c r="B28" s="1235" t="s">
        <v>1088</v>
      </c>
      <c r="C28" s="1235"/>
      <c r="D28" s="1235"/>
      <c r="E28" s="3333"/>
      <c r="F28" s="3333"/>
      <c r="G28" s="333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4"/>
      <c r="F32" s="3324"/>
      <c r="G32" s="3324"/>
    </row>
    <row r="33" spans="1:7" hidden="1">
      <c r="A33" s="3334" t="s">
        <v>1097</v>
      </c>
      <c r="B33" s="3335"/>
      <c r="C33" s="3335"/>
      <c r="D33" s="3336"/>
      <c r="E33" s="3332"/>
      <c r="F33" s="3332"/>
      <c r="G33" s="3332"/>
    </row>
    <row r="34" spans="1:7" hidden="1">
      <c r="A34" s="1238">
        <v>1</v>
      </c>
      <c r="B34" s="1235" t="s">
        <v>1098</v>
      </c>
      <c r="C34" s="1235"/>
      <c r="D34" s="1235"/>
      <c r="E34" s="3333"/>
      <c r="F34" s="3333"/>
      <c r="G34" s="3333"/>
    </row>
    <row r="35" spans="1:7" hidden="1">
      <c r="A35" s="1238">
        <v>2</v>
      </c>
      <c r="B35" s="1235" t="s">
        <v>1099</v>
      </c>
      <c r="C35" s="1235"/>
      <c r="D35" s="1235"/>
      <c r="E35" s="3333"/>
      <c r="F35" s="3333"/>
      <c r="G35" s="3333"/>
    </row>
    <row r="36" spans="1:7" hidden="1">
      <c r="A36" s="1238">
        <v>3</v>
      </c>
      <c r="B36" s="1235" t="s">
        <v>1100</v>
      </c>
      <c r="C36" s="1235"/>
      <c r="D36" s="1235"/>
      <c r="E36" s="3333"/>
      <c r="F36" s="3333"/>
      <c r="G36" s="3333"/>
    </row>
    <row r="37" spans="1:7" hidden="1">
      <c r="A37" s="1238">
        <v>4</v>
      </c>
      <c r="B37" s="1235" t="s">
        <v>1101</v>
      </c>
      <c r="C37" s="1235"/>
      <c r="D37" s="1235"/>
      <c r="E37" s="3333"/>
      <c r="F37" s="3333"/>
      <c r="G37" s="3333"/>
    </row>
    <row r="38" spans="1:7" hidden="1">
      <c r="A38" s="3334" t="s">
        <v>1102</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99232.329999999987</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355" t="s">
        <v>2357</v>
      </c>
      <c r="D4" s="3356"/>
      <c r="E4" s="3357" t="s">
        <v>2358</v>
      </c>
      <c r="F4" s="3358"/>
      <c r="G4" s="3355" t="s">
        <v>2359</v>
      </c>
      <c r="H4" s="3356"/>
      <c r="I4" s="3355" t="s">
        <v>2360</v>
      </c>
      <c r="J4" s="3356"/>
      <c r="K4" s="2076" t="s">
        <v>2361</v>
      </c>
      <c r="L4" s="2945"/>
      <c r="M4" s="2946"/>
      <c r="N4" s="2946"/>
      <c r="O4" s="2946"/>
      <c r="P4" s="3359" t="s">
        <v>2362</v>
      </c>
      <c r="Q4" s="3360"/>
      <c r="R4" s="3342" t="s">
        <v>2358</v>
      </c>
      <c r="S4" s="3343"/>
      <c r="T4" s="3342" t="s">
        <v>2359</v>
      </c>
      <c r="U4" s="3343"/>
      <c r="V4" s="3367" t="s">
        <v>2360</v>
      </c>
      <c r="W4" s="3367"/>
      <c r="X4" s="1540"/>
      <c r="Y4" s="3342" t="s">
        <v>2362</v>
      </c>
      <c r="Z4" s="3343"/>
      <c r="AA4" s="3337" t="s">
        <v>2358</v>
      </c>
      <c r="AB4" s="3337" t="s">
        <v>2359</v>
      </c>
      <c r="AC4" s="3337" t="s">
        <v>2360</v>
      </c>
    </row>
    <row r="5" spans="1:29" ht="15">
      <c r="A5" s="364"/>
      <c r="B5" s="365"/>
      <c r="C5" s="3348" t="s">
        <v>2363</v>
      </c>
      <c r="D5" s="3349"/>
      <c r="E5" s="3346" t="s">
        <v>2364</v>
      </c>
      <c r="F5" s="3347"/>
      <c r="G5" s="3348" t="s">
        <v>2365</v>
      </c>
      <c r="H5" s="3349"/>
      <c r="I5" s="3348" t="s">
        <v>2366</v>
      </c>
      <c r="J5" s="3349"/>
      <c r="K5" s="2077"/>
      <c r="L5" s="2945"/>
      <c r="M5" s="2946"/>
      <c r="N5" s="2946"/>
      <c r="O5" s="2946"/>
      <c r="P5" s="3361"/>
      <c r="Q5" s="3362"/>
      <c r="R5" s="3344"/>
      <c r="S5" s="3345"/>
      <c r="T5" s="3344"/>
      <c r="U5" s="3345"/>
      <c r="V5" s="3367"/>
      <c r="W5" s="3367"/>
      <c r="X5" s="1540"/>
      <c r="Y5" s="3344"/>
      <c r="Z5" s="3345"/>
      <c r="AA5" s="3338"/>
      <c r="AB5" s="3338"/>
      <c r="AC5" s="3338"/>
    </row>
    <row r="6" spans="1:29" ht="15.75" thickBot="1">
      <c r="A6" s="366"/>
      <c r="B6" s="367"/>
      <c r="C6" s="3350" t="s">
        <v>2367</v>
      </c>
      <c r="D6" s="3351"/>
      <c r="E6" s="3352" t="s">
        <v>2367</v>
      </c>
      <c r="F6" s="3353"/>
      <c r="G6" s="3350" t="s">
        <v>2367</v>
      </c>
      <c r="H6" s="3351"/>
      <c r="I6" s="3350" t="s">
        <v>2367</v>
      </c>
      <c r="J6" s="3351"/>
      <c r="K6" s="2077" t="s">
        <v>2368</v>
      </c>
      <c r="L6" s="2945"/>
      <c r="M6" s="2946"/>
      <c r="N6" s="2946"/>
      <c r="O6" s="2946"/>
      <c r="P6" s="3363"/>
      <c r="Q6" s="3364"/>
      <c r="R6" s="3344"/>
      <c r="S6" s="3345"/>
      <c r="T6" s="3365"/>
      <c r="U6" s="3366"/>
      <c r="V6" s="3367"/>
      <c r="W6" s="3367"/>
      <c r="X6" s="1540"/>
      <c r="Y6" s="3365"/>
      <c r="Z6" s="3366"/>
      <c r="AA6" s="3339"/>
      <c r="AB6" s="3339"/>
      <c r="AC6" s="3339"/>
    </row>
    <row r="7" spans="1:29" s="113" customFormat="1" ht="15.75" thickBot="1">
      <c r="A7" s="368" t="s">
        <v>2369</v>
      </c>
      <c r="B7" s="369"/>
      <c r="C7" s="370">
        <f>'数据-取费表'!B2</f>
        <v>44256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40" t="s">
        <v>2370</v>
      </c>
      <c r="Q7" s="3368"/>
      <c r="R7" s="710" t="s">
        <v>23</v>
      </c>
      <c r="S7" s="711">
        <f t="shared" ref="S7:S15" si="0">F7</f>
        <v>0</v>
      </c>
      <c r="T7" s="710" t="s">
        <v>23</v>
      </c>
      <c r="U7" s="711">
        <f t="shared" ref="U7:U15" si="1">H7</f>
        <v>0</v>
      </c>
      <c r="V7" s="710" t="s">
        <v>23</v>
      </c>
      <c r="W7" s="711">
        <f t="shared" ref="W7:W15" si="2">J7</f>
        <v>0</v>
      </c>
      <c r="X7" s="712"/>
      <c r="Y7" s="3340" t="s">
        <v>2370</v>
      </c>
      <c r="Z7" s="3341"/>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40" t="s">
        <v>2373</v>
      </c>
      <c r="Q8" s="3341"/>
      <c r="R8" s="710" t="s">
        <v>23</v>
      </c>
      <c r="S8" s="711">
        <f t="shared" si="0"/>
        <v>0</v>
      </c>
      <c r="T8" s="710" t="s">
        <v>23</v>
      </c>
      <c r="U8" s="711">
        <f t="shared" si="1"/>
        <v>0</v>
      </c>
      <c r="V8" s="710" t="s">
        <v>23</v>
      </c>
      <c r="W8" s="711">
        <f t="shared" si="2"/>
        <v>0</v>
      </c>
      <c r="X8" s="712"/>
      <c r="Y8" s="3340" t="s">
        <v>2373</v>
      </c>
      <c r="Z8" s="334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54"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54"/>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54"/>
      <c r="Q11" s="1528" t="str">
        <f t="shared" si="6"/>
        <v>容积率</v>
      </c>
      <c r="R11" s="710" t="s">
        <v>21</v>
      </c>
      <c r="S11" s="711" t="e">
        <f t="shared" si="0"/>
        <v>#N/A</v>
      </c>
      <c r="T11" s="710" t="s">
        <v>21</v>
      </c>
      <c r="U11" s="711" t="e">
        <f t="shared" si="1"/>
        <v>#N/A</v>
      </c>
      <c r="V11" s="710" t="s">
        <v>21</v>
      </c>
      <c r="W11" s="711" t="e">
        <f t="shared" si="2"/>
        <v>#N/A</v>
      </c>
      <c r="X11" s="712"/>
      <c r="Y11" s="325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54"/>
      <c r="Q12" s="1528">
        <f t="shared" si="6"/>
        <v>111</v>
      </c>
      <c r="R12" s="710" t="s">
        <v>21</v>
      </c>
      <c r="S12" s="711">
        <f t="shared" si="0"/>
        <v>100</v>
      </c>
      <c r="T12" s="710" t="s">
        <v>21</v>
      </c>
      <c r="U12" s="711">
        <f t="shared" si="1"/>
        <v>100</v>
      </c>
      <c r="V12" s="710" t="s">
        <v>21</v>
      </c>
      <c r="W12" s="711">
        <f t="shared" si="2"/>
        <v>100</v>
      </c>
      <c r="X12" s="712"/>
      <c r="Y12" s="325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54"/>
      <c r="Q13" s="1528">
        <f t="shared" si="6"/>
        <v>111</v>
      </c>
      <c r="R13" s="710" t="s">
        <v>21</v>
      </c>
      <c r="S13" s="711">
        <f t="shared" si="0"/>
        <v>100</v>
      </c>
      <c r="T13" s="710" t="s">
        <v>21</v>
      </c>
      <c r="U13" s="711">
        <f t="shared" si="1"/>
        <v>100</v>
      </c>
      <c r="V13" s="710" t="s">
        <v>21</v>
      </c>
      <c r="W13" s="711">
        <f t="shared" si="2"/>
        <v>100</v>
      </c>
      <c r="X13" s="712"/>
      <c r="Y13" s="3256"/>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54"/>
      <c r="Q14" s="1528">
        <f t="shared" si="6"/>
        <v>111</v>
      </c>
      <c r="R14" s="710" t="s">
        <v>21</v>
      </c>
      <c r="S14" s="711">
        <f t="shared" si="0"/>
        <v>100</v>
      </c>
      <c r="T14" s="710" t="s">
        <v>21</v>
      </c>
      <c r="U14" s="711">
        <f t="shared" si="1"/>
        <v>100</v>
      </c>
      <c r="V14" s="710" t="s">
        <v>21</v>
      </c>
      <c r="W14" s="711">
        <f t="shared" si="2"/>
        <v>100</v>
      </c>
      <c r="X14" s="712"/>
      <c r="Y14" s="3256"/>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81" t="s">
        <v>2381</v>
      </c>
      <c r="Q15" s="1537" t="str">
        <f t="shared" si="6"/>
        <v>居住社区成熟度</v>
      </c>
      <c r="R15" s="714" t="s">
        <v>21</v>
      </c>
      <c r="S15" s="715">
        <f t="shared" si="0"/>
        <v>100</v>
      </c>
      <c r="T15" s="714" t="s">
        <v>21</v>
      </c>
      <c r="U15" s="715">
        <f t="shared" si="1"/>
        <v>100</v>
      </c>
      <c r="V15" s="714" t="s">
        <v>21</v>
      </c>
      <c r="W15" s="715">
        <f t="shared" si="2"/>
        <v>100</v>
      </c>
      <c r="X15" s="1540"/>
      <c r="Y15" s="3374"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82"/>
      <c r="Q16" s="1537"/>
      <c r="R16" s="714"/>
      <c r="S16" s="715"/>
      <c r="T16" s="714"/>
      <c r="U16" s="715"/>
      <c r="V16" s="714"/>
      <c r="W16" s="715"/>
      <c r="X16" s="1540"/>
      <c r="Y16" s="337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82"/>
      <c r="Q17" s="1537" t="str">
        <f>B17</f>
        <v>交通便捷度</v>
      </c>
      <c r="R17" s="714" t="s">
        <v>21</v>
      </c>
      <c r="S17" s="715">
        <f>F17</f>
        <v>100</v>
      </c>
      <c r="T17" s="714" t="s">
        <v>21</v>
      </c>
      <c r="U17" s="715">
        <f>H17</f>
        <v>100</v>
      </c>
      <c r="V17" s="714" t="s">
        <v>21</v>
      </c>
      <c r="W17" s="715">
        <f>J17</f>
        <v>100</v>
      </c>
      <c r="X17" s="1540"/>
      <c r="Y17" s="337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82"/>
      <c r="Q18" s="1537"/>
      <c r="R18" s="714"/>
      <c r="S18" s="715"/>
      <c r="T18" s="714"/>
      <c r="U18" s="715"/>
      <c r="V18" s="714"/>
      <c r="W18" s="715"/>
      <c r="X18" s="1540"/>
      <c r="Y18" s="3375"/>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82"/>
      <c r="Q19" s="1537" t="str">
        <f>B19</f>
        <v>公共配套设施</v>
      </c>
      <c r="R19" s="714" t="s">
        <v>21</v>
      </c>
      <c r="S19" s="715">
        <f>F19</f>
        <v>100</v>
      </c>
      <c r="T19" s="714" t="s">
        <v>21</v>
      </c>
      <c r="U19" s="715">
        <f>H19</f>
        <v>100</v>
      </c>
      <c r="V19" s="714" t="s">
        <v>21</v>
      </c>
      <c r="W19" s="715">
        <f>J19</f>
        <v>100</v>
      </c>
      <c r="X19" s="1540"/>
      <c r="Y19" s="337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82"/>
      <c r="Q20" s="1537"/>
      <c r="R20" s="714"/>
      <c r="S20" s="715"/>
      <c r="T20" s="714"/>
      <c r="U20" s="715"/>
      <c r="V20" s="714"/>
      <c r="W20" s="715"/>
      <c r="X20" s="1540"/>
      <c r="Y20" s="3375"/>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82"/>
      <c r="Q21" s="1537" t="str">
        <f>B21</f>
        <v>基础设施水平</v>
      </c>
      <c r="R21" s="714" t="s">
        <v>17</v>
      </c>
      <c r="S21" s="715">
        <f>F21</f>
        <v>100</v>
      </c>
      <c r="T21" s="714" t="s">
        <v>17</v>
      </c>
      <c r="U21" s="715">
        <f>H21</f>
        <v>100</v>
      </c>
      <c r="V21" s="714" t="s">
        <v>17</v>
      </c>
      <c r="W21" s="715">
        <f>J21</f>
        <v>100</v>
      </c>
      <c r="X21" s="1540"/>
      <c r="Y21" s="33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82"/>
      <c r="Q22" s="1537"/>
      <c r="R22" s="714"/>
      <c r="S22" s="715"/>
      <c r="T22" s="714"/>
      <c r="U22" s="715"/>
      <c r="V22" s="714"/>
      <c r="W22" s="715"/>
      <c r="X22" s="1540"/>
      <c r="Y22" s="3375"/>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82"/>
      <c r="Q23" s="1537" t="str">
        <f>B23</f>
        <v>自然及人文环境</v>
      </c>
      <c r="R23" s="714" t="s">
        <v>21</v>
      </c>
      <c r="S23" s="715">
        <f>F23</f>
        <v>100</v>
      </c>
      <c r="T23" s="714" t="s">
        <v>21</v>
      </c>
      <c r="U23" s="715">
        <f>H23</f>
        <v>100</v>
      </c>
      <c r="V23" s="714" t="s">
        <v>21</v>
      </c>
      <c r="W23" s="715">
        <f>J23</f>
        <v>100</v>
      </c>
      <c r="X23" s="1540"/>
      <c r="Y23" s="337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82"/>
      <c r="Q24" s="1537"/>
      <c r="R24" s="714"/>
      <c r="S24" s="715"/>
      <c r="T24" s="714"/>
      <c r="U24" s="715"/>
      <c r="V24" s="714"/>
      <c r="W24" s="715"/>
      <c r="X24" s="1540"/>
      <c r="Y24" s="3375"/>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8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75"/>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82"/>
      <c r="Q26" s="1537" t="str">
        <f t="shared" si="11"/>
        <v>朝向</v>
      </c>
      <c r="R26" s="714" t="s">
        <v>21</v>
      </c>
      <c r="S26" s="715">
        <f t="shared" si="12"/>
        <v>100</v>
      </c>
      <c r="T26" s="714" t="s">
        <v>21</v>
      </c>
      <c r="U26" s="715">
        <f t="shared" si="13"/>
        <v>100</v>
      </c>
      <c r="V26" s="714" t="s">
        <v>21</v>
      </c>
      <c r="W26" s="715">
        <f t="shared" si="14"/>
        <v>100</v>
      </c>
      <c r="X26" s="1540"/>
      <c r="Y26" s="3375"/>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82"/>
      <c r="Q27" s="1528">
        <f t="shared" si="11"/>
        <v>111</v>
      </c>
      <c r="R27" s="710" t="s">
        <v>21</v>
      </c>
      <c r="S27" s="711">
        <f t="shared" si="12"/>
        <v>100</v>
      </c>
      <c r="T27" s="710" t="s">
        <v>21</v>
      </c>
      <c r="U27" s="711">
        <f t="shared" si="13"/>
        <v>100</v>
      </c>
      <c r="V27" s="710" t="s">
        <v>21</v>
      </c>
      <c r="W27" s="711">
        <f t="shared" si="14"/>
        <v>100</v>
      </c>
      <c r="X27" s="712"/>
      <c r="Y27" s="3375"/>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82"/>
      <c r="Q28" s="1537">
        <f t="shared" si="11"/>
        <v>111</v>
      </c>
      <c r="R28" s="714" t="s">
        <v>21</v>
      </c>
      <c r="S28" s="715">
        <f t="shared" si="12"/>
        <v>100</v>
      </c>
      <c r="T28" s="714" t="s">
        <v>21</v>
      </c>
      <c r="U28" s="715">
        <f t="shared" si="13"/>
        <v>100</v>
      </c>
      <c r="V28" s="714" t="s">
        <v>21</v>
      </c>
      <c r="W28" s="715">
        <f t="shared" si="14"/>
        <v>100</v>
      </c>
      <c r="X28" s="1540"/>
      <c r="Y28" s="3375"/>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82"/>
      <c r="Q29" s="1537">
        <f t="shared" si="11"/>
        <v>111</v>
      </c>
      <c r="R29" s="714" t="s">
        <v>21</v>
      </c>
      <c r="S29" s="715">
        <f t="shared" si="12"/>
        <v>100</v>
      </c>
      <c r="T29" s="714" t="s">
        <v>21</v>
      </c>
      <c r="U29" s="715">
        <f t="shared" si="13"/>
        <v>100</v>
      </c>
      <c r="V29" s="714" t="s">
        <v>21</v>
      </c>
      <c r="W29" s="715">
        <f t="shared" si="14"/>
        <v>100</v>
      </c>
      <c r="X29" s="1540"/>
      <c r="Y29" s="3375"/>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82"/>
      <c r="Q30" s="1537">
        <f t="shared" si="11"/>
        <v>111</v>
      </c>
      <c r="R30" s="714" t="s">
        <v>21</v>
      </c>
      <c r="S30" s="715">
        <f t="shared" si="12"/>
        <v>100</v>
      </c>
      <c r="T30" s="714" t="s">
        <v>21</v>
      </c>
      <c r="U30" s="715">
        <f t="shared" si="13"/>
        <v>100</v>
      </c>
      <c r="V30" s="714" t="s">
        <v>21</v>
      </c>
      <c r="W30" s="715">
        <f t="shared" si="14"/>
        <v>100</v>
      </c>
      <c r="X30" s="1540"/>
      <c r="Y30" s="3375"/>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82"/>
      <c r="Q31" s="1537">
        <f t="shared" si="11"/>
        <v>111</v>
      </c>
      <c r="R31" s="714" t="s">
        <v>21</v>
      </c>
      <c r="S31" s="715">
        <f t="shared" si="12"/>
        <v>100</v>
      </c>
      <c r="T31" s="714" t="s">
        <v>21</v>
      </c>
      <c r="U31" s="715">
        <f t="shared" si="13"/>
        <v>100</v>
      </c>
      <c r="V31" s="714" t="s">
        <v>21</v>
      </c>
      <c r="W31" s="715">
        <f t="shared" si="14"/>
        <v>100</v>
      </c>
      <c r="X31" s="1540"/>
      <c r="Y31" s="3375"/>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76" t="s">
        <v>2386</v>
      </c>
      <c r="Q32" s="1537" t="str">
        <f t="shared" si="11"/>
        <v>建筑类型</v>
      </c>
      <c r="R32" s="714" t="s">
        <v>21</v>
      </c>
      <c r="S32" s="715">
        <f t="shared" si="12"/>
        <v>100</v>
      </c>
      <c r="T32" s="714" t="s">
        <v>21</v>
      </c>
      <c r="U32" s="715">
        <f t="shared" si="13"/>
        <v>100</v>
      </c>
      <c r="V32" s="714" t="s">
        <v>21</v>
      </c>
      <c r="W32" s="715">
        <f t="shared" si="14"/>
        <v>100</v>
      </c>
      <c r="X32" s="1540"/>
      <c r="Y32" s="3379"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77"/>
      <c r="Q33" s="716" t="str">
        <f t="shared" si="11"/>
        <v>项目建筑规模</v>
      </c>
      <c r="R33" s="717" t="s">
        <v>21</v>
      </c>
      <c r="S33" s="718" t="e">
        <f t="shared" si="12"/>
        <v>#N/A</v>
      </c>
      <c r="T33" s="717" t="s">
        <v>21</v>
      </c>
      <c r="U33" s="718" t="e">
        <f t="shared" si="13"/>
        <v>#N/A</v>
      </c>
      <c r="V33" s="717" t="s">
        <v>21</v>
      </c>
      <c r="W33" s="718" t="e">
        <f t="shared" si="14"/>
        <v>#N/A</v>
      </c>
      <c r="X33" s="719"/>
      <c r="Y33" s="3379"/>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77"/>
      <c r="Q34" s="1537" t="str">
        <f t="shared" si="11"/>
        <v>建筑结构</v>
      </c>
      <c r="R34" s="714" t="s">
        <v>21</v>
      </c>
      <c r="S34" s="715">
        <f t="shared" si="12"/>
        <v>100</v>
      </c>
      <c r="T34" s="714" t="s">
        <v>21</v>
      </c>
      <c r="U34" s="715">
        <f t="shared" si="13"/>
        <v>100</v>
      </c>
      <c r="V34" s="714" t="s">
        <v>21</v>
      </c>
      <c r="W34" s="715">
        <f t="shared" si="14"/>
        <v>100</v>
      </c>
      <c r="X34" s="1540"/>
      <c r="Y34" s="3379"/>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77"/>
      <c r="Q35" s="1537" t="str">
        <f t="shared" si="11"/>
        <v>建筑品质</v>
      </c>
      <c r="R35" s="714" t="s">
        <v>21</v>
      </c>
      <c r="S35" s="715">
        <f t="shared" si="12"/>
        <v>100</v>
      </c>
      <c r="T35" s="714" t="s">
        <v>21</v>
      </c>
      <c r="U35" s="715">
        <f t="shared" si="13"/>
        <v>100</v>
      </c>
      <c r="V35" s="714" t="s">
        <v>21</v>
      </c>
      <c r="W35" s="715">
        <f t="shared" si="14"/>
        <v>100</v>
      </c>
      <c r="X35" s="1540"/>
      <c r="Y35" s="3379"/>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77"/>
      <c r="Q36" s="1537" t="str">
        <f t="shared" si="11"/>
        <v>公共部分装修</v>
      </c>
      <c r="R36" s="714" t="s">
        <v>21</v>
      </c>
      <c r="S36" s="715">
        <f t="shared" si="12"/>
        <v>100</v>
      </c>
      <c r="T36" s="714" t="s">
        <v>21</v>
      </c>
      <c r="U36" s="715">
        <f t="shared" si="13"/>
        <v>100</v>
      </c>
      <c r="V36" s="714" t="s">
        <v>21</v>
      </c>
      <c r="W36" s="715">
        <f t="shared" si="14"/>
        <v>100</v>
      </c>
      <c r="X36" s="1540"/>
      <c r="Y36" s="3379"/>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77"/>
      <c r="Q37" s="1528" t="str">
        <f t="shared" si="11"/>
        <v>成新度</v>
      </c>
      <c r="R37" s="710" t="s">
        <v>21</v>
      </c>
      <c r="S37" s="711" t="e">
        <f t="shared" si="12"/>
        <v>#N/A</v>
      </c>
      <c r="T37" s="710" t="s">
        <v>21</v>
      </c>
      <c r="U37" s="711" t="e">
        <f t="shared" si="13"/>
        <v>#N/A</v>
      </c>
      <c r="V37" s="710" t="s">
        <v>21</v>
      </c>
      <c r="W37" s="711" t="e">
        <f t="shared" si="14"/>
        <v>#N/A</v>
      </c>
      <c r="X37" s="712"/>
      <c r="Y37" s="3379"/>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77" t="s">
        <v>2386</v>
      </c>
      <c r="Q38" s="1537" t="str">
        <f t="shared" si="11"/>
        <v>物业管理</v>
      </c>
      <c r="R38" s="714" t="s">
        <v>21</v>
      </c>
      <c r="S38" s="715">
        <f t="shared" si="12"/>
        <v>100</v>
      </c>
      <c r="T38" s="714" t="s">
        <v>21</v>
      </c>
      <c r="U38" s="715">
        <f t="shared" si="13"/>
        <v>100</v>
      </c>
      <c r="V38" s="714" t="s">
        <v>21</v>
      </c>
      <c r="W38" s="715">
        <f t="shared" si="14"/>
        <v>100</v>
      </c>
      <c r="X38" s="1540"/>
      <c r="Y38" s="3379"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77"/>
      <c r="Q39" s="1537" t="str">
        <f t="shared" si="11"/>
        <v>市政基础设施</v>
      </c>
      <c r="R39" s="714" t="s">
        <v>21</v>
      </c>
      <c r="S39" s="715">
        <f t="shared" si="12"/>
        <v>100</v>
      </c>
      <c r="T39" s="714" t="s">
        <v>21</v>
      </c>
      <c r="U39" s="715">
        <f t="shared" si="13"/>
        <v>100</v>
      </c>
      <c r="V39" s="714" t="s">
        <v>21</v>
      </c>
      <c r="W39" s="715">
        <f t="shared" si="14"/>
        <v>100</v>
      </c>
      <c r="X39" s="1540"/>
      <c r="Y39" s="3379"/>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77"/>
      <c r="Q40" s="1537" t="str">
        <f t="shared" si="11"/>
        <v>房型</v>
      </c>
      <c r="R40" s="714" t="s">
        <v>21</v>
      </c>
      <c r="S40" s="715">
        <f t="shared" si="12"/>
        <v>100</v>
      </c>
      <c r="T40" s="714" t="s">
        <v>21</v>
      </c>
      <c r="U40" s="715">
        <f t="shared" si="13"/>
        <v>100</v>
      </c>
      <c r="V40" s="714" t="s">
        <v>21</v>
      </c>
      <c r="W40" s="715">
        <f t="shared" si="14"/>
        <v>100</v>
      </c>
      <c r="X40" s="1540"/>
      <c r="Y40" s="3379"/>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77"/>
      <c r="Q41" s="716" t="str">
        <f t="shared" si="11"/>
        <v>单套/主力户型建筑面积</v>
      </c>
      <c r="R41" s="717" t="s">
        <v>21</v>
      </c>
      <c r="S41" s="718">
        <f t="shared" si="12"/>
        <v>100</v>
      </c>
      <c r="T41" s="717" t="s">
        <v>21</v>
      </c>
      <c r="U41" s="718">
        <f t="shared" si="13"/>
        <v>100</v>
      </c>
      <c r="V41" s="717" t="s">
        <v>21</v>
      </c>
      <c r="W41" s="718">
        <f t="shared" si="14"/>
        <v>100</v>
      </c>
      <c r="X41" s="719"/>
      <c r="Y41" s="3379"/>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77"/>
      <c r="Q42" s="1537" t="str">
        <f t="shared" si="11"/>
        <v>内部装修</v>
      </c>
      <c r="R42" s="714" t="s">
        <v>21</v>
      </c>
      <c r="S42" s="715">
        <f t="shared" si="12"/>
        <v>100</v>
      </c>
      <c r="T42" s="714" t="s">
        <v>21</v>
      </c>
      <c r="U42" s="715">
        <f t="shared" si="13"/>
        <v>100</v>
      </c>
      <c r="V42" s="714" t="s">
        <v>21</v>
      </c>
      <c r="W42" s="715">
        <f t="shared" si="14"/>
        <v>100</v>
      </c>
      <c r="X42" s="1540"/>
      <c r="Y42" s="3379"/>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77"/>
      <c r="Q43" s="1537" t="str">
        <f t="shared" si="11"/>
        <v>内部装修维护情况</v>
      </c>
      <c r="R43" s="714" t="s">
        <v>21</v>
      </c>
      <c r="S43" s="715">
        <f t="shared" si="12"/>
        <v>100</v>
      </c>
      <c r="T43" s="714" t="s">
        <v>21</v>
      </c>
      <c r="U43" s="715">
        <f t="shared" si="13"/>
        <v>100</v>
      </c>
      <c r="V43" s="714" t="s">
        <v>21</v>
      </c>
      <c r="W43" s="715">
        <f t="shared" si="14"/>
        <v>100</v>
      </c>
      <c r="X43" s="1540"/>
      <c r="Y43" s="3379"/>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77"/>
      <c r="Q44" s="1528">
        <f t="shared" si="11"/>
        <v>111</v>
      </c>
      <c r="R44" s="710" t="s">
        <v>21</v>
      </c>
      <c r="S44" s="711">
        <f t="shared" si="12"/>
        <v>100</v>
      </c>
      <c r="T44" s="710" t="s">
        <v>21</v>
      </c>
      <c r="U44" s="711">
        <f t="shared" si="13"/>
        <v>100</v>
      </c>
      <c r="V44" s="710" t="s">
        <v>21</v>
      </c>
      <c r="W44" s="711">
        <f t="shared" si="14"/>
        <v>100</v>
      </c>
      <c r="X44" s="712"/>
      <c r="Y44" s="337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77"/>
      <c r="Q45" s="1537">
        <f t="shared" si="11"/>
        <v>111</v>
      </c>
      <c r="R45" s="714" t="s">
        <v>21</v>
      </c>
      <c r="S45" s="715">
        <f t="shared" si="12"/>
        <v>100</v>
      </c>
      <c r="T45" s="714" t="s">
        <v>21</v>
      </c>
      <c r="U45" s="715">
        <f t="shared" si="13"/>
        <v>100</v>
      </c>
      <c r="V45" s="714" t="s">
        <v>21</v>
      </c>
      <c r="W45" s="715">
        <f t="shared" si="14"/>
        <v>100</v>
      </c>
      <c r="X45" s="1540"/>
      <c r="Y45" s="3379"/>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78"/>
      <c r="Q46" s="1537">
        <f t="shared" si="11"/>
        <v>111</v>
      </c>
      <c r="R46" s="714" t="s">
        <v>20</v>
      </c>
      <c r="S46" s="715">
        <f t="shared" si="12"/>
        <v>100</v>
      </c>
      <c r="T46" s="714" t="s">
        <v>20</v>
      </c>
      <c r="U46" s="715">
        <f t="shared" si="13"/>
        <v>100</v>
      </c>
      <c r="V46" s="714" t="s">
        <v>20</v>
      </c>
      <c r="W46" s="715">
        <f t="shared" si="14"/>
        <v>100</v>
      </c>
      <c r="X46" s="1540"/>
      <c r="Y46" s="3380"/>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372" t="str">
        <f>A47</f>
        <v>成交单价（元/平方米）</v>
      </c>
      <c r="Q47" s="3372"/>
      <c r="R47" s="3373">
        <f>E47</f>
        <v>0</v>
      </c>
      <c r="S47" s="3373"/>
      <c r="T47" s="3373">
        <f>G47</f>
        <v>0</v>
      </c>
      <c r="U47" s="3373"/>
      <c r="V47" s="3373">
        <f>I47</f>
        <v>0</v>
      </c>
      <c r="W47" s="3373"/>
      <c r="X47" s="699"/>
      <c r="Y47" s="721"/>
      <c r="Z47" s="699"/>
      <c r="AA47" s="699"/>
      <c r="AB47" s="699"/>
      <c r="AC47" s="699"/>
    </row>
    <row r="48" spans="1:29" ht="15.75" thickBot="1">
      <c r="A48" s="445" t="s">
        <v>2399</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t="s">
        <v>3083</v>
      </c>
      <c r="E1" s="2544"/>
      <c r="F1" s="2066" t="s">
        <v>3137</v>
      </c>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f>IF(C2="——",ROUND(C49*D3/10000,0),ROUND(C49*D3/10000,0)-D2)</f>
        <v>99151</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50000</v>
      </c>
      <c r="C3" s="360" t="s">
        <v>2465</v>
      </c>
      <c r="D3" s="359">
        <f>IF(D1="",'数据-汇总表'!E3,SUMIF('数据-汇总表'!$C19:$C33,D1,'数据-汇总表'!$E19:$E33))</f>
        <v>19830.27</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355" t="s">
        <v>2467</v>
      </c>
      <c r="D4" s="3356"/>
      <c r="E4" s="3357" t="s">
        <v>2468</v>
      </c>
      <c r="F4" s="3358"/>
      <c r="G4" s="3355" t="s">
        <v>2469</v>
      </c>
      <c r="H4" s="3356"/>
      <c r="I4" s="3355" t="s">
        <v>2470</v>
      </c>
      <c r="J4" s="3356"/>
      <c r="K4" s="567" t="s">
        <v>2471</v>
      </c>
      <c r="L4" s="2945"/>
      <c r="M4" s="2946"/>
      <c r="N4" s="2946"/>
      <c r="O4" s="2946"/>
      <c r="P4" s="3359" t="s">
        <v>2472</v>
      </c>
      <c r="Q4" s="3360"/>
      <c r="R4" s="3342" t="s">
        <v>2468</v>
      </c>
      <c r="S4" s="3343"/>
      <c r="T4" s="3342" t="s">
        <v>2469</v>
      </c>
      <c r="U4" s="3343"/>
      <c r="V4" s="3367" t="s">
        <v>2470</v>
      </c>
      <c r="W4" s="3367"/>
      <c r="X4" s="1540"/>
      <c r="Y4" s="3342" t="s">
        <v>2472</v>
      </c>
      <c r="Z4" s="3343"/>
      <c r="AA4" s="3337" t="s">
        <v>2468</v>
      </c>
      <c r="AB4" s="3367" t="s">
        <v>2469</v>
      </c>
      <c r="AC4" s="3337" t="s">
        <v>2470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1540"/>
      <c r="Y5" s="3344"/>
      <c r="Z5" s="3345"/>
      <c r="AA5" s="3338"/>
      <c r="AB5" s="3367"/>
      <c r="AC5" s="3338"/>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1540"/>
      <c r="Y6" s="3365"/>
      <c r="Z6" s="3366"/>
      <c r="AA6" s="3339"/>
      <c r="AB6" s="3367"/>
      <c r="AC6" s="3339"/>
    </row>
    <row r="7" spans="1:29" s="113" customFormat="1" ht="15.75" thickBot="1">
      <c r="A7" s="368" t="s">
        <v>2369</v>
      </c>
      <c r="B7" s="369"/>
      <c r="C7" s="370">
        <f>'数据-取费表'!B2</f>
        <v>44256</v>
      </c>
      <c r="D7" s="371">
        <v>100</v>
      </c>
      <c r="E7" s="372">
        <v>44256</v>
      </c>
      <c r="F7" s="373">
        <f>SUMIF(58:58,YEAR(E7)&amp;"-"&amp;MONTH(E7),59:59)</f>
        <v>100</v>
      </c>
      <c r="G7" s="372">
        <v>44256</v>
      </c>
      <c r="H7" s="371">
        <f>SUMIF(58:58,YEAR(G7)&amp;"-"&amp;MONTH(G7),59:59)</f>
        <v>100</v>
      </c>
      <c r="I7" s="372">
        <v>44256</v>
      </c>
      <c r="J7" s="371">
        <f>SUMIF(58:58,YEAR(I7)&amp;"-"&amp;MONTH(I7),59:59)</f>
        <v>100</v>
      </c>
      <c r="K7" s="568"/>
      <c r="L7" s="2947"/>
      <c r="M7" s="2948"/>
      <c r="N7" s="2948"/>
      <c r="O7" s="2948"/>
      <c r="P7" s="3340" t="s">
        <v>2370</v>
      </c>
      <c r="Q7" s="3368"/>
      <c r="R7" s="710" t="s">
        <v>17</v>
      </c>
      <c r="S7" s="711">
        <f t="shared" ref="S7:S15" si="0">F7</f>
        <v>100</v>
      </c>
      <c r="T7" s="710" t="s">
        <v>17</v>
      </c>
      <c r="U7" s="711">
        <f t="shared" ref="U7:U15" si="1">H7</f>
        <v>100</v>
      </c>
      <c r="V7" s="710" t="s">
        <v>17</v>
      </c>
      <c r="W7" s="711">
        <f t="shared" ref="W7:W15" si="2">J7</f>
        <v>100</v>
      </c>
      <c r="X7" s="712"/>
      <c r="Y7" s="3340" t="s">
        <v>2370</v>
      </c>
      <c r="Z7" s="3341"/>
      <c r="AA7" s="713">
        <f>D7/F7</f>
        <v>1</v>
      </c>
      <c r="AB7" s="713">
        <f>D7/H7</f>
        <v>1</v>
      </c>
      <c r="AC7" s="713">
        <f>D7/J7</f>
        <v>1</v>
      </c>
    </row>
    <row r="8" spans="1:29" s="113" customFormat="1" ht="15.75" thickBot="1">
      <c r="A8" s="368" t="s">
        <v>2371</v>
      </c>
      <c r="B8" s="369"/>
      <c r="C8" s="374" t="s">
        <v>2473</v>
      </c>
      <c r="D8" s="371">
        <v>100</v>
      </c>
      <c r="E8" s="3090" t="s">
        <v>3133</v>
      </c>
      <c r="F8" s="373">
        <f>SUMIF(61:61,E8,62:62)-SUMIF(61:61,C8,62:62)+100</f>
        <v>100</v>
      </c>
      <c r="G8" s="3090" t="s">
        <v>3133</v>
      </c>
      <c r="H8" s="371">
        <f>SUMIF(61:61,G8,62:62)-SUMIF(61:61,C8,62:62)+100</f>
        <v>100</v>
      </c>
      <c r="I8" s="3090" t="s">
        <v>3134</v>
      </c>
      <c r="J8" s="371">
        <f>SUMIF(61:61,I8,62:62)-SUMIF(61:61,C8,62:62)+100</f>
        <v>100</v>
      </c>
      <c r="K8" s="568"/>
      <c r="L8" s="2947"/>
      <c r="M8" s="2948"/>
      <c r="N8" s="2948"/>
      <c r="O8" s="2948"/>
      <c r="P8" s="3340" t="s">
        <v>2373</v>
      </c>
      <c r="Q8" s="3341"/>
      <c r="R8" s="710" t="s">
        <v>17</v>
      </c>
      <c r="S8" s="711">
        <f t="shared" si="0"/>
        <v>100</v>
      </c>
      <c r="T8" s="710" t="s">
        <v>17</v>
      </c>
      <c r="U8" s="711">
        <f t="shared" si="1"/>
        <v>100</v>
      </c>
      <c r="V8" s="710" t="s">
        <v>17</v>
      </c>
      <c r="W8" s="711">
        <f t="shared" si="2"/>
        <v>100</v>
      </c>
      <c r="X8" s="712"/>
      <c r="Y8" s="3340" t="s">
        <v>2373</v>
      </c>
      <c r="Z8" s="3341"/>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4"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4"/>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354"/>
      <c r="Q11" s="1528" t="str">
        <f t="shared" si="6"/>
        <v>容积率</v>
      </c>
      <c r="R11" s="710" t="s">
        <v>17</v>
      </c>
      <c r="S11" s="711">
        <f t="shared" si="0"/>
        <v>100</v>
      </c>
      <c r="T11" s="710" t="s">
        <v>17</v>
      </c>
      <c r="U11" s="711">
        <f t="shared" si="1"/>
        <v>100</v>
      </c>
      <c r="V11" s="710" t="s">
        <v>17</v>
      </c>
      <c r="W11" s="711">
        <f t="shared" si="2"/>
        <v>100</v>
      </c>
      <c r="X11" s="712"/>
      <c r="Y11" s="3256"/>
      <c r="Z11" s="55" t="str">
        <f t="shared" si="7"/>
        <v>容积率</v>
      </c>
      <c r="AA11" s="713">
        <f t="shared" si="3"/>
        <v>1</v>
      </c>
      <c r="AB11" s="713">
        <f t="shared" si="4"/>
        <v>1</v>
      </c>
      <c r="AC11" s="713">
        <f t="shared" si="5"/>
        <v>1</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4"/>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4"/>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4"/>
      <c r="Q14" s="1528">
        <f t="shared" si="6"/>
        <v>111</v>
      </c>
      <c r="R14" s="710" t="s">
        <v>17</v>
      </c>
      <c r="S14" s="711">
        <f t="shared" si="0"/>
        <v>100</v>
      </c>
      <c r="T14" s="710" t="s">
        <v>17</v>
      </c>
      <c r="U14" s="711">
        <f t="shared" si="1"/>
        <v>100</v>
      </c>
      <c r="V14" s="710" t="s">
        <v>17</v>
      </c>
      <c r="W14" s="711">
        <f t="shared" si="2"/>
        <v>100</v>
      </c>
      <c r="X14" s="712"/>
      <c r="Y14" s="3256"/>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81" t="s">
        <v>2381</v>
      </c>
      <c r="Q15" s="1537" t="str">
        <f t="shared" si="6"/>
        <v>商业繁华度</v>
      </c>
      <c r="R15" s="714" t="s">
        <v>17</v>
      </c>
      <c r="S15" s="715">
        <f t="shared" si="0"/>
        <v>100</v>
      </c>
      <c r="T15" s="714" t="s">
        <v>17</v>
      </c>
      <c r="U15" s="715">
        <f t="shared" si="1"/>
        <v>100</v>
      </c>
      <c r="V15" s="714" t="s">
        <v>17</v>
      </c>
      <c r="W15" s="715">
        <f t="shared" si="2"/>
        <v>100</v>
      </c>
      <c r="X15" s="1540"/>
      <c r="Y15" s="3374"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82"/>
      <c r="Q16" s="1537"/>
      <c r="R16" s="714"/>
      <c r="S16" s="715"/>
      <c r="T16" s="714"/>
      <c r="U16" s="715"/>
      <c r="V16" s="714"/>
      <c r="W16" s="715"/>
      <c r="X16" s="1540"/>
      <c r="Y16" s="337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82"/>
      <c r="Q17" s="1537" t="str">
        <f>B17</f>
        <v>交通便捷度</v>
      </c>
      <c r="R17" s="714" t="s">
        <v>17</v>
      </c>
      <c r="S17" s="715">
        <f>F17</f>
        <v>100</v>
      </c>
      <c r="T17" s="714" t="s">
        <v>17</v>
      </c>
      <c r="U17" s="715">
        <f>H17</f>
        <v>100</v>
      </c>
      <c r="V17" s="714" t="s">
        <v>17</v>
      </c>
      <c r="W17" s="715">
        <f>J17</f>
        <v>100</v>
      </c>
      <c r="X17" s="1540"/>
      <c r="Y17" s="337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82"/>
      <c r="Q18" s="1537"/>
      <c r="R18" s="714"/>
      <c r="S18" s="715"/>
      <c r="T18" s="714"/>
      <c r="U18" s="715"/>
      <c r="V18" s="714"/>
      <c r="W18" s="715"/>
      <c r="X18" s="1540"/>
      <c r="Y18" s="3375"/>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82"/>
      <c r="Q19" s="1537" t="str">
        <f>B19</f>
        <v>公共配套设施</v>
      </c>
      <c r="R19" s="714" t="s">
        <v>17</v>
      </c>
      <c r="S19" s="715">
        <f>F19</f>
        <v>100</v>
      </c>
      <c r="T19" s="714" t="s">
        <v>17</v>
      </c>
      <c r="U19" s="715">
        <f>H19</f>
        <v>100</v>
      </c>
      <c r="V19" s="714" t="s">
        <v>17</v>
      </c>
      <c r="W19" s="715">
        <f>J19</f>
        <v>100</v>
      </c>
      <c r="X19" s="1540"/>
      <c r="Y19" s="337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82"/>
      <c r="Q20" s="1537"/>
      <c r="R20" s="714"/>
      <c r="S20" s="715"/>
      <c r="T20" s="714"/>
      <c r="U20" s="715"/>
      <c r="V20" s="714"/>
      <c r="W20" s="715"/>
      <c r="X20" s="1540"/>
      <c r="Y20" s="3375"/>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82"/>
      <c r="Q21" s="1537" t="str">
        <f>B21</f>
        <v>基础设施水平</v>
      </c>
      <c r="R21" s="714" t="s">
        <v>17</v>
      </c>
      <c r="S21" s="715">
        <f>F21</f>
        <v>100</v>
      </c>
      <c r="T21" s="714" t="s">
        <v>17</v>
      </c>
      <c r="U21" s="715">
        <f>H21</f>
        <v>100</v>
      </c>
      <c r="V21" s="714" t="s">
        <v>17</v>
      </c>
      <c r="W21" s="715">
        <f>J21</f>
        <v>100</v>
      </c>
      <c r="X21" s="1540"/>
      <c r="Y21" s="33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82"/>
      <c r="Q22" s="1537"/>
      <c r="R22" s="714"/>
      <c r="S22" s="715"/>
      <c r="T22" s="714"/>
      <c r="U22" s="715"/>
      <c r="V22" s="714"/>
      <c r="W22" s="715"/>
      <c r="X22" s="1540"/>
      <c r="Y22" s="3375"/>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82"/>
      <c r="Q23" s="1537" t="str">
        <f>B23</f>
        <v>自然及人文环境</v>
      </c>
      <c r="R23" s="714" t="s">
        <v>17</v>
      </c>
      <c r="S23" s="715">
        <f>F23</f>
        <v>100</v>
      </c>
      <c r="T23" s="714" t="s">
        <v>17</v>
      </c>
      <c r="U23" s="715">
        <f>H23</f>
        <v>100</v>
      </c>
      <c r="V23" s="714" t="s">
        <v>17</v>
      </c>
      <c r="W23" s="715">
        <f>J23</f>
        <v>100</v>
      </c>
      <c r="X23" s="1540"/>
      <c r="Y23" s="337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82"/>
      <c r="Q24" s="1537"/>
      <c r="R24" s="714"/>
      <c r="S24" s="715"/>
      <c r="T24" s="714"/>
      <c r="U24" s="715"/>
      <c r="V24" s="714"/>
      <c r="W24" s="715"/>
      <c r="X24" s="1540"/>
      <c r="Y24" s="3375"/>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82"/>
      <c r="Q25" s="1537" t="str">
        <f t="shared" ref="Q25:Q46" si="11">B25</f>
        <v>临街状况</v>
      </c>
      <c r="R25" s="714" t="s">
        <v>17</v>
      </c>
      <c r="S25" s="715">
        <f>F25</f>
        <v>100</v>
      </c>
      <c r="T25" s="714" t="s">
        <v>17</v>
      </c>
      <c r="U25" s="715">
        <f>H25</f>
        <v>100</v>
      </c>
      <c r="V25" s="714" t="s">
        <v>17</v>
      </c>
      <c r="W25" s="715">
        <f>J25</f>
        <v>100</v>
      </c>
      <c r="X25" s="1540"/>
      <c r="Y25" s="3375"/>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82"/>
      <c r="Q26" s="1537" t="str">
        <f t="shared" si="11"/>
        <v>平面位置/可视性</v>
      </c>
      <c r="R26" s="714" t="s">
        <v>17</v>
      </c>
      <c r="S26" s="715">
        <f>F26</f>
        <v>100</v>
      </c>
      <c r="T26" s="714" t="s">
        <v>17</v>
      </c>
      <c r="U26" s="715">
        <f>H26</f>
        <v>100</v>
      </c>
      <c r="V26" s="714" t="s">
        <v>17</v>
      </c>
      <c r="W26" s="715">
        <f>J26</f>
        <v>100</v>
      </c>
      <c r="X26" s="1540"/>
      <c r="Y26" s="3375"/>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82"/>
      <c r="Q27" s="1528" t="str">
        <f t="shared" si="11"/>
        <v>人流量</v>
      </c>
      <c r="R27" s="710" t="s">
        <v>17</v>
      </c>
      <c r="S27" s="711">
        <f>F27</f>
        <v>100</v>
      </c>
      <c r="T27" s="710" t="s">
        <v>17</v>
      </c>
      <c r="U27" s="711">
        <f>H27</f>
        <v>100</v>
      </c>
      <c r="V27" s="710" t="s">
        <v>17</v>
      </c>
      <c r="W27" s="711">
        <f>J27</f>
        <v>100</v>
      </c>
      <c r="X27" s="712"/>
      <c r="Y27" s="3375"/>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8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7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82"/>
      <c r="Q29" s="1537">
        <f t="shared" si="11"/>
        <v>111</v>
      </c>
      <c r="R29" s="714" t="s">
        <v>17</v>
      </c>
      <c r="S29" s="715">
        <f t="shared" si="12"/>
        <v>100</v>
      </c>
      <c r="T29" s="714" t="s">
        <v>17</v>
      </c>
      <c r="U29" s="715">
        <f t="shared" si="13"/>
        <v>100</v>
      </c>
      <c r="V29" s="714" t="s">
        <v>17</v>
      </c>
      <c r="W29" s="715">
        <f t="shared" si="14"/>
        <v>100</v>
      </c>
      <c r="X29" s="1540"/>
      <c r="Y29" s="337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82"/>
      <c r="Q30" s="1537">
        <f t="shared" si="11"/>
        <v>111</v>
      </c>
      <c r="R30" s="714" t="s">
        <v>17</v>
      </c>
      <c r="S30" s="715">
        <f t="shared" si="12"/>
        <v>100</v>
      </c>
      <c r="T30" s="714" t="s">
        <v>17</v>
      </c>
      <c r="U30" s="715">
        <f t="shared" si="13"/>
        <v>100</v>
      </c>
      <c r="V30" s="714" t="s">
        <v>17</v>
      </c>
      <c r="W30" s="715">
        <f t="shared" si="14"/>
        <v>100</v>
      </c>
      <c r="X30" s="1540"/>
      <c r="Y30" s="337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82"/>
      <c r="Q31" s="1537">
        <f t="shared" si="11"/>
        <v>111</v>
      </c>
      <c r="R31" s="714" t="s">
        <v>17</v>
      </c>
      <c r="S31" s="715">
        <f t="shared" si="12"/>
        <v>100</v>
      </c>
      <c r="T31" s="714" t="s">
        <v>17</v>
      </c>
      <c r="U31" s="715">
        <f t="shared" si="13"/>
        <v>100</v>
      </c>
      <c r="V31" s="714" t="s">
        <v>17</v>
      </c>
      <c r="W31" s="715">
        <f t="shared" si="14"/>
        <v>100</v>
      </c>
      <c r="X31" s="1540"/>
      <c r="Y31" s="3375"/>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76" t="s">
        <v>2386</v>
      </c>
      <c r="Q32" s="1537" t="str">
        <f t="shared" si="11"/>
        <v>商业类型</v>
      </c>
      <c r="R32" s="714" t="s">
        <v>17</v>
      </c>
      <c r="S32" s="715">
        <f t="shared" si="12"/>
        <v>100</v>
      </c>
      <c r="T32" s="714" t="s">
        <v>17</v>
      </c>
      <c r="U32" s="715">
        <f t="shared" si="13"/>
        <v>100</v>
      </c>
      <c r="V32" s="714" t="s">
        <v>17</v>
      </c>
      <c r="W32" s="715">
        <f t="shared" si="14"/>
        <v>100</v>
      </c>
      <c r="X32" s="1540"/>
      <c r="Y32" s="3379"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377"/>
      <c r="Q33" s="716" t="str">
        <f t="shared" si="11"/>
        <v>项目建筑规模</v>
      </c>
      <c r="R33" s="717" t="s">
        <v>17</v>
      </c>
      <c r="S33" s="718">
        <f t="shared" si="12"/>
        <v>100</v>
      </c>
      <c r="T33" s="717" t="s">
        <v>17</v>
      </c>
      <c r="U33" s="718">
        <f t="shared" si="13"/>
        <v>100</v>
      </c>
      <c r="V33" s="717" t="s">
        <v>17</v>
      </c>
      <c r="W33" s="718">
        <f t="shared" si="14"/>
        <v>100</v>
      </c>
      <c r="X33" s="719"/>
      <c r="Y33" s="3379"/>
      <c r="Z33" s="720" t="str">
        <f t="shared" si="15"/>
        <v>项目建筑规模</v>
      </c>
      <c r="AA33" s="1538">
        <f t="shared" si="3"/>
        <v>1</v>
      </c>
      <c r="AB33" s="1538">
        <f t="shared" si="4"/>
        <v>1</v>
      </c>
      <c r="AC33" s="1538">
        <f t="shared" si="5"/>
        <v>1</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77"/>
      <c r="Q34" s="1537" t="str">
        <f t="shared" si="11"/>
        <v>建筑结构</v>
      </c>
      <c r="R34" s="714" t="s">
        <v>17</v>
      </c>
      <c r="S34" s="715">
        <f t="shared" si="12"/>
        <v>100</v>
      </c>
      <c r="T34" s="714" t="s">
        <v>17</v>
      </c>
      <c r="U34" s="715">
        <f t="shared" si="13"/>
        <v>100</v>
      </c>
      <c r="V34" s="714" t="s">
        <v>17</v>
      </c>
      <c r="W34" s="715">
        <f t="shared" si="14"/>
        <v>100</v>
      </c>
      <c r="X34" s="1540"/>
      <c r="Y34" s="3379"/>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77"/>
      <c r="Q35" s="1537" t="str">
        <f t="shared" si="11"/>
        <v>公共部分装修</v>
      </c>
      <c r="R35" s="714" t="s">
        <v>17</v>
      </c>
      <c r="S35" s="715">
        <f t="shared" si="12"/>
        <v>100</v>
      </c>
      <c r="T35" s="714" t="s">
        <v>17</v>
      </c>
      <c r="U35" s="715">
        <f t="shared" si="13"/>
        <v>100</v>
      </c>
      <c r="V35" s="714" t="s">
        <v>17</v>
      </c>
      <c r="W35" s="715">
        <f t="shared" si="14"/>
        <v>100</v>
      </c>
      <c r="X35" s="1540"/>
      <c r="Y35" s="3379"/>
      <c r="Z35" s="1541" t="str">
        <f t="shared" si="15"/>
        <v>公共部分装修</v>
      </c>
      <c r="AA35" s="1538">
        <f t="shared" si="3"/>
        <v>1</v>
      </c>
      <c r="AB35" s="1538">
        <f t="shared" si="4"/>
        <v>1</v>
      </c>
      <c r="AC35" s="1538">
        <f t="shared" si="5"/>
        <v>1</v>
      </c>
    </row>
    <row r="36" spans="1:29" ht="15">
      <c r="A36" s="431"/>
      <c r="B36" s="381" t="s">
        <v>2483</v>
      </c>
      <c r="C36" s="433">
        <v>0.97</v>
      </c>
      <c r="D36" s="394">
        <v>100</v>
      </c>
      <c r="E36" s="433">
        <v>0.97</v>
      </c>
      <c r="F36" s="420">
        <f>LOOKUP(E36,110:110,111:111)-LOOKUP(C36,110:110,111:111)+100</f>
        <v>100</v>
      </c>
      <c r="G36" s="433">
        <v>0.97</v>
      </c>
      <c r="H36" s="420">
        <f>LOOKUP(G36,110:110,111:111)-LOOKUP(C36,110:110,111:111)+100</f>
        <v>100</v>
      </c>
      <c r="I36" s="433">
        <v>0.97</v>
      </c>
      <c r="J36" s="394">
        <f>LOOKUP(I36,110:110,111:111)-LOOKUP(C36,110:110,111:111)+100</f>
        <v>100</v>
      </c>
      <c r="K36" s="569"/>
      <c r="L36" s="2952"/>
      <c r="M36" s="2946"/>
      <c r="N36" s="2946"/>
      <c r="O36" s="2946"/>
      <c r="P36" s="3377"/>
      <c r="Q36" s="1537" t="str">
        <f t="shared" si="11"/>
        <v>成新度</v>
      </c>
      <c r="R36" s="714" t="s">
        <v>17</v>
      </c>
      <c r="S36" s="715">
        <f t="shared" si="12"/>
        <v>100</v>
      </c>
      <c r="T36" s="714" t="s">
        <v>17</v>
      </c>
      <c r="U36" s="715">
        <f t="shared" si="13"/>
        <v>100</v>
      </c>
      <c r="V36" s="714" t="s">
        <v>17</v>
      </c>
      <c r="W36" s="715">
        <f t="shared" si="14"/>
        <v>100</v>
      </c>
      <c r="X36" s="1540"/>
      <c r="Y36" s="3379"/>
      <c r="Z36" s="1541" t="str">
        <f t="shared" si="15"/>
        <v>成新度</v>
      </c>
      <c r="AA36" s="1538">
        <f t="shared" si="3"/>
        <v>1</v>
      </c>
      <c r="AB36" s="1538">
        <f t="shared" si="4"/>
        <v>1</v>
      </c>
      <c r="AC36" s="1538">
        <f t="shared" si="5"/>
        <v>1</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77"/>
      <c r="Q37" s="1528" t="str">
        <f t="shared" si="11"/>
        <v>市政基础设施</v>
      </c>
      <c r="R37" s="710" t="s">
        <v>17</v>
      </c>
      <c r="S37" s="711">
        <f t="shared" si="12"/>
        <v>100</v>
      </c>
      <c r="T37" s="710" t="s">
        <v>17</v>
      </c>
      <c r="U37" s="711">
        <f t="shared" si="13"/>
        <v>100</v>
      </c>
      <c r="V37" s="710" t="s">
        <v>17</v>
      </c>
      <c r="W37" s="711">
        <f t="shared" si="14"/>
        <v>100</v>
      </c>
      <c r="X37" s="712"/>
      <c r="Y37" s="3379"/>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77" t="s">
        <v>2386</v>
      </c>
      <c r="Q38" s="1537" t="str">
        <f t="shared" si="11"/>
        <v>业态</v>
      </c>
      <c r="R38" s="714" t="s">
        <v>17</v>
      </c>
      <c r="S38" s="715">
        <f t="shared" si="12"/>
        <v>100</v>
      </c>
      <c r="T38" s="714" t="s">
        <v>17</v>
      </c>
      <c r="U38" s="715">
        <f t="shared" si="13"/>
        <v>100</v>
      </c>
      <c r="V38" s="714" t="s">
        <v>17</v>
      </c>
      <c r="W38" s="715">
        <f t="shared" si="14"/>
        <v>100</v>
      </c>
      <c r="X38" s="1540"/>
      <c r="Y38" s="3379"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77"/>
      <c r="Q39" s="1537" t="str">
        <f t="shared" si="11"/>
        <v>层高</v>
      </c>
      <c r="R39" s="714" t="s">
        <v>17</v>
      </c>
      <c r="S39" s="715">
        <f t="shared" si="12"/>
        <v>100</v>
      </c>
      <c r="T39" s="714" t="s">
        <v>17</v>
      </c>
      <c r="U39" s="715">
        <f t="shared" si="13"/>
        <v>100</v>
      </c>
      <c r="V39" s="714" t="s">
        <v>17</v>
      </c>
      <c r="W39" s="715">
        <f t="shared" si="14"/>
        <v>100</v>
      </c>
      <c r="X39" s="1540"/>
      <c r="Y39" s="3379"/>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77"/>
      <c r="Q40" s="1537" t="str">
        <f t="shared" si="11"/>
        <v>单套建筑面积</v>
      </c>
      <c r="R40" s="714" t="s">
        <v>17</v>
      </c>
      <c r="S40" s="715">
        <f t="shared" si="12"/>
        <v>100</v>
      </c>
      <c r="T40" s="714" t="s">
        <v>17</v>
      </c>
      <c r="U40" s="715">
        <f t="shared" si="13"/>
        <v>100</v>
      </c>
      <c r="V40" s="714" t="s">
        <v>17</v>
      </c>
      <c r="W40" s="715">
        <f t="shared" si="14"/>
        <v>100</v>
      </c>
      <c r="X40" s="1540"/>
      <c r="Y40" s="3379"/>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77"/>
      <c r="Q41" s="716" t="str">
        <f t="shared" si="11"/>
        <v>进深比</v>
      </c>
      <c r="R41" s="717" t="s">
        <v>17</v>
      </c>
      <c r="S41" s="718">
        <f t="shared" si="12"/>
        <v>100</v>
      </c>
      <c r="T41" s="717" t="s">
        <v>17</v>
      </c>
      <c r="U41" s="718">
        <f t="shared" si="13"/>
        <v>100</v>
      </c>
      <c r="V41" s="717" t="s">
        <v>17</v>
      </c>
      <c r="W41" s="718">
        <f t="shared" si="14"/>
        <v>100</v>
      </c>
      <c r="X41" s="719"/>
      <c r="Y41" s="3379"/>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77"/>
      <c r="Q42" s="1537" t="str">
        <f t="shared" si="11"/>
        <v>内部装修</v>
      </c>
      <c r="R42" s="714" t="s">
        <v>17</v>
      </c>
      <c r="S42" s="715">
        <f t="shared" si="12"/>
        <v>100</v>
      </c>
      <c r="T42" s="714" t="s">
        <v>17</v>
      </c>
      <c r="U42" s="715">
        <f t="shared" si="13"/>
        <v>100</v>
      </c>
      <c r="V42" s="714" t="s">
        <v>17</v>
      </c>
      <c r="W42" s="715">
        <f t="shared" si="14"/>
        <v>100</v>
      </c>
      <c r="X42" s="1540"/>
      <c r="Y42" s="3379"/>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77"/>
      <c r="Q43" s="1537" t="str">
        <f t="shared" si="11"/>
        <v>内部装修维护情况</v>
      </c>
      <c r="R43" s="714" t="s">
        <v>17</v>
      </c>
      <c r="S43" s="715">
        <f t="shared" si="12"/>
        <v>100</v>
      </c>
      <c r="T43" s="714" t="s">
        <v>17</v>
      </c>
      <c r="U43" s="715">
        <f t="shared" si="13"/>
        <v>100</v>
      </c>
      <c r="V43" s="714" t="s">
        <v>17</v>
      </c>
      <c r="W43" s="715">
        <f t="shared" si="14"/>
        <v>100</v>
      </c>
      <c r="X43" s="1540"/>
      <c r="Y43" s="337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77"/>
      <c r="Q44" s="1528">
        <f t="shared" si="11"/>
        <v>111</v>
      </c>
      <c r="R44" s="710" t="s">
        <v>17</v>
      </c>
      <c r="S44" s="711">
        <f t="shared" si="12"/>
        <v>100</v>
      </c>
      <c r="T44" s="710" t="s">
        <v>17</v>
      </c>
      <c r="U44" s="711">
        <f t="shared" si="13"/>
        <v>100</v>
      </c>
      <c r="V44" s="710" t="s">
        <v>17</v>
      </c>
      <c r="W44" s="711">
        <f t="shared" si="14"/>
        <v>100</v>
      </c>
      <c r="X44" s="712"/>
      <c r="Y44" s="337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77"/>
      <c r="Q45" s="1537">
        <f t="shared" si="11"/>
        <v>111</v>
      </c>
      <c r="R45" s="714" t="s">
        <v>17</v>
      </c>
      <c r="S45" s="715">
        <f t="shared" si="12"/>
        <v>100</v>
      </c>
      <c r="T45" s="714" t="s">
        <v>17</v>
      </c>
      <c r="U45" s="715">
        <f t="shared" si="13"/>
        <v>100</v>
      </c>
      <c r="V45" s="714" t="s">
        <v>17</v>
      </c>
      <c r="W45" s="715">
        <f t="shared" si="14"/>
        <v>100</v>
      </c>
      <c r="X45" s="1540"/>
      <c r="Y45" s="3379"/>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8"/>
      <c r="Q46" s="1537">
        <f t="shared" si="11"/>
        <v>111</v>
      </c>
      <c r="R46" s="714" t="s">
        <v>17</v>
      </c>
      <c r="S46" s="715">
        <f t="shared" si="12"/>
        <v>100</v>
      </c>
      <c r="T46" s="714" t="s">
        <v>17</v>
      </c>
      <c r="U46" s="715">
        <f t="shared" si="13"/>
        <v>100</v>
      </c>
      <c r="V46" s="714" t="s">
        <v>17</v>
      </c>
      <c r="W46" s="715">
        <f t="shared" si="14"/>
        <v>100</v>
      </c>
      <c r="X46" s="1540"/>
      <c r="Y46" s="3380"/>
      <c r="Z46" s="1541">
        <f t="shared" si="15"/>
        <v>111</v>
      </c>
      <c r="AA46" s="1538">
        <f t="shared" si="3"/>
        <v>1</v>
      </c>
      <c r="AB46" s="1538">
        <f t="shared" si="4"/>
        <v>1</v>
      </c>
      <c r="AC46" s="1538">
        <f t="shared" si="5"/>
        <v>1</v>
      </c>
    </row>
    <row r="47" spans="1:29" ht="15">
      <c r="A47" s="438" t="s">
        <v>2398</v>
      </c>
      <c r="B47" s="439"/>
      <c r="C47" s="1316" t="s">
        <v>1</v>
      </c>
      <c r="D47" s="1317"/>
      <c r="E47" s="1318">
        <v>50000</v>
      </c>
      <c r="F47" s="1319"/>
      <c r="G47" s="1320">
        <v>50000</v>
      </c>
      <c r="H47" s="1321"/>
      <c r="I47" s="1318">
        <v>50000</v>
      </c>
      <c r="J47" s="1321"/>
      <c r="K47" s="723"/>
      <c r="L47" s="2954"/>
      <c r="M47" s="2955"/>
      <c r="N47" s="2946"/>
      <c r="O47" s="2955"/>
      <c r="P47" s="3372" t="str">
        <f>A47</f>
        <v>成交单价（元/平方米）</v>
      </c>
      <c r="Q47" s="3372"/>
      <c r="R47" s="3367">
        <f>E47</f>
        <v>50000</v>
      </c>
      <c r="S47" s="3367"/>
      <c r="T47" s="3367">
        <f>G47</f>
        <v>50000</v>
      </c>
      <c r="U47" s="3367"/>
      <c r="V47" s="3367">
        <f>I47</f>
        <v>50000</v>
      </c>
      <c r="W47" s="3367"/>
      <c r="X47" s="699"/>
      <c r="Y47" s="721"/>
      <c r="Z47" s="699"/>
      <c r="AA47" s="699"/>
      <c r="AB47" s="699"/>
      <c r="AC47" s="699"/>
    </row>
    <row r="48" spans="1:29" ht="15.75" thickBot="1">
      <c r="A48" s="445" t="s">
        <v>2490</v>
      </c>
      <c r="B48" s="446"/>
      <c r="C48" s="1322">
        <f>R49</f>
        <v>50000</v>
      </c>
      <c r="D48" s="2539" t="s">
        <v>2879</v>
      </c>
      <c r="E48" s="1323">
        <f>R48</f>
        <v>50000</v>
      </c>
      <c r="F48" s="2540"/>
      <c r="G48" s="1322">
        <f>T48</f>
        <v>50000</v>
      </c>
      <c r="H48" s="2540"/>
      <c r="I48" s="1323">
        <f>V48</f>
        <v>50000</v>
      </c>
      <c r="J48" s="2540"/>
      <c r="K48" s="2542">
        <f>F48+H48+J48</f>
        <v>0</v>
      </c>
      <c r="L48" s="2954"/>
      <c r="M48" s="2955"/>
      <c r="N48" s="2946"/>
      <c r="O48" s="2955"/>
      <c r="P48" s="3372" t="str">
        <f>A48</f>
        <v>比较价值（元/平方米）</v>
      </c>
      <c r="Q48" s="3372"/>
      <c r="R48" s="3373">
        <f>IF(F1="售价",ROUND(PRODUCT(R47,AA7:AA46),0),ROUND(PRODUCT(R47,AA7:AA46),1))</f>
        <v>50000</v>
      </c>
      <c r="S48" s="3373"/>
      <c r="T48" s="3373">
        <f>IF(F1="售价",ROUND(PRODUCT(T47,AB7:AB46),0),ROUND(PRODUCT(T47,AB7:AB46),1))</f>
        <v>50000</v>
      </c>
      <c r="U48" s="3373"/>
      <c r="V48" s="3373">
        <f>IF(F1="售价",ROUND(PRODUCT(V47,AC7:AC46),0),ROUND(PRODUCT(V47,AC7:AC46),1))</f>
        <v>50000</v>
      </c>
      <c r="W48" s="3373"/>
      <c r="X48" s="699"/>
      <c r="Y48" s="699"/>
      <c r="Z48" s="699"/>
      <c r="AA48" s="699"/>
      <c r="AB48" s="699"/>
      <c r="AC48" s="699"/>
    </row>
    <row r="49" spans="1:29" ht="15.75" thickBot="1">
      <c r="A49" s="449" t="s">
        <v>2491</v>
      </c>
      <c r="B49" s="450"/>
      <c r="C49" s="1325">
        <f>R49</f>
        <v>50000</v>
      </c>
      <c r="D49" s="1325"/>
      <c r="E49" s="1325"/>
      <c r="F49" s="1325"/>
      <c r="G49" s="1325"/>
      <c r="H49" s="1325"/>
      <c r="I49" s="1325"/>
      <c r="J49" s="1325"/>
      <c r="K49" s="724"/>
      <c r="L49" s="2954"/>
      <c r="M49" s="2955"/>
      <c r="N49" s="2946"/>
      <c r="O49" s="2955"/>
      <c r="P49" s="3369" t="str">
        <f>A49</f>
        <v>估价对象XX用房的比较价值（楼面单价，元/平方米）</v>
      </c>
      <c r="Q49" s="3370"/>
      <c r="R49" s="3371">
        <f>IF(F1="售价",ROUND(IF(D48="简单平均",AVERAGE(R48:V48),R48*F48+T48*H48+V48*J48),0),ROUND(IF(D48="简单平均",AVERAGE(R48:V48),R48*F48+T48*H48+V48*J48),1))</f>
        <v>50000</v>
      </c>
      <c r="S49" s="3371"/>
      <c r="T49" s="3371"/>
      <c r="U49" s="3371"/>
      <c r="V49" s="3371"/>
      <c r="W49" s="337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v>0</v>
      </c>
      <c r="D68" s="506">
        <v>1</v>
      </c>
      <c r="E68" s="506">
        <v>2</v>
      </c>
      <c r="F68" s="506">
        <v>3</v>
      </c>
      <c r="G68" s="506">
        <v>4</v>
      </c>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0(含)-100</v>
      </c>
      <c r="D102" s="535" t="str">
        <f t="shared" ref="D102:L102" si="23">D103&amp;"(含)"&amp;"-"&amp;E103</f>
        <v>100(含)-200</v>
      </c>
      <c r="E102" s="535" t="str">
        <f t="shared" si="23"/>
        <v>200(含)-300</v>
      </c>
      <c r="F102" s="535" t="str">
        <f t="shared" si="23"/>
        <v>300(含)-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v>100</v>
      </c>
      <c r="E103" s="552">
        <v>200</v>
      </c>
      <c r="F103" s="552">
        <v>300</v>
      </c>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估价对象为北京市房地产，为所有。根据《国有土地使用证》[]，估价对象（分摊）出让国有建设用地使用权面积为0平方米，建筑面积为99232.33平方米。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估价对象为北京市房地产,属开发建设的，该项目尚在开发建设中。根据《国有土地使用证》[]，估价对象（分摊）出让国有建设用地使用权面积为0平方米，规划建筑面积为99232.33平方米。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99232.329999999987</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355" t="s">
        <v>2467</v>
      </c>
      <c r="D4" s="3356"/>
      <c r="E4" s="3357" t="s">
        <v>2468</v>
      </c>
      <c r="F4" s="3358"/>
      <c r="G4" s="3355" t="s">
        <v>2469</v>
      </c>
      <c r="H4" s="3356"/>
      <c r="I4" s="3355" t="s">
        <v>2470</v>
      </c>
      <c r="J4" s="3356"/>
      <c r="K4" s="567" t="s">
        <v>2471</v>
      </c>
      <c r="L4" s="2945"/>
      <c r="M4" s="2946"/>
      <c r="N4" s="2946"/>
      <c r="O4" s="2946"/>
      <c r="P4" s="3389" t="s">
        <v>2472</v>
      </c>
      <c r="Q4" s="3390"/>
      <c r="R4" s="3384" t="s">
        <v>2468</v>
      </c>
      <c r="S4" s="3385"/>
      <c r="T4" s="3384" t="s">
        <v>2469</v>
      </c>
      <c r="U4" s="3385"/>
      <c r="V4" s="3393" t="s">
        <v>2470</v>
      </c>
      <c r="W4" s="3393"/>
      <c r="X4" s="2145"/>
      <c r="Y4" s="3384" t="s">
        <v>2472</v>
      </c>
      <c r="Z4" s="3385"/>
      <c r="AA4" s="3383" t="s">
        <v>2468</v>
      </c>
      <c r="AB4" s="3383" t="s">
        <v>2469</v>
      </c>
      <c r="AC4" s="3386" t="s">
        <v>2470</v>
      </c>
    </row>
    <row r="5" spans="1:29" ht="15">
      <c r="A5" s="364"/>
      <c r="B5" s="365"/>
      <c r="C5" s="3348" t="s">
        <v>2363</v>
      </c>
      <c r="D5" s="3349"/>
      <c r="E5" s="3346" t="s">
        <v>2364</v>
      </c>
      <c r="F5" s="3347"/>
      <c r="G5" s="3348" t="s">
        <v>2365</v>
      </c>
      <c r="H5" s="3349"/>
      <c r="I5" s="3348" t="s">
        <v>2366</v>
      </c>
      <c r="J5" s="3349"/>
      <c r="K5" s="567"/>
      <c r="L5" s="2945"/>
      <c r="M5" s="2946"/>
      <c r="N5" s="2946"/>
      <c r="O5" s="2946"/>
      <c r="P5" s="3391"/>
      <c r="Q5" s="3362"/>
      <c r="R5" s="3344"/>
      <c r="S5" s="3345"/>
      <c r="T5" s="3344"/>
      <c r="U5" s="3345"/>
      <c r="V5" s="3367"/>
      <c r="W5" s="3367"/>
      <c r="X5" s="1540"/>
      <c r="Y5" s="3344"/>
      <c r="Z5" s="3345"/>
      <c r="AA5" s="3338"/>
      <c r="AB5" s="3338"/>
      <c r="AC5" s="3387"/>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92"/>
      <c r="Q6" s="3364"/>
      <c r="R6" s="3344"/>
      <c r="S6" s="3345"/>
      <c r="T6" s="3365"/>
      <c r="U6" s="3366"/>
      <c r="V6" s="3367"/>
      <c r="W6" s="3367"/>
      <c r="X6" s="1540"/>
      <c r="Y6" s="3365"/>
      <c r="Z6" s="3366"/>
      <c r="AA6" s="3339"/>
      <c r="AB6" s="3339"/>
      <c r="AC6" s="3388"/>
    </row>
    <row r="7" spans="1:29" s="113" customFormat="1" ht="15.75" thickBot="1">
      <c r="A7" s="368" t="s">
        <v>2369</v>
      </c>
      <c r="B7" s="369"/>
      <c r="C7" s="370">
        <f>'数据-取费表'!B2</f>
        <v>44256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94" t="s">
        <v>2370</v>
      </c>
      <c r="Q7" s="3368"/>
      <c r="R7" s="710" t="s">
        <v>17</v>
      </c>
      <c r="S7" s="711">
        <f t="shared" ref="S7:S15" si="0">F7</f>
        <v>0</v>
      </c>
      <c r="T7" s="710" t="s">
        <v>17</v>
      </c>
      <c r="U7" s="711">
        <f t="shared" ref="U7:U15" si="1">H7</f>
        <v>0</v>
      </c>
      <c r="V7" s="710" t="s">
        <v>17</v>
      </c>
      <c r="W7" s="711">
        <f t="shared" ref="W7:W15" si="2">J7</f>
        <v>0</v>
      </c>
      <c r="X7" s="712"/>
      <c r="Y7" s="3340" t="s">
        <v>2370</v>
      </c>
      <c r="Z7" s="3341"/>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94" t="s">
        <v>2373</v>
      </c>
      <c r="Q8" s="3341"/>
      <c r="R8" s="710" t="s">
        <v>17</v>
      </c>
      <c r="S8" s="711">
        <f t="shared" si="0"/>
        <v>0</v>
      </c>
      <c r="T8" s="710" t="s">
        <v>17</v>
      </c>
      <c r="U8" s="711">
        <f t="shared" si="1"/>
        <v>0</v>
      </c>
      <c r="V8" s="710" t="s">
        <v>17</v>
      </c>
      <c r="W8" s="711">
        <f t="shared" si="2"/>
        <v>0</v>
      </c>
      <c r="X8" s="712"/>
      <c r="Y8" s="3340" t="s">
        <v>2373</v>
      </c>
      <c r="Z8" s="3341"/>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54"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54"/>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54"/>
      <c r="Q11" s="1528" t="str">
        <f t="shared" si="6"/>
        <v>容积率</v>
      </c>
      <c r="R11" s="710" t="s">
        <v>17</v>
      </c>
      <c r="S11" s="711" t="e">
        <f t="shared" si="0"/>
        <v>#N/A</v>
      </c>
      <c r="T11" s="710" t="s">
        <v>17</v>
      </c>
      <c r="U11" s="711" t="e">
        <f t="shared" si="1"/>
        <v>#N/A</v>
      </c>
      <c r="V11" s="710" t="s">
        <v>17</v>
      </c>
      <c r="W11" s="711" t="e">
        <f t="shared" si="2"/>
        <v>#N/A</v>
      </c>
      <c r="X11" s="712"/>
      <c r="Y11" s="325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54"/>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54"/>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54"/>
      <c r="Q14" s="1528">
        <f t="shared" si="6"/>
        <v>111</v>
      </c>
      <c r="R14" s="710" t="s">
        <v>17</v>
      </c>
      <c r="S14" s="711">
        <f t="shared" si="0"/>
        <v>100</v>
      </c>
      <c r="T14" s="710" t="s">
        <v>17</v>
      </c>
      <c r="U14" s="711">
        <f t="shared" si="1"/>
        <v>100</v>
      </c>
      <c r="V14" s="710" t="s">
        <v>17</v>
      </c>
      <c r="W14" s="711">
        <f t="shared" si="2"/>
        <v>100</v>
      </c>
      <c r="X14" s="712"/>
      <c r="Y14" s="3256"/>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81" t="s">
        <v>2381</v>
      </c>
      <c r="Q15" s="1537" t="str">
        <f t="shared" si="6"/>
        <v>办公集聚程度</v>
      </c>
      <c r="R15" s="714" t="s">
        <v>17</v>
      </c>
      <c r="S15" s="715">
        <f t="shared" si="0"/>
        <v>100</v>
      </c>
      <c r="T15" s="714" t="s">
        <v>17</v>
      </c>
      <c r="U15" s="715">
        <f t="shared" si="1"/>
        <v>100</v>
      </c>
      <c r="V15" s="714" t="s">
        <v>17</v>
      </c>
      <c r="W15" s="715">
        <f t="shared" si="2"/>
        <v>100</v>
      </c>
      <c r="X15" s="1540"/>
      <c r="Y15" s="3374"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82"/>
      <c r="Q16" s="1537"/>
      <c r="R16" s="714"/>
      <c r="S16" s="715"/>
      <c r="T16" s="714"/>
      <c r="U16" s="715"/>
      <c r="V16" s="714"/>
      <c r="W16" s="715"/>
      <c r="X16" s="1540"/>
      <c r="Y16" s="3375"/>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82"/>
      <c r="Q17" s="1537" t="str">
        <f>B17</f>
        <v>交通便捷度</v>
      </c>
      <c r="R17" s="714" t="s">
        <v>17</v>
      </c>
      <c r="S17" s="715">
        <f>F17</f>
        <v>100</v>
      </c>
      <c r="T17" s="714" t="s">
        <v>17</v>
      </c>
      <c r="U17" s="715">
        <f>H17</f>
        <v>100</v>
      </c>
      <c r="V17" s="714" t="s">
        <v>17</v>
      </c>
      <c r="W17" s="715">
        <f>J17</f>
        <v>100</v>
      </c>
      <c r="X17" s="1540"/>
      <c r="Y17" s="337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82"/>
      <c r="Q18" s="1537"/>
      <c r="R18" s="714"/>
      <c r="S18" s="715"/>
      <c r="T18" s="714"/>
      <c r="U18" s="715"/>
      <c r="V18" s="714"/>
      <c r="W18" s="715"/>
      <c r="X18" s="1540"/>
      <c r="Y18" s="3375"/>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82"/>
      <c r="Q19" s="1537" t="str">
        <f>B19</f>
        <v>公共配套设施</v>
      </c>
      <c r="R19" s="714" t="s">
        <v>17</v>
      </c>
      <c r="S19" s="715">
        <f>F19</f>
        <v>100</v>
      </c>
      <c r="T19" s="714" t="s">
        <v>17</v>
      </c>
      <c r="U19" s="715">
        <f>H19</f>
        <v>100</v>
      </c>
      <c r="V19" s="714" t="s">
        <v>17</v>
      </c>
      <c r="W19" s="715">
        <f>J19</f>
        <v>100</v>
      </c>
      <c r="X19" s="1540"/>
      <c r="Y19" s="337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82"/>
      <c r="Q20" s="1537"/>
      <c r="R20" s="714"/>
      <c r="S20" s="715"/>
      <c r="T20" s="714"/>
      <c r="U20" s="715"/>
      <c r="V20" s="714"/>
      <c r="W20" s="715"/>
      <c r="X20" s="1540"/>
      <c r="Y20" s="3375"/>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82"/>
      <c r="Q21" s="1537" t="str">
        <f>B21</f>
        <v>基础设施水平</v>
      </c>
      <c r="R21" s="714" t="s">
        <v>17</v>
      </c>
      <c r="S21" s="715">
        <f>F21</f>
        <v>100</v>
      </c>
      <c r="T21" s="714" t="s">
        <v>17</v>
      </c>
      <c r="U21" s="715">
        <f>H21</f>
        <v>100</v>
      </c>
      <c r="V21" s="714" t="s">
        <v>17</v>
      </c>
      <c r="W21" s="715">
        <f>J21</f>
        <v>100</v>
      </c>
      <c r="X21" s="1540"/>
      <c r="Y21" s="3375"/>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82"/>
      <c r="Q22" s="1537"/>
      <c r="R22" s="714"/>
      <c r="S22" s="715"/>
      <c r="T22" s="714"/>
      <c r="U22" s="715"/>
      <c r="V22" s="714"/>
      <c r="W22" s="715"/>
      <c r="X22" s="1540"/>
      <c r="Y22" s="3375"/>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82"/>
      <c r="Q23" s="1537" t="str">
        <f>B23</f>
        <v>环境质量</v>
      </c>
      <c r="R23" s="714" t="s">
        <v>17</v>
      </c>
      <c r="S23" s="715">
        <f>F23</f>
        <v>100</v>
      </c>
      <c r="T23" s="714" t="s">
        <v>17</v>
      </c>
      <c r="U23" s="715">
        <f>H23</f>
        <v>100</v>
      </c>
      <c r="V23" s="714" t="s">
        <v>17</v>
      </c>
      <c r="W23" s="715">
        <f>J23</f>
        <v>100</v>
      </c>
      <c r="X23" s="1540"/>
      <c r="Y23" s="337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82"/>
      <c r="Q24" s="1537"/>
      <c r="R24" s="714"/>
      <c r="S24" s="715"/>
      <c r="T24" s="714"/>
      <c r="U24" s="715"/>
      <c r="V24" s="714"/>
      <c r="W24" s="715"/>
      <c r="X24" s="1540"/>
      <c r="Y24" s="3375"/>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82"/>
      <c r="Q25" s="1537" t="str">
        <f>B25</f>
        <v>毗邻道路的类型与等级</v>
      </c>
      <c r="R25" s="714" t="s">
        <v>17</v>
      </c>
      <c r="S25" s="715">
        <f>F25</f>
        <v>100</v>
      </c>
      <c r="T25" s="714" t="s">
        <v>17</v>
      </c>
      <c r="U25" s="715">
        <f>H25</f>
        <v>100</v>
      </c>
      <c r="V25" s="714" t="s">
        <v>17</v>
      </c>
      <c r="W25" s="715">
        <f>J25</f>
        <v>100</v>
      </c>
      <c r="X25" s="1540"/>
      <c r="Y25" s="337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82"/>
      <c r="Q26" s="1537"/>
      <c r="R26" s="714"/>
      <c r="S26" s="715"/>
      <c r="T26" s="714"/>
      <c r="U26" s="715"/>
      <c r="V26" s="714"/>
      <c r="W26" s="715"/>
      <c r="X26" s="1540"/>
      <c r="Y26" s="3375"/>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82"/>
      <c r="Q27" s="1537" t="str">
        <f t="shared" ref="Q27:Q47" si="11">B27</f>
        <v>楼层</v>
      </c>
      <c r="R27" s="714" t="s">
        <v>17</v>
      </c>
      <c r="S27" s="715">
        <f>F27</f>
        <v>100</v>
      </c>
      <c r="T27" s="714" t="s">
        <v>17</v>
      </c>
      <c r="U27" s="715">
        <f>H27</f>
        <v>100</v>
      </c>
      <c r="V27" s="714" t="s">
        <v>17</v>
      </c>
      <c r="W27" s="715">
        <f>J27</f>
        <v>100</v>
      </c>
      <c r="X27" s="1540"/>
      <c r="Y27" s="3375"/>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82"/>
      <c r="Q28" s="1528" t="str">
        <f t="shared" si="11"/>
        <v>朝向</v>
      </c>
      <c r="R28" s="710" t="s">
        <v>17</v>
      </c>
      <c r="S28" s="711">
        <f>F28</f>
        <v>100</v>
      </c>
      <c r="T28" s="710" t="s">
        <v>17</v>
      </c>
      <c r="U28" s="711">
        <f>H28</f>
        <v>100</v>
      </c>
      <c r="V28" s="710" t="s">
        <v>17</v>
      </c>
      <c r="W28" s="711">
        <f>J28</f>
        <v>100</v>
      </c>
      <c r="X28" s="712"/>
      <c r="Y28" s="337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82"/>
      <c r="Q29" s="1537">
        <f t="shared" si="11"/>
        <v>111</v>
      </c>
      <c r="R29" s="714" t="s">
        <v>17</v>
      </c>
      <c r="S29" s="715">
        <f t="shared" ref="S29:S47" si="12">F29</f>
        <v>100</v>
      </c>
      <c r="T29" s="714" t="s">
        <v>17</v>
      </c>
      <c r="U29" s="715">
        <f t="shared" ref="U29:U47" si="13">H29</f>
        <v>100</v>
      </c>
      <c r="V29" s="714" t="s">
        <v>17</v>
      </c>
      <c r="W29" s="715">
        <f t="shared" ref="W29:W47" si="14">J29</f>
        <v>100</v>
      </c>
      <c r="X29" s="1540"/>
      <c r="Y29" s="3375"/>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82"/>
      <c r="Q30" s="1537">
        <f t="shared" si="11"/>
        <v>111</v>
      </c>
      <c r="R30" s="714" t="s">
        <v>17</v>
      </c>
      <c r="S30" s="715">
        <f t="shared" si="12"/>
        <v>100</v>
      </c>
      <c r="T30" s="714" t="s">
        <v>17</v>
      </c>
      <c r="U30" s="715">
        <f t="shared" si="13"/>
        <v>100</v>
      </c>
      <c r="V30" s="714" t="s">
        <v>17</v>
      </c>
      <c r="W30" s="715">
        <f t="shared" si="14"/>
        <v>100</v>
      </c>
      <c r="X30" s="1540"/>
      <c r="Y30" s="3375"/>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82"/>
      <c r="Q31" s="1537">
        <f t="shared" si="11"/>
        <v>111</v>
      </c>
      <c r="R31" s="714" t="s">
        <v>17</v>
      </c>
      <c r="S31" s="715">
        <f t="shared" si="12"/>
        <v>100</v>
      </c>
      <c r="T31" s="714" t="s">
        <v>17</v>
      </c>
      <c r="U31" s="715">
        <f t="shared" si="13"/>
        <v>100</v>
      </c>
      <c r="V31" s="714" t="s">
        <v>17</v>
      </c>
      <c r="W31" s="715">
        <f t="shared" si="14"/>
        <v>100</v>
      </c>
      <c r="X31" s="1540"/>
      <c r="Y31" s="3375"/>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82"/>
      <c r="Q32" s="1537">
        <f t="shared" si="11"/>
        <v>111</v>
      </c>
      <c r="R32" s="714" t="s">
        <v>17</v>
      </c>
      <c r="S32" s="715">
        <f t="shared" si="12"/>
        <v>100</v>
      </c>
      <c r="T32" s="714" t="s">
        <v>17</v>
      </c>
      <c r="U32" s="715">
        <f t="shared" si="13"/>
        <v>100</v>
      </c>
      <c r="V32" s="714" t="s">
        <v>17</v>
      </c>
      <c r="W32" s="715">
        <f t="shared" si="14"/>
        <v>100</v>
      </c>
      <c r="X32" s="1540"/>
      <c r="Y32" s="3375"/>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76" t="s">
        <v>2386</v>
      </c>
      <c r="Q33" s="1537" t="str">
        <f t="shared" si="11"/>
        <v>建筑类型</v>
      </c>
      <c r="R33" s="714" t="s">
        <v>17</v>
      </c>
      <c r="S33" s="715">
        <f t="shared" si="12"/>
        <v>100</v>
      </c>
      <c r="T33" s="714" t="s">
        <v>17</v>
      </c>
      <c r="U33" s="715">
        <f t="shared" si="13"/>
        <v>100</v>
      </c>
      <c r="V33" s="714" t="s">
        <v>17</v>
      </c>
      <c r="W33" s="715">
        <f t="shared" si="14"/>
        <v>100</v>
      </c>
      <c r="X33" s="1540"/>
      <c r="Y33" s="3379"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77"/>
      <c r="Q34" s="716" t="str">
        <f t="shared" si="11"/>
        <v>项目建筑规模</v>
      </c>
      <c r="R34" s="717" t="s">
        <v>17</v>
      </c>
      <c r="S34" s="718" t="e">
        <f t="shared" si="12"/>
        <v>#N/A</v>
      </c>
      <c r="T34" s="717" t="s">
        <v>17</v>
      </c>
      <c r="U34" s="718" t="e">
        <f t="shared" si="13"/>
        <v>#N/A</v>
      </c>
      <c r="V34" s="717" t="s">
        <v>17</v>
      </c>
      <c r="W34" s="718" t="e">
        <f t="shared" si="14"/>
        <v>#N/A</v>
      </c>
      <c r="X34" s="719"/>
      <c r="Y34" s="3379"/>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77"/>
      <c r="Q35" s="1537" t="str">
        <f t="shared" si="11"/>
        <v>建筑结构</v>
      </c>
      <c r="R35" s="714" t="s">
        <v>17</v>
      </c>
      <c r="S35" s="715">
        <f t="shared" si="12"/>
        <v>100</v>
      </c>
      <c r="T35" s="714" t="s">
        <v>17</v>
      </c>
      <c r="U35" s="715">
        <f t="shared" si="13"/>
        <v>100</v>
      </c>
      <c r="V35" s="714" t="s">
        <v>17</v>
      </c>
      <c r="W35" s="715">
        <f t="shared" si="14"/>
        <v>100</v>
      </c>
      <c r="X35" s="1540"/>
      <c r="Y35" s="3379"/>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77"/>
      <c r="Q36" s="1537" t="str">
        <f t="shared" si="11"/>
        <v>公共部分装修</v>
      </c>
      <c r="R36" s="714" t="s">
        <v>17</v>
      </c>
      <c r="S36" s="715">
        <f t="shared" si="12"/>
        <v>100</v>
      </c>
      <c r="T36" s="714" t="s">
        <v>17</v>
      </c>
      <c r="U36" s="715">
        <f t="shared" si="13"/>
        <v>100</v>
      </c>
      <c r="V36" s="714" t="s">
        <v>17</v>
      </c>
      <c r="W36" s="715">
        <f t="shared" si="14"/>
        <v>100</v>
      </c>
      <c r="X36" s="1540"/>
      <c r="Y36" s="3379"/>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77"/>
      <c r="Q37" s="1537" t="str">
        <f t="shared" si="11"/>
        <v>成新度</v>
      </c>
      <c r="R37" s="714" t="s">
        <v>17</v>
      </c>
      <c r="S37" s="715" t="e">
        <f t="shared" si="12"/>
        <v>#N/A</v>
      </c>
      <c r="T37" s="714" t="s">
        <v>17</v>
      </c>
      <c r="U37" s="715" t="e">
        <f t="shared" si="13"/>
        <v>#N/A</v>
      </c>
      <c r="V37" s="714" t="s">
        <v>17</v>
      </c>
      <c r="W37" s="715" t="e">
        <f t="shared" si="14"/>
        <v>#N/A</v>
      </c>
      <c r="X37" s="1540"/>
      <c r="Y37" s="3379"/>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77"/>
      <c r="Q38" s="1528" t="str">
        <f t="shared" si="11"/>
        <v>写字楼等级</v>
      </c>
      <c r="R38" s="710" t="s">
        <v>17</v>
      </c>
      <c r="S38" s="711">
        <f t="shared" si="12"/>
        <v>100</v>
      </c>
      <c r="T38" s="710" t="s">
        <v>17</v>
      </c>
      <c r="U38" s="711">
        <f t="shared" si="13"/>
        <v>100</v>
      </c>
      <c r="V38" s="710" t="s">
        <v>17</v>
      </c>
      <c r="W38" s="711">
        <f t="shared" si="14"/>
        <v>100</v>
      </c>
      <c r="X38" s="712"/>
      <c r="Y38" s="3379"/>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77" t="s">
        <v>2386</v>
      </c>
      <c r="Q39" s="1537" t="str">
        <f t="shared" si="11"/>
        <v>物业管理</v>
      </c>
      <c r="R39" s="714" t="s">
        <v>17</v>
      </c>
      <c r="S39" s="715">
        <f t="shared" si="12"/>
        <v>100</v>
      </c>
      <c r="T39" s="714" t="s">
        <v>17</v>
      </c>
      <c r="U39" s="715">
        <f t="shared" si="13"/>
        <v>100</v>
      </c>
      <c r="V39" s="714" t="s">
        <v>17</v>
      </c>
      <c r="W39" s="715">
        <f t="shared" si="14"/>
        <v>100</v>
      </c>
      <c r="X39" s="1540"/>
      <c r="Y39" s="3379"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77"/>
      <c r="Q40" s="1537" t="str">
        <f t="shared" si="11"/>
        <v>市政基础设施</v>
      </c>
      <c r="R40" s="714" t="s">
        <v>17</v>
      </c>
      <c r="S40" s="715">
        <f t="shared" si="12"/>
        <v>100</v>
      </c>
      <c r="T40" s="714" t="s">
        <v>17</v>
      </c>
      <c r="U40" s="715">
        <f t="shared" si="13"/>
        <v>100</v>
      </c>
      <c r="V40" s="714" t="s">
        <v>17</v>
      </c>
      <c r="W40" s="715">
        <f t="shared" si="14"/>
        <v>100</v>
      </c>
      <c r="X40" s="1540"/>
      <c r="Y40" s="3379"/>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77"/>
      <c r="Q41" s="1537" t="str">
        <f t="shared" si="11"/>
        <v>层高</v>
      </c>
      <c r="R41" s="714" t="s">
        <v>17</v>
      </c>
      <c r="S41" s="715">
        <f t="shared" si="12"/>
        <v>100</v>
      </c>
      <c r="T41" s="714" t="s">
        <v>17</v>
      </c>
      <c r="U41" s="715">
        <f t="shared" si="13"/>
        <v>100</v>
      </c>
      <c r="V41" s="714" t="s">
        <v>17</v>
      </c>
      <c r="W41" s="715">
        <f t="shared" si="14"/>
        <v>100</v>
      </c>
      <c r="X41" s="1540"/>
      <c r="Y41" s="3379"/>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77"/>
      <c r="Q42" s="716" t="str">
        <f t="shared" si="11"/>
        <v>单套建筑面积</v>
      </c>
      <c r="R42" s="717" t="s">
        <v>17</v>
      </c>
      <c r="S42" s="718">
        <f t="shared" si="12"/>
        <v>100</v>
      </c>
      <c r="T42" s="717" t="s">
        <v>17</v>
      </c>
      <c r="U42" s="718">
        <f t="shared" si="13"/>
        <v>100</v>
      </c>
      <c r="V42" s="717" t="s">
        <v>17</v>
      </c>
      <c r="W42" s="718">
        <f t="shared" si="14"/>
        <v>100</v>
      </c>
      <c r="X42" s="719"/>
      <c r="Y42" s="3379"/>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77"/>
      <c r="Q43" s="1537" t="str">
        <f t="shared" si="11"/>
        <v>内部装修</v>
      </c>
      <c r="R43" s="714" t="s">
        <v>17</v>
      </c>
      <c r="S43" s="715">
        <f t="shared" si="12"/>
        <v>100</v>
      </c>
      <c r="T43" s="714" t="s">
        <v>17</v>
      </c>
      <c r="U43" s="715">
        <f t="shared" si="13"/>
        <v>100</v>
      </c>
      <c r="V43" s="714" t="s">
        <v>17</v>
      </c>
      <c r="W43" s="715">
        <f t="shared" si="14"/>
        <v>100</v>
      </c>
      <c r="X43" s="1540"/>
      <c r="Y43" s="3379"/>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77"/>
      <c r="Q44" s="1537" t="str">
        <f t="shared" si="11"/>
        <v>内部装修维护情况</v>
      </c>
      <c r="R44" s="714" t="s">
        <v>17</v>
      </c>
      <c r="S44" s="715">
        <f t="shared" si="12"/>
        <v>100</v>
      </c>
      <c r="T44" s="714" t="s">
        <v>17</v>
      </c>
      <c r="U44" s="715">
        <f t="shared" si="13"/>
        <v>100</v>
      </c>
      <c r="V44" s="714" t="s">
        <v>17</v>
      </c>
      <c r="W44" s="715">
        <f t="shared" si="14"/>
        <v>100</v>
      </c>
      <c r="X44" s="1540"/>
      <c r="Y44" s="3379"/>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77"/>
      <c r="Q45" s="1528">
        <f t="shared" si="11"/>
        <v>111</v>
      </c>
      <c r="R45" s="710" t="s">
        <v>17</v>
      </c>
      <c r="S45" s="711">
        <f t="shared" si="12"/>
        <v>100</v>
      </c>
      <c r="T45" s="710" t="s">
        <v>17</v>
      </c>
      <c r="U45" s="711">
        <f t="shared" si="13"/>
        <v>100</v>
      </c>
      <c r="V45" s="710" t="s">
        <v>17</v>
      </c>
      <c r="W45" s="711">
        <f t="shared" si="14"/>
        <v>100</v>
      </c>
      <c r="X45" s="712"/>
      <c r="Y45" s="3379"/>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77"/>
      <c r="Q46" s="1537">
        <f t="shared" si="11"/>
        <v>111</v>
      </c>
      <c r="R46" s="714" t="s">
        <v>17</v>
      </c>
      <c r="S46" s="715">
        <f t="shared" si="12"/>
        <v>100</v>
      </c>
      <c r="T46" s="714" t="s">
        <v>17</v>
      </c>
      <c r="U46" s="715">
        <f t="shared" si="13"/>
        <v>100</v>
      </c>
      <c r="V46" s="714" t="s">
        <v>17</v>
      </c>
      <c r="W46" s="715">
        <f t="shared" si="14"/>
        <v>100</v>
      </c>
      <c r="X46" s="1540"/>
      <c r="Y46" s="3379"/>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78"/>
      <c r="Q47" s="1537">
        <f t="shared" si="11"/>
        <v>111</v>
      </c>
      <c r="R47" s="714" t="s">
        <v>17</v>
      </c>
      <c r="S47" s="715">
        <f t="shared" si="12"/>
        <v>100</v>
      </c>
      <c r="T47" s="714" t="s">
        <v>17</v>
      </c>
      <c r="U47" s="715">
        <f t="shared" si="13"/>
        <v>100</v>
      </c>
      <c r="V47" s="714" t="s">
        <v>17</v>
      </c>
      <c r="W47" s="715">
        <f t="shared" si="14"/>
        <v>100</v>
      </c>
      <c r="X47" s="1540"/>
      <c r="Y47" s="3380"/>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354" t="str">
        <f>A48</f>
        <v>成交单价（元/平方米）</v>
      </c>
      <c r="Q48" s="3372"/>
      <c r="R48" s="3373">
        <f>E48</f>
        <v>0</v>
      </c>
      <c r="S48" s="3373"/>
      <c r="T48" s="3373">
        <f>G48</f>
        <v>0</v>
      </c>
      <c r="U48" s="3373"/>
      <c r="V48" s="3373">
        <f>I48</f>
        <v>0</v>
      </c>
      <c r="W48" s="3373"/>
      <c r="X48" s="405"/>
      <c r="Y48" s="721"/>
      <c r="Z48" s="405"/>
      <c r="AA48" s="405"/>
      <c r="AB48" s="405"/>
      <c r="AC48" s="586"/>
    </row>
    <row r="49" spans="1:29" ht="15.75" thickBot="1">
      <c r="A49" s="445" t="s">
        <v>2490</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54"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95" t="str">
        <f>A50</f>
        <v>估价对象XX用房的比较价值（楼面单价，元/平方米）</v>
      </c>
      <c r="Q50" s="3396"/>
      <c r="R50" s="3397" t="e">
        <f>IF(F1="售价",ROUND(IF(D49="简单平均",AVERAGE(R49:V49),R49*F49+T49*H49+V49*J49),0),ROUND(IF(D49="简单平均",AVERAGE(R49:V49),R49*F49+T49*H49+V49*J49),1))</f>
        <v>#DIV/0!</v>
      </c>
      <c r="S50" s="3397"/>
      <c r="T50" s="3397"/>
      <c r="U50" s="3397"/>
      <c r="V50" s="3397"/>
      <c r="W50" s="3397"/>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99232.329999999987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55" t="s">
        <v>2467</v>
      </c>
      <c r="D4" s="3356"/>
      <c r="E4" s="3357" t="s">
        <v>2468</v>
      </c>
      <c r="F4" s="3358"/>
      <c r="G4" s="3355" t="s">
        <v>2469</v>
      </c>
      <c r="H4" s="3356"/>
      <c r="I4" s="3355" t="s">
        <v>2470</v>
      </c>
      <c r="J4" s="3356"/>
      <c r="K4" s="567" t="s">
        <v>2471</v>
      </c>
      <c r="L4" s="1044"/>
      <c r="M4" s="1045"/>
      <c r="N4" s="1045"/>
      <c r="O4" s="1045"/>
      <c r="P4" s="3359" t="s">
        <v>2472</v>
      </c>
      <c r="Q4" s="3360"/>
      <c r="R4" s="3342" t="s">
        <v>2468</v>
      </c>
      <c r="S4" s="3343"/>
      <c r="T4" s="3342" t="s">
        <v>2469</v>
      </c>
      <c r="U4" s="3343"/>
      <c r="V4" s="3367" t="s">
        <v>2470</v>
      </c>
      <c r="W4" s="3367"/>
      <c r="X4" s="1540"/>
      <c r="Y4" s="3342" t="s">
        <v>2472</v>
      </c>
      <c r="Z4" s="3343"/>
      <c r="AA4" s="3337" t="s">
        <v>2468</v>
      </c>
      <c r="AB4" s="3338" t="s">
        <v>2469</v>
      </c>
      <c r="AC4" s="3337" t="s">
        <v>2470</v>
      </c>
    </row>
    <row r="5" spans="1:29" ht="15">
      <c r="A5" s="364"/>
      <c r="B5" s="365"/>
      <c r="C5" s="3348" t="s">
        <v>2363</v>
      </c>
      <c r="D5" s="3349"/>
      <c r="E5" s="3346" t="s">
        <v>2364</v>
      </c>
      <c r="F5" s="3347"/>
      <c r="G5" s="3348" t="s">
        <v>2365</v>
      </c>
      <c r="H5" s="3349"/>
      <c r="I5" s="3348" t="s">
        <v>2366</v>
      </c>
      <c r="J5" s="3349"/>
      <c r="K5" s="567"/>
      <c r="L5" s="1044"/>
      <c r="M5" s="1045"/>
      <c r="N5" s="1045"/>
      <c r="O5" s="1045"/>
      <c r="P5" s="3361"/>
      <c r="Q5" s="3362"/>
      <c r="R5" s="3344"/>
      <c r="S5" s="3345"/>
      <c r="T5" s="3344"/>
      <c r="U5" s="3345"/>
      <c r="V5" s="3367"/>
      <c r="W5" s="3367"/>
      <c r="X5" s="1540"/>
      <c r="Y5" s="3344"/>
      <c r="Z5" s="3345"/>
      <c r="AA5" s="3338"/>
      <c r="AB5" s="3338"/>
      <c r="AC5" s="3338"/>
    </row>
    <row r="6" spans="1:29" ht="15.75" thickBot="1">
      <c r="A6" s="366"/>
      <c r="B6" s="367"/>
      <c r="C6" s="3350" t="s">
        <v>2367</v>
      </c>
      <c r="D6" s="3351"/>
      <c r="E6" s="3352" t="s">
        <v>2367</v>
      </c>
      <c r="F6" s="3353"/>
      <c r="G6" s="3350" t="s">
        <v>2367</v>
      </c>
      <c r="H6" s="3351"/>
      <c r="I6" s="3350" t="s">
        <v>2367</v>
      </c>
      <c r="J6" s="3351"/>
      <c r="K6" s="567" t="s">
        <v>2368</v>
      </c>
      <c r="L6" s="1044"/>
      <c r="M6" s="1045"/>
      <c r="N6" s="1045"/>
      <c r="O6" s="1045"/>
      <c r="P6" s="3363"/>
      <c r="Q6" s="3364"/>
      <c r="R6" s="3344"/>
      <c r="S6" s="3345"/>
      <c r="T6" s="3365"/>
      <c r="U6" s="3366"/>
      <c r="V6" s="3367"/>
      <c r="W6" s="3367"/>
      <c r="X6" s="1540"/>
      <c r="Y6" s="3365"/>
      <c r="Z6" s="3366"/>
      <c r="AA6" s="3339"/>
      <c r="AB6" s="3339"/>
      <c r="AC6" s="3339"/>
    </row>
    <row r="7" spans="1:29" s="113" customFormat="1" ht="15.75" thickBot="1">
      <c r="A7" s="368" t="s">
        <v>2369</v>
      </c>
      <c r="B7" s="369"/>
      <c r="C7" s="370">
        <f>'数据-取费表'!B2</f>
        <v>44256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0" t="s">
        <v>2370</v>
      </c>
      <c r="Q7" s="3368"/>
      <c r="R7" s="710" t="s">
        <v>17</v>
      </c>
      <c r="S7" s="711">
        <f t="shared" ref="S7:S15" si="0">F7</f>
        <v>0</v>
      </c>
      <c r="T7" s="710" t="s">
        <v>17</v>
      </c>
      <c r="U7" s="711">
        <f t="shared" ref="U7:U15" si="1">H7</f>
        <v>0</v>
      </c>
      <c r="V7" s="710" t="s">
        <v>17</v>
      </c>
      <c r="W7" s="711">
        <f t="shared" ref="W7:W15" si="2">J7</f>
        <v>0</v>
      </c>
      <c r="X7" s="712"/>
      <c r="Y7" s="3340" t="s">
        <v>2370</v>
      </c>
      <c r="Z7" s="334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0" t="s">
        <v>2373</v>
      </c>
      <c r="Q8" s="3341"/>
      <c r="R8" s="710" t="s">
        <v>17</v>
      </c>
      <c r="S8" s="711">
        <f t="shared" si="0"/>
        <v>0</v>
      </c>
      <c r="T8" s="710" t="s">
        <v>17</v>
      </c>
      <c r="U8" s="711">
        <f t="shared" si="1"/>
        <v>0</v>
      </c>
      <c r="V8" s="710" t="s">
        <v>17</v>
      </c>
      <c r="W8" s="711">
        <f t="shared" si="2"/>
        <v>0</v>
      </c>
      <c r="X8" s="712"/>
      <c r="Y8" s="3340" t="s">
        <v>2373</v>
      </c>
      <c r="Z8" s="334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72"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72"/>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72"/>
      <c r="Q11" s="1528" t="str">
        <f t="shared" si="6"/>
        <v>容积率</v>
      </c>
      <c r="R11" s="710" t="s">
        <v>17</v>
      </c>
      <c r="S11" s="711" t="e">
        <f t="shared" si="0"/>
        <v>#N/A</v>
      </c>
      <c r="T11" s="710" t="s">
        <v>17</v>
      </c>
      <c r="U11" s="711" t="e">
        <f t="shared" si="1"/>
        <v>#N/A</v>
      </c>
      <c r="V11" s="710" t="s">
        <v>17</v>
      </c>
      <c r="W11" s="711" t="e">
        <f t="shared" si="2"/>
        <v>#N/A</v>
      </c>
      <c r="X11" s="712"/>
      <c r="Y11" s="325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72"/>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72"/>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72"/>
      <c r="Q14" s="1528">
        <f t="shared" si="6"/>
        <v>111</v>
      </c>
      <c r="R14" s="710" t="s">
        <v>17</v>
      </c>
      <c r="S14" s="711">
        <f t="shared" si="0"/>
        <v>100</v>
      </c>
      <c r="T14" s="710" t="s">
        <v>17</v>
      </c>
      <c r="U14" s="711">
        <f t="shared" si="1"/>
        <v>100</v>
      </c>
      <c r="V14" s="710" t="s">
        <v>17</v>
      </c>
      <c r="W14" s="711">
        <f t="shared" si="2"/>
        <v>100</v>
      </c>
      <c r="X14" s="712"/>
      <c r="Y14" s="3256"/>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4" t="s">
        <v>2381</v>
      </c>
      <c r="Q15" s="1537" t="str">
        <f t="shared" si="6"/>
        <v>产业集聚程度</v>
      </c>
      <c r="R15" s="714" t="s">
        <v>17</v>
      </c>
      <c r="S15" s="715">
        <f t="shared" si="0"/>
        <v>100</v>
      </c>
      <c r="T15" s="714" t="s">
        <v>17</v>
      </c>
      <c r="U15" s="715">
        <f t="shared" si="1"/>
        <v>100</v>
      </c>
      <c r="V15" s="714" t="s">
        <v>17</v>
      </c>
      <c r="W15" s="715">
        <f t="shared" si="2"/>
        <v>100</v>
      </c>
      <c r="X15" s="1540"/>
      <c r="Y15" s="3374"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75"/>
      <c r="Q16" s="1537"/>
      <c r="R16" s="714"/>
      <c r="S16" s="715"/>
      <c r="T16" s="714"/>
      <c r="U16" s="715"/>
      <c r="V16" s="714"/>
      <c r="W16" s="715"/>
      <c r="X16" s="1540"/>
      <c r="Y16" s="3375"/>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5"/>
      <c r="Q17" s="1537" t="str">
        <f>B17</f>
        <v>交通便捷度</v>
      </c>
      <c r="R17" s="714" t="s">
        <v>17</v>
      </c>
      <c r="S17" s="715">
        <f>F17</f>
        <v>100</v>
      </c>
      <c r="T17" s="714" t="s">
        <v>17</v>
      </c>
      <c r="U17" s="715">
        <f>H17</f>
        <v>100</v>
      </c>
      <c r="V17" s="714" t="s">
        <v>17</v>
      </c>
      <c r="W17" s="715">
        <f>J17</f>
        <v>100</v>
      </c>
      <c r="X17" s="1540"/>
      <c r="Y17" s="337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75"/>
      <c r="Q18" s="1537"/>
      <c r="R18" s="714"/>
      <c r="S18" s="715"/>
      <c r="T18" s="714"/>
      <c r="U18" s="715"/>
      <c r="V18" s="714"/>
      <c r="W18" s="715"/>
      <c r="X18" s="1540"/>
      <c r="Y18" s="3375"/>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5"/>
      <c r="Q19" s="1537" t="str">
        <f>B19</f>
        <v>公共配套设施</v>
      </c>
      <c r="R19" s="714" t="s">
        <v>17</v>
      </c>
      <c r="S19" s="715">
        <f>F19</f>
        <v>100</v>
      </c>
      <c r="T19" s="714" t="s">
        <v>17</v>
      </c>
      <c r="U19" s="715">
        <f>H19</f>
        <v>100</v>
      </c>
      <c r="V19" s="714" t="s">
        <v>17</v>
      </c>
      <c r="W19" s="715">
        <f>J19</f>
        <v>100</v>
      </c>
      <c r="X19" s="1540"/>
      <c r="Y19" s="337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75"/>
      <c r="Q20" s="1537"/>
      <c r="R20" s="714"/>
      <c r="S20" s="715"/>
      <c r="T20" s="714"/>
      <c r="U20" s="715"/>
      <c r="V20" s="714"/>
      <c r="W20" s="715"/>
      <c r="X20" s="1540"/>
      <c r="Y20" s="3375"/>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5"/>
      <c r="Q21" s="1537" t="str">
        <f>B21</f>
        <v>基础设施水平</v>
      </c>
      <c r="R21" s="714" t="s">
        <v>17</v>
      </c>
      <c r="S21" s="715">
        <f>F21</f>
        <v>100</v>
      </c>
      <c r="T21" s="714" t="s">
        <v>17</v>
      </c>
      <c r="U21" s="715">
        <f>H21</f>
        <v>100</v>
      </c>
      <c r="V21" s="714" t="s">
        <v>17</v>
      </c>
      <c r="W21" s="715">
        <f>J21</f>
        <v>100</v>
      </c>
      <c r="X21" s="1540"/>
      <c r="Y21" s="337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75"/>
      <c r="Q22" s="1537"/>
      <c r="R22" s="714"/>
      <c r="S22" s="715"/>
      <c r="T22" s="714"/>
      <c r="U22" s="715"/>
      <c r="V22" s="714"/>
      <c r="W22" s="715"/>
      <c r="X22" s="1540"/>
      <c r="Y22" s="3375"/>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5"/>
      <c r="Q23" s="1537" t="str">
        <f>B23</f>
        <v>环境质量</v>
      </c>
      <c r="R23" s="714" t="s">
        <v>17</v>
      </c>
      <c r="S23" s="715">
        <f>F23</f>
        <v>100</v>
      </c>
      <c r="T23" s="714" t="s">
        <v>17</v>
      </c>
      <c r="U23" s="715">
        <f>H23</f>
        <v>100</v>
      </c>
      <c r="V23" s="714" t="s">
        <v>17</v>
      </c>
      <c r="W23" s="715">
        <f>J23</f>
        <v>100</v>
      </c>
      <c r="X23" s="1540"/>
      <c r="Y23" s="337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75"/>
      <c r="Q24" s="1537"/>
      <c r="R24" s="714"/>
      <c r="S24" s="715"/>
      <c r="T24" s="714"/>
      <c r="U24" s="715"/>
      <c r="V24" s="714"/>
      <c r="W24" s="715"/>
      <c r="X24" s="1540"/>
      <c r="Y24" s="337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5"/>
      <c r="Q25" s="1537">
        <f>B25</f>
        <v>111</v>
      </c>
      <c r="R25" s="714" t="s">
        <v>17</v>
      </c>
      <c r="S25" s="715">
        <f>F25</f>
        <v>100</v>
      </c>
      <c r="T25" s="714" t="s">
        <v>17</v>
      </c>
      <c r="U25" s="715">
        <f>H25</f>
        <v>100</v>
      </c>
      <c r="V25" s="714" t="s">
        <v>17</v>
      </c>
      <c r="W25" s="715">
        <f>J25</f>
        <v>100</v>
      </c>
      <c r="X25" s="1540"/>
      <c r="Y25" s="337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5"/>
      <c r="Q26" s="1537">
        <f t="shared" ref="Q26:Q40" si="11">B26</f>
        <v>111</v>
      </c>
      <c r="R26" s="714" t="s">
        <v>17</v>
      </c>
      <c r="S26" s="715">
        <f>F26</f>
        <v>100</v>
      </c>
      <c r="T26" s="714" t="s">
        <v>17</v>
      </c>
      <c r="U26" s="715">
        <f>H26</f>
        <v>100</v>
      </c>
      <c r="V26" s="714" t="s">
        <v>17</v>
      </c>
      <c r="W26" s="715">
        <f>J26</f>
        <v>100</v>
      </c>
      <c r="X26" s="1540"/>
      <c r="Y26" s="337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5"/>
      <c r="Q27" s="1528">
        <f t="shared" si="11"/>
        <v>111</v>
      </c>
      <c r="R27" s="710" t="s">
        <v>17</v>
      </c>
      <c r="S27" s="711">
        <f>F27</f>
        <v>100</v>
      </c>
      <c r="T27" s="710" t="s">
        <v>17</v>
      </c>
      <c r="U27" s="711">
        <f>H27</f>
        <v>100</v>
      </c>
      <c r="V27" s="710" t="s">
        <v>17</v>
      </c>
      <c r="W27" s="711">
        <f>J27</f>
        <v>100</v>
      </c>
      <c r="X27" s="712"/>
      <c r="Y27" s="337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5"/>
      <c r="Q28" s="1537">
        <f t="shared" si="11"/>
        <v>111</v>
      </c>
      <c r="R28" s="714" t="s">
        <v>17</v>
      </c>
      <c r="S28" s="715">
        <f t="shared" ref="S28:S40" si="12">F28</f>
        <v>100</v>
      </c>
      <c r="T28" s="714" t="s">
        <v>17</v>
      </c>
      <c r="U28" s="715">
        <f t="shared" ref="U28:U40" si="13">H28</f>
        <v>100</v>
      </c>
      <c r="V28" s="714" t="s">
        <v>17</v>
      </c>
      <c r="W28" s="715">
        <f t="shared" ref="W28:W40" si="14">J28</f>
        <v>100</v>
      </c>
      <c r="X28" s="1540"/>
      <c r="Y28" s="3375"/>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98" t="s">
        <v>2386</v>
      </c>
      <c r="Q29" s="1537" t="str">
        <f t="shared" si="11"/>
        <v>建筑类型</v>
      </c>
      <c r="R29" s="714" t="s">
        <v>17</v>
      </c>
      <c r="S29" s="715">
        <f t="shared" si="12"/>
        <v>100</v>
      </c>
      <c r="T29" s="714" t="s">
        <v>17</v>
      </c>
      <c r="U29" s="715">
        <f t="shared" si="13"/>
        <v>100</v>
      </c>
      <c r="V29" s="714" t="s">
        <v>17</v>
      </c>
      <c r="W29" s="715">
        <f t="shared" si="14"/>
        <v>100</v>
      </c>
      <c r="X29" s="1540"/>
      <c r="Y29" s="3379"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9"/>
      <c r="Q30" s="716" t="str">
        <f t="shared" si="11"/>
        <v>项目建筑规模</v>
      </c>
      <c r="R30" s="717" t="s">
        <v>17</v>
      </c>
      <c r="S30" s="718" t="e">
        <f t="shared" si="12"/>
        <v>#N/A</v>
      </c>
      <c r="T30" s="717" t="s">
        <v>17</v>
      </c>
      <c r="U30" s="718" t="e">
        <f t="shared" si="13"/>
        <v>#N/A</v>
      </c>
      <c r="V30" s="717" t="s">
        <v>17</v>
      </c>
      <c r="W30" s="718" t="e">
        <f t="shared" si="14"/>
        <v>#N/A</v>
      </c>
      <c r="X30" s="719"/>
      <c r="Y30" s="3379"/>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9"/>
      <c r="Q31" s="1537" t="str">
        <f t="shared" si="11"/>
        <v>建筑结构</v>
      </c>
      <c r="R31" s="714" t="s">
        <v>17</v>
      </c>
      <c r="S31" s="715">
        <f t="shared" si="12"/>
        <v>100</v>
      </c>
      <c r="T31" s="714" t="s">
        <v>17</v>
      </c>
      <c r="U31" s="715">
        <f t="shared" si="13"/>
        <v>100</v>
      </c>
      <c r="V31" s="714" t="s">
        <v>17</v>
      </c>
      <c r="W31" s="715">
        <f t="shared" si="14"/>
        <v>100</v>
      </c>
      <c r="X31" s="1540"/>
      <c r="Y31" s="3379"/>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9"/>
      <c r="Q32" s="1537" t="str">
        <f t="shared" si="11"/>
        <v>公共部分装修</v>
      </c>
      <c r="R32" s="714" t="s">
        <v>17</v>
      </c>
      <c r="S32" s="715">
        <f t="shared" si="12"/>
        <v>100</v>
      </c>
      <c r="T32" s="714" t="s">
        <v>17</v>
      </c>
      <c r="U32" s="715">
        <f t="shared" si="13"/>
        <v>100</v>
      </c>
      <c r="V32" s="714" t="s">
        <v>17</v>
      </c>
      <c r="W32" s="715">
        <f t="shared" si="14"/>
        <v>100</v>
      </c>
      <c r="X32" s="1540"/>
      <c r="Y32" s="3379"/>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9"/>
      <c r="Q33" s="1537" t="str">
        <f t="shared" si="11"/>
        <v>成新度</v>
      </c>
      <c r="R33" s="714" t="s">
        <v>17</v>
      </c>
      <c r="S33" s="715" t="e">
        <f t="shared" si="12"/>
        <v>#N/A</v>
      </c>
      <c r="T33" s="714" t="s">
        <v>17</v>
      </c>
      <c r="U33" s="715" t="e">
        <f t="shared" si="13"/>
        <v>#N/A</v>
      </c>
      <c r="V33" s="714" t="s">
        <v>17</v>
      </c>
      <c r="W33" s="715" t="e">
        <f t="shared" si="14"/>
        <v>#N/A</v>
      </c>
      <c r="X33" s="1540"/>
      <c r="Y33" s="3379"/>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9"/>
      <c r="Q34" s="1528" t="str">
        <f t="shared" si="11"/>
        <v>物业管理</v>
      </c>
      <c r="R34" s="710" t="s">
        <v>17</v>
      </c>
      <c r="S34" s="711">
        <f t="shared" si="12"/>
        <v>100</v>
      </c>
      <c r="T34" s="710" t="s">
        <v>17</v>
      </c>
      <c r="U34" s="711">
        <f t="shared" si="13"/>
        <v>100</v>
      </c>
      <c r="V34" s="710" t="s">
        <v>17</v>
      </c>
      <c r="W34" s="711">
        <f t="shared" si="14"/>
        <v>100</v>
      </c>
      <c r="X34" s="712"/>
      <c r="Y34" s="337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9" t="s">
        <v>2386</v>
      </c>
      <c r="Q35" s="1537" t="str">
        <f t="shared" si="11"/>
        <v>市政基础设施</v>
      </c>
      <c r="R35" s="714" t="s">
        <v>17</v>
      </c>
      <c r="S35" s="715">
        <f t="shared" si="12"/>
        <v>100</v>
      </c>
      <c r="T35" s="714" t="s">
        <v>17</v>
      </c>
      <c r="U35" s="715">
        <f t="shared" si="13"/>
        <v>100</v>
      </c>
      <c r="V35" s="714" t="s">
        <v>17</v>
      </c>
      <c r="W35" s="715">
        <f t="shared" si="14"/>
        <v>100</v>
      </c>
      <c r="X35" s="1540"/>
      <c r="Y35" s="3379"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9"/>
      <c r="Q36" s="1537" t="str">
        <f t="shared" si="11"/>
        <v>内部装修</v>
      </c>
      <c r="R36" s="714" t="s">
        <v>17</v>
      </c>
      <c r="S36" s="715">
        <f t="shared" si="12"/>
        <v>100</v>
      </c>
      <c r="T36" s="714" t="s">
        <v>17</v>
      </c>
      <c r="U36" s="715">
        <f t="shared" si="13"/>
        <v>100</v>
      </c>
      <c r="V36" s="714" t="s">
        <v>17</v>
      </c>
      <c r="W36" s="715">
        <f t="shared" si="14"/>
        <v>100</v>
      </c>
      <c r="X36" s="1540"/>
      <c r="Y36" s="3379"/>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9"/>
      <c r="Q37" s="1537" t="str">
        <f t="shared" si="11"/>
        <v>内部装修状况</v>
      </c>
      <c r="R37" s="714" t="s">
        <v>17</v>
      </c>
      <c r="S37" s="715">
        <f t="shared" si="12"/>
        <v>100</v>
      </c>
      <c r="T37" s="714" t="s">
        <v>17</v>
      </c>
      <c r="U37" s="715">
        <f t="shared" si="13"/>
        <v>100</v>
      </c>
      <c r="V37" s="714" t="s">
        <v>17</v>
      </c>
      <c r="W37" s="715">
        <f t="shared" si="14"/>
        <v>100</v>
      </c>
      <c r="X37" s="1540"/>
      <c r="Y37" s="337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9"/>
      <c r="Q38" s="716">
        <f t="shared" si="11"/>
        <v>111</v>
      </c>
      <c r="R38" s="717" t="s">
        <v>17</v>
      </c>
      <c r="S38" s="718">
        <f t="shared" si="12"/>
        <v>100</v>
      </c>
      <c r="T38" s="717" t="s">
        <v>17</v>
      </c>
      <c r="U38" s="718">
        <f t="shared" si="13"/>
        <v>100</v>
      </c>
      <c r="V38" s="717" t="s">
        <v>17</v>
      </c>
      <c r="W38" s="718">
        <f t="shared" si="14"/>
        <v>100</v>
      </c>
      <c r="X38" s="719"/>
      <c r="Y38" s="337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9"/>
      <c r="Q39" s="1537">
        <f t="shared" si="11"/>
        <v>111</v>
      </c>
      <c r="R39" s="714" t="s">
        <v>17</v>
      </c>
      <c r="S39" s="715">
        <f t="shared" si="12"/>
        <v>100</v>
      </c>
      <c r="T39" s="714" t="s">
        <v>17</v>
      </c>
      <c r="U39" s="715">
        <f t="shared" si="13"/>
        <v>100</v>
      </c>
      <c r="V39" s="714" t="s">
        <v>17</v>
      </c>
      <c r="W39" s="715">
        <f t="shared" si="14"/>
        <v>100</v>
      </c>
      <c r="X39" s="1540"/>
      <c r="Y39" s="3379"/>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0"/>
      <c r="Q40" s="1537">
        <f t="shared" si="11"/>
        <v>111</v>
      </c>
      <c r="R40" s="714" t="s">
        <v>17</v>
      </c>
      <c r="S40" s="715">
        <f t="shared" si="12"/>
        <v>100</v>
      </c>
      <c r="T40" s="714" t="s">
        <v>17</v>
      </c>
      <c r="U40" s="715">
        <f t="shared" si="13"/>
        <v>100</v>
      </c>
      <c r="V40" s="714" t="s">
        <v>17</v>
      </c>
      <c r="W40" s="715">
        <f t="shared" si="14"/>
        <v>100</v>
      </c>
      <c r="X40" s="1540"/>
      <c r="Y40" s="3380"/>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372" t="str">
        <f>A41</f>
        <v>成交单价（元/平方米）</v>
      </c>
      <c r="Q41" s="3372"/>
      <c r="R41" s="3373">
        <f>E41</f>
        <v>0</v>
      </c>
      <c r="S41" s="3373"/>
      <c r="T41" s="3373">
        <f>G41</f>
        <v>0</v>
      </c>
      <c r="U41" s="3373"/>
      <c r="V41" s="3373">
        <f>I41</f>
        <v>0</v>
      </c>
      <c r="W41" s="3373"/>
      <c r="X41" s="699"/>
      <c r="Y41" s="721"/>
      <c r="Z41" s="699"/>
      <c r="AA41" s="699"/>
      <c r="AB41" s="699"/>
      <c r="AC41" s="699"/>
    </row>
    <row r="42" spans="1:29" ht="15.7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355" t="s">
        <v>2467</v>
      </c>
      <c r="D4" s="3356"/>
      <c r="E4" s="3357" t="s">
        <v>2468</v>
      </c>
      <c r="F4" s="3358"/>
      <c r="G4" s="3355" t="s">
        <v>2469</v>
      </c>
      <c r="H4" s="3356"/>
      <c r="I4" s="3355" t="s">
        <v>2470</v>
      </c>
      <c r="J4" s="3356"/>
      <c r="K4" s="567" t="s">
        <v>2471</v>
      </c>
      <c r="L4" s="2945"/>
      <c r="M4" s="2946"/>
      <c r="N4" s="2946"/>
      <c r="O4" s="2946"/>
      <c r="P4" s="3359" t="s">
        <v>2472</v>
      </c>
      <c r="Q4" s="3360"/>
      <c r="R4" s="3342" t="s">
        <v>2468</v>
      </c>
      <c r="S4" s="3343"/>
      <c r="T4" s="3342" t="s">
        <v>2469</v>
      </c>
      <c r="U4" s="3343"/>
      <c r="V4" s="3367" t="s">
        <v>2470</v>
      </c>
      <c r="W4" s="3367"/>
      <c r="X4" s="1540"/>
      <c r="Y4" s="3342" t="s">
        <v>2472</v>
      </c>
      <c r="Z4" s="3343"/>
      <c r="AA4" s="3337" t="s">
        <v>2468</v>
      </c>
      <c r="AB4" s="3338" t="s">
        <v>2469</v>
      </c>
      <c r="AC4" s="3337" t="s">
        <v>2470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1540"/>
      <c r="Y5" s="3344"/>
      <c r="Z5" s="3345"/>
      <c r="AA5" s="3338"/>
      <c r="AB5" s="3338"/>
      <c r="AC5" s="3338"/>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1540"/>
      <c r="Y6" s="3365"/>
      <c r="Z6" s="3366"/>
      <c r="AA6" s="3339"/>
      <c r="AB6" s="3339"/>
      <c r="AC6" s="3339"/>
    </row>
    <row r="7" spans="1:29" s="113" customFormat="1" ht="15.75" thickBot="1">
      <c r="A7" s="368" t="s">
        <v>2369</v>
      </c>
      <c r="B7" s="369"/>
      <c r="C7" s="370">
        <f>'数据-取费表'!B2</f>
        <v>44256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40" t="s">
        <v>2370</v>
      </c>
      <c r="Q7" s="3368"/>
      <c r="R7" s="710" t="s">
        <v>17</v>
      </c>
      <c r="S7" s="711">
        <f t="shared" ref="S7:S14" si="0">F7</f>
        <v>0</v>
      </c>
      <c r="T7" s="710" t="s">
        <v>17</v>
      </c>
      <c r="U7" s="711">
        <f t="shared" ref="U7:U14" si="1">H7</f>
        <v>0</v>
      </c>
      <c r="V7" s="710" t="s">
        <v>17</v>
      </c>
      <c r="W7" s="711">
        <f t="shared" ref="W7:W14" si="2">J7</f>
        <v>0</v>
      </c>
      <c r="X7" s="712"/>
      <c r="Y7" s="3340" t="s">
        <v>2370</v>
      </c>
      <c r="Z7" s="334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40" t="s">
        <v>2373</v>
      </c>
      <c r="Q8" s="3341"/>
      <c r="R8" s="710" t="s">
        <v>17</v>
      </c>
      <c r="S8" s="711">
        <f t="shared" si="0"/>
        <v>0</v>
      </c>
      <c r="T8" s="710" t="s">
        <v>17</v>
      </c>
      <c r="U8" s="711">
        <f t="shared" si="1"/>
        <v>0</v>
      </c>
      <c r="V8" s="710" t="s">
        <v>17</v>
      </c>
      <c r="W8" s="711">
        <f t="shared" si="2"/>
        <v>0</v>
      </c>
      <c r="X8" s="712"/>
      <c r="Y8" s="3340" t="s">
        <v>2373</v>
      </c>
      <c r="Z8" s="334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72" t="s">
        <v>2376</v>
      </c>
      <c r="Q9" s="1528" t="str">
        <f t="shared" ref="Q9:Q14" si="6">B9</f>
        <v>用途</v>
      </c>
      <c r="R9" s="710" t="s">
        <v>17</v>
      </c>
      <c r="S9" s="711">
        <f t="shared" si="0"/>
        <v>100</v>
      </c>
      <c r="T9" s="710" t="s">
        <v>17</v>
      </c>
      <c r="U9" s="711">
        <f t="shared" si="1"/>
        <v>100</v>
      </c>
      <c r="V9" s="710" t="s">
        <v>17</v>
      </c>
      <c r="W9" s="711">
        <f t="shared" si="2"/>
        <v>100</v>
      </c>
      <c r="X9" s="712"/>
      <c r="Y9" s="325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72"/>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72"/>
      <c r="Q11" s="1528">
        <f t="shared" si="6"/>
        <v>111</v>
      </c>
      <c r="R11" s="710" t="s">
        <v>17</v>
      </c>
      <c r="S11" s="711">
        <f t="shared" si="0"/>
        <v>100</v>
      </c>
      <c r="T11" s="710" t="s">
        <v>17</v>
      </c>
      <c r="U11" s="711">
        <f t="shared" si="1"/>
        <v>100</v>
      </c>
      <c r="V11" s="710" t="s">
        <v>17</v>
      </c>
      <c r="W11" s="711">
        <f t="shared" si="2"/>
        <v>100</v>
      </c>
      <c r="X11" s="712"/>
      <c r="Y11" s="325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72"/>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72"/>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74" t="s">
        <v>2381</v>
      </c>
      <c r="Q14" s="1537" t="str">
        <f t="shared" si="6"/>
        <v>交通便捷度</v>
      </c>
      <c r="R14" s="714" t="s">
        <v>17</v>
      </c>
      <c r="S14" s="715">
        <f t="shared" si="0"/>
        <v>100</v>
      </c>
      <c r="T14" s="714" t="s">
        <v>17</v>
      </c>
      <c r="U14" s="715">
        <f t="shared" si="1"/>
        <v>100</v>
      </c>
      <c r="V14" s="714" t="s">
        <v>17</v>
      </c>
      <c r="W14" s="715">
        <f t="shared" si="2"/>
        <v>100</v>
      </c>
      <c r="X14" s="1540"/>
      <c r="Y14" s="3374"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75"/>
      <c r="Q15" s="1537"/>
      <c r="R15" s="714"/>
      <c r="S15" s="715"/>
      <c r="T15" s="714"/>
      <c r="U15" s="715"/>
      <c r="V15" s="714"/>
      <c r="W15" s="715"/>
      <c r="X15" s="1540"/>
      <c r="Y15" s="3375"/>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75"/>
      <c r="Q16" s="1537" t="str">
        <f>B16</f>
        <v>公共配套设施</v>
      </c>
      <c r="R16" s="714" t="s">
        <v>17</v>
      </c>
      <c r="S16" s="715">
        <f>F16</f>
        <v>100</v>
      </c>
      <c r="T16" s="714" t="s">
        <v>17</v>
      </c>
      <c r="U16" s="715">
        <f>H16</f>
        <v>100</v>
      </c>
      <c r="V16" s="714" t="s">
        <v>17</v>
      </c>
      <c r="W16" s="715">
        <f>J16</f>
        <v>100</v>
      </c>
      <c r="X16" s="1540"/>
      <c r="Y16" s="337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75"/>
      <c r="Q17" s="1537"/>
      <c r="R17" s="714"/>
      <c r="S17" s="715"/>
      <c r="T17" s="714"/>
      <c r="U17" s="715"/>
      <c r="V17" s="714"/>
      <c r="W17" s="715"/>
      <c r="X17" s="1540"/>
      <c r="Y17" s="3375"/>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75"/>
      <c r="Q18" s="1537" t="str">
        <f>B18</f>
        <v>基础设施水平</v>
      </c>
      <c r="R18" s="714" t="s">
        <v>17</v>
      </c>
      <c r="S18" s="715">
        <f>F18</f>
        <v>100</v>
      </c>
      <c r="T18" s="714" t="s">
        <v>17</v>
      </c>
      <c r="U18" s="715">
        <f>H18</f>
        <v>100</v>
      </c>
      <c r="V18" s="714" t="s">
        <v>17</v>
      </c>
      <c r="W18" s="715">
        <f>J18</f>
        <v>100</v>
      </c>
      <c r="X18" s="1540"/>
      <c r="Y18" s="3375"/>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75"/>
      <c r="Q19" s="1537"/>
      <c r="R19" s="714"/>
      <c r="S19" s="715"/>
      <c r="T19" s="714"/>
      <c r="U19" s="715"/>
      <c r="V19" s="714"/>
      <c r="W19" s="715"/>
      <c r="X19" s="1540"/>
      <c r="Y19" s="3375"/>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75"/>
      <c r="Q20" s="1537" t="str">
        <f>B20</f>
        <v>自然及人文环境</v>
      </c>
      <c r="R20" s="714" t="s">
        <v>17</v>
      </c>
      <c r="S20" s="715">
        <f>F20</f>
        <v>100</v>
      </c>
      <c r="T20" s="714" t="s">
        <v>17</v>
      </c>
      <c r="U20" s="715">
        <f>H20</f>
        <v>100</v>
      </c>
      <c r="V20" s="714" t="s">
        <v>17</v>
      </c>
      <c r="W20" s="715">
        <f>J20</f>
        <v>100</v>
      </c>
      <c r="X20" s="1540"/>
      <c r="Y20" s="337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75"/>
      <c r="Q21" s="1537"/>
      <c r="R21" s="714"/>
      <c r="S21" s="715"/>
      <c r="T21" s="714"/>
      <c r="U21" s="715"/>
      <c r="V21" s="714"/>
      <c r="W21" s="715"/>
      <c r="X21" s="1540"/>
      <c r="Y21" s="3375"/>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75"/>
      <c r="Q22" s="1537" t="str">
        <f>B22</f>
        <v>楼层</v>
      </c>
      <c r="R22" s="714" t="s">
        <v>17</v>
      </c>
      <c r="S22" s="715">
        <f>F22</f>
        <v>100</v>
      </c>
      <c r="T22" s="714" t="s">
        <v>17</v>
      </c>
      <c r="U22" s="715">
        <f>H22</f>
        <v>100</v>
      </c>
      <c r="V22" s="714" t="s">
        <v>17</v>
      </c>
      <c r="W22" s="715">
        <f>J22</f>
        <v>100</v>
      </c>
      <c r="X22" s="1540"/>
      <c r="Y22" s="337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75"/>
      <c r="Q23" s="1537">
        <f>B23</f>
        <v>111</v>
      </c>
      <c r="R23" s="714" t="s">
        <v>17</v>
      </c>
      <c r="S23" s="715">
        <f>F23</f>
        <v>100</v>
      </c>
      <c r="T23" s="714" t="s">
        <v>17</v>
      </c>
      <c r="U23" s="715">
        <f>H23</f>
        <v>100</v>
      </c>
      <c r="V23" s="714" t="s">
        <v>17</v>
      </c>
      <c r="W23" s="715">
        <f>J23</f>
        <v>100</v>
      </c>
      <c r="X23" s="1540"/>
      <c r="Y23" s="337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75"/>
      <c r="Q24" s="1537">
        <f t="shared" ref="Q24:Q36" si="11">B24</f>
        <v>111</v>
      </c>
      <c r="R24" s="714" t="s">
        <v>17</v>
      </c>
      <c r="S24" s="715">
        <f>F24</f>
        <v>100</v>
      </c>
      <c r="T24" s="714" t="s">
        <v>17</v>
      </c>
      <c r="U24" s="715">
        <f>H24</f>
        <v>100</v>
      </c>
      <c r="V24" s="714" t="s">
        <v>17</v>
      </c>
      <c r="W24" s="715">
        <f>J24</f>
        <v>100</v>
      </c>
      <c r="X24" s="1540"/>
      <c r="Y24" s="337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75"/>
      <c r="Q25" s="1528">
        <f t="shared" si="11"/>
        <v>111</v>
      </c>
      <c r="R25" s="710" t="s">
        <v>17</v>
      </c>
      <c r="S25" s="711">
        <f>F25</f>
        <v>100</v>
      </c>
      <c r="T25" s="710" t="s">
        <v>17</v>
      </c>
      <c r="U25" s="711">
        <f>H25</f>
        <v>100</v>
      </c>
      <c r="V25" s="710" t="s">
        <v>17</v>
      </c>
      <c r="W25" s="711">
        <f>J25</f>
        <v>100</v>
      </c>
      <c r="X25" s="712"/>
      <c r="Y25" s="3375"/>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98"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79"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79"/>
      <c r="Q27" s="716" t="str">
        <f t="shared" si="11"/>
        <v>项目停车位配比</v>
      </c>
      <c r="R27" s="717" t="s">
        <v>17</v>
      </c>
      <c r="S27" s="718">
        <f t="shared" si="12"/>
        <v>100</v>
      </c>
      <c r="T27" s="717" t="s">
        <v>17</v>
      </c>
      <c r="U27" s="718">
        <f t="shared" si="13"/>
        <v>100</v>
      </c>
      <c r="V27" s="717" t="s">
        <v>17</v>
      </c>
      <c r="W27" s="718">
        <f t="shared" si="14"/>
        <v>100</v>
      </c>
      <c r="X27" s="719"/>
      <c r="Y27" s="3379"/>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79"/>
      <c r="Q28" s="1537" t="str">
        <f t="shared" si="11"/>
        <v>公共部分装修</v>
      </c>
      <c r="R28" s="714" t="s">
        <v>17</v>
      </c>
      <c r="S28" s="715">
        <f t="shared" si="12"/>
        <v>100</v>
      </c>
      <c r="T28" s="714" t="s">
        <v>17</v>
      </c>
      <c r="U28" s="715">
        <f t="shared" si="13"/>
        <v>100</v>
      </c>
      <c r="V28" s="714" t="s">
        <v>17</v>
      </c>
      <c r="W28" s="715">
        <f t="shared" si="14"/>
        <v>100</v>
      </c>
      <c r="X28" s="1540"/>
      <c r="Y28" s="3379"/>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79"/>
      <c r="Q29" s="1537" t="str">
        <f t="shared" si="11"/>
        <v>成新率</v>
      </c>
      <c r="R29" s="714" t="s">
        <v>17</v>
      </c>
      <c r="S29" s="715" t="e">
        <f t="shared" si="12"/>
        <v>#N/A</v>
      </c>
      <c r="T29" s="714" t="s">
        <v>17</v>
      </c>
      <c r="U29" s="715" t="e">
        <f t="shared" si="13"/>
        <v>#N/A</v>
      </c>
      <c r="V29" s="714" t="s">
        <v>17</v>
      </c>
      <c r="W29" s="715" t="e">
        <f t="shared" si="14"/>
        <v>#N/A</v>
      </c>
      <c r="X29" s="1540"/>
      <c r="Y29" s="3379"/>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79"/>
      <c r="Q30" s="1537" t="str">
        <f t="shared" si="11"/>
        <v>物业等级</v>
      </c>
      <c r="R30" s="714" t="s">
        <v>17</v>
      </c>
      <c r="S30" s="715">
        <f t="shared" si="12"/>
        <v>100</v>
      </c>
      <c r="T30" s="714" t="s">
        <v>17</v>
      </c>
      <c r="U30" s="715">
        <f t="shared" si="13"/>
        <v>100</v>
      </c>
      <c r="V30" s="714" t="s">
        <v>17</v>
      </c>
      <c r="W30" s="715">
        <f t="shared" si="14"/>
        <v>100</v>
      </c>
      <c r="X30" s="1540"/>
      <c r="Y30" s="3379"/>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79"/>
      <c r="Q31" s="1528" t="str">
        <f t="shared" si="11"/>
        <v>停车位面积</v>
      </c>
      <c r="R31" s="710" t="s">
        <v>17</v>
      </c>
      <c r="S31" s="711" t="e">
        <f t="shared" si="12"/>
        <v>#N/A</v>
      </c>
      <c r="T31" s="710" t="s">
        <v>17</v>
      </c>
      <c r="U31" s="711" t="e">
        <f t="shared" si="13"/>
        <v>#N/A</v>
      </c>
      <c r="V31" s="710" t="s">
        <v>17</v>
      </c>
      <c r="W31" s="711" t="e">
        <f t="shared" si="14"/>
        <v>#N/A</v>
      </c>
      <c r="X31" s="712"/>
      <c r="Y31" s="337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79" t="s">
        <v>2386</v>
      </c>
      <c r="Q32" s="1537" t="str">
        <f t="shared" si="11"/>
        <v>车位类型</v>
      </c>
      <c r="R32" s="714" t="s">
        <v>17</v>
      </c>
      <c r="S32" s="715">
        <f t="shared" si="12"/>
        <v>100</v>
      </c>
      <c r="T32" s="714" t="s">
        <v>17</v>
      </c>
      <c r="U32" s="715">
        <f t="shared" si="13"/>
        <v>100</v>
      </c>
      <c r="V32" s="714" t="s">
        <v>17</v>
      </c>
      <c r="W32" s="715">
        <f t="shared" si="14"/>
        <v>100</v>
      </c>
      <c r="X32" s="1540"/>
      <c r="Y32" s="3379"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79"/>
      <c r="Q33" s="1537" t="str">
        <f t="shared" si="11"/>
        <v>是否直接入户</v>
      </c>
      <c r="R33" s="714" t="s">
        <v>17</v>
      </c>
      <c r="S33" s="715">
        <f t="shared" si="12"/>
        <v>100</v>
      </c>
      <c r="T33" s="714" t="s">
        <v>17</v>
      </c>
      <c r="U33" s="715">
        <f t="shared" si="13"/>
        <v>100</v>
      </c>
      <c r="V33" s="714" t="s">
        <v>17</v>
      </c>
      <c r="W33" s="715">
        <f t="shared" si="14"/>
        <v>100</v>
      </c>
      <c r="X33" s="1540"/>
      <c r="Y33" s="337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79"/>
      <c r="Q34" s="1537">
        <f t="shared" si="11"/>
        <v>111</v>
      </c>
      <c r="R34" s="714" t="s">
        <v>17</v>
      </c>
      <c r="S34" s="715">
        <f t="shared" si="12"/>
        <v>100</v>
      </c>
      <c r="T34" s="714" t="s">
        <v>17</v>
      </c>
      <c r="U34" s="715">
        <f t="shared" si="13"/>
        <v>100</v>
      </c>
      <c r="V34" s="714" t="s">
        <v>17</v>
      </c>
      <c r="W34" s="715">
        <f t="shared" si="14"/>
        <v>100</v>
      </c>
      <c r="X34" s="1540"/>
      <c r="Y34" s="337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79"/>
      <c r="Q35" s="716">
        <f t="shared" si="11"/>
        <v>111</v>
      </c>
      <c r="R35" s="717" t="s">
        <v>17</v>
      </c>
      <c r="S35" s="718">
        <f t="shared" si="12"/>
        <v>100</v>
      </c>
      <c r="T35" s="717" t="s">
        <v>17</v>
      </c>
      <c r="U35" s="718">
        <f t="shared" si="13"/>
        <v>100</v>
      </c>
      <c r="V35" s="717" t="s">
        <v>17</v>
      </c>
      <c r="W35" s="718">
        <f t="shared" si="14"/>
        <v>100</v>
      </c>
      <c r="X35" s="719"/>
      <c r="Y35" s="337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79"/>
      <c r="Q36" s="1537">
        <f t="shared" si="11"/>
        <v>111</v>
      </c>
      <c r="R36" s="714" t="s">
        <v>17</v>
      </c>
      <c r="S36" s="715">
        <f t="shared" si="12"/>
        <v>100</v>
      </c>
      <c r="T36" s="714" t="s">
        <v>17</v>
      </c>
      <c r="U36" s="715">
        <f t="shared" si="13"/>
        <v>100</v>
      </c>
      <c r="V36" s="714" t="s">
        <v>17</v>
      </c>
      <c r="W36" s="715">
        <f t="shared" si="14"/>
        <v>100</v>
      </c>
      <c r="X36" s="1540"/>
      <c r="Y36" s="3379"/>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372" t="str">
        <f>A37</f>
        <v>成交单价</v>
      </c>
      <c r="Q37" s="3372"/>
      <c r="R37" s="3373">
        <f>E37</f>
        <v>0</v>
      </c>
      <c r="S37" s="3373"/>
      <c r="T37" s="3373">
        <f>G37</f>
        <v>0</v>
      </c>
      <c r="U37" s="3373"/>
      <c r="V37" s="3373">
        <f>I37</f>
        <v>0</v>
      </c>
      <c r="W37" s="3373"/>
      <c r="X37" s="699"/>
      <c r="Y37" s="721"/>
      <c r="Z37" s="699"/>
      <c r="AA37" s="699"/>
      <c r="AB37" s="699"/>
      <c r="AC37" s="699"/>
    </row>
    <row r="38" spans="1:29" ht="15.7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69" t="str">
        <f>A39</f>
        <v>估价对象XX用房的比较价值（楼面单价，元/平方米）</v>
      </c>
      <c r="Q39" s="3370"/>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355" t="s">
        <v>2467</v>
      </c>
      <c r="D4" s="3356"/>
      <c r="E4" s="3357" t="s">
        <v>2468</v>
      </c>
      <c r="F4" s="3358"/>
      <c r="G4" s="3355" t="s">
        <v>2469</v>
      </c>
      <c r="H4" s="3356"/>
      <c r="I4" s="3355" t="s">
        <v>2470</v>
      </c>
      <c r="J4" s="3356"/>
      <c r="K4" s="567" t="s">
        <v>2471</v>
      </c>
      <c r="L4" s="2945"/>
      <c r="M4" s="2946"/>
      <c r="N4" s="2946"/>
      <c r="O4" s="2946"/>
      <c r="P4" s="3359" t="s">
        <v>2472</v>
      </c>
      <c r="Q4" s="3360"/>
      <c r="R4" s="3342" t="s">
        <v>2468</v>
      </c>
      <c r="S4" s="3343"/>
      <c r="T4" s="3342" t="s">
        <v>2469</v>
      </c>
      <c r="U4" s="3343"/>
      <c r="V4" s="3367" t="s">
        <v>2470</v>
      </c>
      <c r="W4" s="3367"/>
      <c r="X4" s="1540"/>
      <c r="Y4" s="3342" t="s">
        <v>2472</v>
      </c>
      <c r="Z4" s="3343"/>
      <c r="AA4" s="3337" t="s">
        <v>2468</v>
      </c>
      <c r="AB4" s="3338" t="s">
        <v>2469</v>
      </c>
      <c r="AC4" s="3337" t="s">
        <v>2470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1540"/>
      <c r="Y5" s="3344"/>
      <c r="Z5" s="3345"/>
      <c r="AA5" s="3338"/>
      <c r="AB5" s="3338"/>
      <c r="AC5" s="3338"/>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1540"/>
      <c r="Y6" s="3365"/>
      <c r="Z6" s="3366"/>
      <c r="AA6" s="3339"/>
      <c r="AB6" s="3339"/>
      <c r="AC6" s="3339"/>
    </row>
    <row r="7" spans="1:29" s="113" customFormat="1" ht="15.75" thickBot="1">
      <c r="A7" s="368" t="s">
        <v>2369</v>
      </c>
      <c r="B7" s="369"/>
      <c r="C7" s="370">
        <f>'数据-取费表'!B2</f>
        <v>44256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40" t="s">
        <v>2370</v>
      </c>
      <c r="Q7" s="3368"/>
      <c r="R7" s="710" t="s">
        <v>17</v>
      </c>
      <c r="S7" s="711">
        <f t="shared" ref="S7:S14" si="0">F7</f>
        <v>0</v>
      </c>
      <c r="T7" s="710" t="s">
        <v>17</v>
      </c>
      <c r="U7" s="711">
        <f t="shared" ref="U7:U14" si="1">H7</f>
        <v>0</v>
      </c>
      <c r="V7" s="710" t="s">
        <v>17</v>
      </c>
      <c r="W7" s="711">
        <f t="shared" ref="W7:W14" si="2">J7</f>
        <v>0</v>
      </c>
      <c r="X7" s="712"/>
      <c r="Y7" s="3340" t="s">
        <v>2370</v>
      </c>
      <c r="Z7" s="334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40" t="s">
        <v>2373</v>
      </c>
      <c r="Q8" s="3341"/>
      <c r="R8" s="710" t="s">
        <v>17</v>
      </c>
      <c r="S8" s="711">
        <f t="shared" si="0"/>
        <v>0</v>
      </c>
      <c r="T8" s="710" t="s">
        <v>17</v>
      </c>
      <c r="U8" s="711">
        <f t="shared" si="1"/>
        <v>0</v>
      </c>
      <c r="V8" s="710" t="s">
        <v>17</v>
      </c>
      <c r="W8" s="711">
        <f t="shared" si="2"/>
        <v>0</v>
      </c>
      <c r="X8" s="712"/>
      <c r="Y8" s="3340" t="s">
        <v>2373</v>
      </c>
      <c r="Z8" s="334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72" t="s">
        <v>2376</v>
      </c>
      <c r="Q9" s="1528" t="str">
        <f t="shared" ref="Q9:Q14" si="6">B9</f>
        <v>用途</v>
      </c>
      <c r="R9" s="710" t="s">
        <v>17</v>
      </c>
      <c r="S9" s="711">
        <f t="shared" si="0"/>
        <v>100</v>
      </c>
      <c r="T9" s="710" t="s">
        <v>17</v>
      </c>
      <c r="U9" s="711">
        <f t="shared" si="1"/>
        <v>100</v>
      </c>
      <c r="V9" s="710" t="s">
        <v>17</v>
      </c>
      <c r="W9" s="711">
        <f t="shared" si="2"/>
        <v>100</v>
      </c>
      <c r="X9" s="712"/>
      <c r="Y9" s="325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72"/>
      <c r="Q10" s="1528" t="str">
        <f t="shared" si="6"/>
        <v>土地使用年限（年）</v>
      </c>
      <c r="R10" s="710" t="s">
        <v>17</v>
      </c>
      <c r="S10" s="711">
        <f t="shared" si="0"/>
        <v>100</v>
      </c>
      <c r="T10" s="710" t="s">
        <v>17</v>
      </c>
      <c r="U10" s="711">
        <f t="shared" si="1"/>
        <v>100</v>
      </c>
      <c r="V10" s="710" t="s">
        <v>17</v>
      </c>
      <c r="W10" s="711">
        <f t="shared" si="2"/>
        <v>100</v>
      </c>
      <c r="X10" s="712"/>
      <c r="Y10" s="325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72"/>
      <c r="Q11" s="1528">
        <f t="shared" si="6"/>
        <v>111</v>
      </c>
      <c r="R11" s="710" t="s">
        <v>17</v>
      </c>
      <c r="S11" s="711">
        <f t="shared" si="0"/>
        <v>100</v>
      </c>
      <c r="T11" s="710" t="s">
        <v>17</v>
      </c>
      <c r="U11" s="711">
        <f t="shared" si="1"/>
        <v>100</v>
      </c>
      <c r="V11" s="710" t="s">
        <v>17</v>
      </c>
      <c r="W11" s="711">
        <f t="shared" si="2"/>
        <v>100</v>
      </c>
      <c r="X11" s="712"/>
      <c r="Y11" s="325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72"/>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72"/>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74" t="s">
        <v>2381</v>
      </c>
      <c r="Q14" s="1537" t="str">
        <f t="shared" si="6"/>
        <v>交通便捷度</v>
      </c>
      <c r="R14" s="714" t="s">
        <v>17</v>
      </c>
      <c r="S14" s="715">
        <f t="shared" si="0"/>
        <v>100</v>
      </c>
      <c r="T14" s="714" t="s">
        <v>17</v>
      </c>
      <c r="U14" s="715">
        <f t="shared" si="1"/>
        <v>100</v>
      </c>
      <c r="V14" s="714" t="s">
        <v>17</v>
      </c>
      <c r="W14" s="715">
        <f t="shared" si="2"/>
        <v>100</v>
      </c>
      <c r="X14" s="1540"/>
      <c r="Y14" s="3374"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75"/>
      <c r="Q15" s="1537"/>
      <c r="R15" s="714"/>
      <c r="S15" s="715"/>
      <c r="T15" s="714"/>
      <c r="U15" s="715"/>
      <c r="V15" s="714"/>
      <c r="W15" s="715"/>
      <c r="X15" s="1540"/>
      <c r="Y15" s="3375"/>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75"/>
      <c r="Q16" s="1537" t="str">
        <f>B16</f>
        <v>公共配套设施</v>
      </c>
      <c r="R16" s="714" t="s">
        <v>17</v>
      </c>
      <c r="S16" s="715">
        <f>F16</f>
        <v>100</v>
      </c>
      <c r="T16" s="714" t="s">
        <v>17</v>
      </c>
      <c r="U16" s="715">
        <f>H16</f>
        <v>100</v>
      </c>
      <c r="V16" s="714" t="s">
        <v>17</v>
      </c>
      <c r="W16" s="715">
        <f>J16</f>
        <v>100</v>
      </c>
      <c r="X16" s="1540"/>
      <c r="Y16" s="337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75"/>
      <c r="Q17" s="1537"/>
      <c r="R17" s="714"/>
      <c r="S17" s="715"/>
      <c r="T17" s="714"/>
      <c r="U17" s="715"/>
      <c r="V17" s="714"/>
      <c r="W17" s="715"/>
      <c r="X17" s="1540"/>
      <c r="Y17" s="3375"/>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75"/>
      <c r="Q18" s="1537" t="str">
        <f>B18</f>
        <v>基础设施水平</v>
      </c>
      <c r="R18" s="714" t="s">
        <v>17</v>
      </c>
      <c r="S18" s="715">
        <f>F18</f>
        <v>100</v>
      </c>
      <c r="T18" s="714" t="s">
        <v>17</v>
      </c>
      <c r="U18" s="715">
        <f>H18</f>
        <v>100</v>
      </c>
      <c r="V18" s="714" t="s">
        <v>17</v>
      </c>
      <c r="W18" s="715">
        <f>J18</f>
        <v>100</v>
      </c>
      <c r="X18" s="1540"/>
      <c r="Y18" s="3375"/>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75"/>
      <c r="Q19" s="1537"/>
      <c r="R19" s="714"/>
      <c r="S19" s="715"/>
      <c r="T19" s="714"/>
      <c r="U19" s="715"/>
      <c r="V19" s="714"/>
      <c r="W19" s="715"/>
      <c r="X19" s="1540"/>
      <c r="Y19" s="3375"/>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75"/>
      <c r="Q20" s="1537" t="str">
        <f>B20</f>
        <v>自然及人文环境</v>
      </c>
      <c r="R20" s="714" t="s">
        <v>17</v>
      </c>
      <c r="S20" s="715">
        <f>F20</f>
        <v>100</v>
      </c>
      <c r="T20" s="714" t="s">
        <v>17</v>
      </c>
      <c r="U20" s="715">
        <f>H20</f>
        <v>100</v>
      </c>
      <c r="V20" s="714" t="s">
        <v>17</v>
      </c>
      <c r="W20" s="715">
        <f>J20</f>
        <v>100</v>
      </c>
      <c r="X20" s="1540"/>
      <c r="Y20" s="337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75"/>
      <c r="Q21" s="1537"/>
      <c r="R21" s="714"/>
      <c r="S21" s="715"/>
      <c r="T21" s="714"/>
      <c r="U21" s="715"/>
      <c r="V21" s="714"/>
      <c r="W21" s="715"/>
      <c r="X21" s="1540"/>
      <c r="Y21" s="3375"/>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75"/>
      <c r="Q22" s="1537" t="str">
        <f>B22</f>
        <v>楼层</v>
      </c>
      <c r="R22" s="714" t="s">
        <v>17</v>
      </c>
      <c r="S22" s="715">
        <f>F22</f>
        <v>100</v>
      </c>
      <c r="T22" s="714" t="s">
        <v>17</v>
      </c>
      <c r="U22" s="715">
        <f>H22</f>
        <v>100</v>
      </c>
      <c r="V22" s="714" t="s">
        <v>17</v>
      </c>
      <c r="W22" s="715">
        <f>J22</f>
        <v>100</v>
      </c>
      <c r="X22" s="1540"/>
      <c r="Y22" s="337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75"/>
      <c r="Q23" s="1537">
        <f>B23</f>
        <v>111</v>
      </c>
      <c r="R23" s="714" t="s">
        <v>17</v>
      </c>
      <c r="S23" s="715">
        <f>F23</f>
        <v>100</v>
      </c>
      <c r="T23" s="714" t="s">
        <v>17</v>
      </c>
      <c r="U23" s="715">
        <f>H23</f>
        <v>100</v>
      </c>
      <c r="V23" s="714" t="s">
        <v>17</v>
      </c>
      <c r="W23" s="715">
        <f>J23</f>
        <v>100</v>
      </c>
      <c r="X23" s="1540"/>
      <c r="Y23" s="337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75"/>
      <c r="Q24" s="1537">
        <f t="shared" ref="Q24:Q34" si="11">B24</f>
        <v>111</v>
      </c>
      <c r="R24" s="714" t="s">
        <v>17</v>
      </c>
      <c r="S24" s="715">
        <f>F24</f>
        <v>100</v>
      </c>
      <c r="T24" s="714" t="s">
        <v>17</v>
      </c>
      <c r="U24" s="715">
        <f>H24</f>
        <v>100</v>
      </c>
      <c r="V24" s="714" t="s">
        <v>17</v>
      </c>
      <c r="W24" s="715">
        <f>J24</f>
        <v>100</v>
      </c>
      <c r="X24" s="1540"/>
      <c r="Y24" s="337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75"/>
      <c r="Q25" s="1528">
        <f t="shared" si="11"/>
        <v>111</v>
      </c>
      <c r="R25" s="710" t="s">
        <v>17</v>
      </c>
      <c r="S25" s="711">
        <f>F25</f>
        <v>100</v>
      </c>
      <c r="T25" s="710" t="s">
        <v>17</v>
      </c>
      <c r="U25" s="711">
        <f>H25</f>
        <v>100</v>
      </c>
      <c r="V25" s="710" t="s">
        <v>17</v>
      </c>
      <c r="W25" s="711">
        <f>J25</f>
        <v>100</v>
      </c>
      <c r="X25" s="712"/>
      <c r="Y25" s="3375"/>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98"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79"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79"/>
      <c r="Q27" s="716" t="str">
        <f t="shared" si="11"/>
        <v>成新率</v>
      </c>
      <c r="R27" s="717" t="s">
        <v>17</v>
      </c>
      <c r="S27" s="718" t="e">
        <f t="shared" si="12"/>
        <v>#N/A</v>
      </c>
      <c r="T27" s="717" t="s">
        <v>17</v>
      </c>
      <c r="U27" s="718" t="e">
        <f t="shared" si="13"/>
        <v>#N/A</v>
      </c>
      <c r="V27" s="717" t="s">
        <v>17</v>
      </c>
      <c r="W27" s="718" t="e">
        <f t="shared" si="14"/>
        <v>#N/A</v>
      </c>
      <c r="X27" s="719"/>
      <c r="Y27" s="3379"/>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79"/>
      <c r="Q28" s="1537" t="str">
        <f t="shared" si="11"/>
        <v>物业等级</v>
      </c>
      <c r="R28" s="714" t="s">
        <v>17</v>
      </c>
      <c r="S28" s="715">
        <f t="shared" si="12"/>
        <v>100</v>
      </c>
      <c r="T28" s="714" t="s">
        <v>17</v>
      </c>
      <c r="U28" s="715">
        <f t="shared" si="13"/>
        <v>100</v>
      </c>
      <c r="V28" s="714" t="s">
        <v>17</v>
      </c>
      <c r="W28" s="715">
        <f t="shared" si="14"/>
        <v>100</v>
      </c>
      <c r="X28" s="1540"/>
      <c r="Y28" s="3379"/>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79"/>
      <c r="Q29" s="1537" t="str">
        <f t="shared" si="11"/>
        <v>有无电梯</v>
      </c>
      <c r="R29" s="714" t="s">
        <v>17</v>
      </c>
      <c r="S29" s="715">
        <f t="shared" si="12"/>
        <v>100</v>
      </c>
      <c r="T29" s="714" t="s">
        <v>17</v>
      </c>
      <c r="U29" s="715">
        <f t="shared" si="13"/>
        <v>100</v>
      </c>
      <c r="V29" s="714" t="s">
        <v>17</v>
      </c>
      <c r="W29" s="715">
        <f t="shared" si="14"/>
        <v>100</v>
      </c>
      <c r="X29" s="1540"/>
      <c r="Y29" s="3379"/>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79"/>
      <c r="Q30" s="1537" t="str">
        <f t="shared" si="11"/>
        <v>建筑面积</v>
      </c>
      <c r="R30" s="714" t="s">
        <v>17</v>
      </c>
      <c r="S30" s="715" t="e">
        <f t="shared" si="12"/>
        <v>#N/A</v>
      </c>
      <c r="T30" s="714" t="s">
        <v>17</v>
      </c>
      <c r="U30" s="715" t="e">
        <f t="shared" si="13"/>
        <v>#N/A</v>
      </c>
      <c r="V30" s="714" t="s">
        <v>17</v>
      </c>
      <c r="W30" s="715" t="e">
        <f t="shared" si="14"/>
        <v>#N/A</v>
      </c>
      <c r="X30" s="1540"/>
      <c r="Y30" s="3379"/>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79"/>
      <c r="Q31" s="1528" t="str">
        <f t="shared" si="11"/>
        <v>是否封闭</v>
      </c>
      <c r="R31" s="710" t="s">
        <v>17</v>
      </c>
      <c r="S31" s="711">
        <f t="shared" si="12"/>
        <v>100</v>
      </c>
      <c r="T31" s="710" t="s">
        <v>17</v>
      </c>
      <c r="U31" s="711">
        <f t="shared" si="13"/>
        <v>100</v>
      </c>
      <c r="V31" s="710" t="s">
        <v>17</v>
      </c>
      <c r="W31" s="711">
        <f t="shared" si="14"/>
        <v>100</v>
      </c>
      <c r="X31" s="712"/>
      <c r="Y31" s="3379"/>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79" t="s">
        <v>2386</v>
      </c>
      <c r="Q32" s="1537">
        <f t="shared" si="11"/>
        <v>111</v>
      </c>
      <c r="R32" s="714" t="s">
        <v>17</v>
      </c>
      <c r="S32" s="715">
        <f t="shared" si="12"/>
        <v>100</v>
      </c>
      <c r="T32" s="714" t="s">
        <v>17</v>
      </c>
      <c r="U32" s="715">
        <f t="shared" si="13"/>
        <v>100</v>
      </c>
      <c r="V32" s="714" t="s">
        <v>17</v>
      </c>
      <c r="W32" s="715">
        <f t="shared" si="14"/>
        <v>100</v>
      </c>
      <c r="X32" s="1540"/>
      <c r="Y32" s="3379"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79"/>
      <c r="Q33" s="1537">
        <f t="shared" si="11"/>
        <v>111</v>
      </c>
      <c r="R33" s="714" t="s">
        <v>17</v>
      </c>
      <c r="S33" s="715">
        <f t="shared" si="12"/>
        <v>100</v>
      </c>
      <c r="T33" s="714" t="s">
        <v>17</v>
      </c>
      <c r="U33" s="715">
        <f t="shared" si="13"/>
        <v>100</v>
      </c>
      <c r="V33" s="714" t="s">
        <v>17</v>
      </c>
      <c r="W33" s="715">
        <f t="shared" si="14"/>
        <v>100</v>
      </c>
      <c r="X33" s="1540"/>
      <c r="Y33" s="3379"/>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79"/>
      <c r="Q34" s="1537">
        <f t="shared" si="11"/>
        <v>111</v>
      </c>
      <c r="R34" s="714" t="s">
        <v>17</v>
      </c>
      <c r="S34" s="715">
        <f t="shared" si="12"/>
        <v>100</v>
      </c>
      <c r="T34" s="714" t="s">
        <v>17</v>
      </c>
      <c r="U34" s="715">
        <f t="shared" si="13"/>
        <v>100</v>
      </c>
      <c r="V34" s="714" t="s">
        <v>17</v>
      </c>
      <c r="W34" s="715">
        <f t="shared" si="14"/>
        <v>100</v>
      </c>
      <c r="X34" s="1540"/>
      <c r="Y34" s="3379"/>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372" t="str">
        <f>A35</f>
        <v>成交单价（元/平方米）</v>
      </c>
      <c r="Q35" s="3372"/>
      <c r="R35" s="3373">
        <f>E35</f>
        <v>0</v>
      </c>
      <c r="S35" s="3373"/>
      <c r="T35" s="3373">
        <f>G35</f>
        <v>0</v>
      </c>
      <c r="U35" s="3373"/>
      <c r="V35" s="3373">
        <f>I35</f>
        <v>0</v>
      </c>
      <c r="W35" s="3373"/>
      <c r="X35" s="699"/>
      <c r="Y35" s="721"/>
      <c r="Z35" s="699"/>
      <c r="AA35" s="699"/>
      <c r="AB35" s="699"/>
      <c r="AC35" s="699"/>
    </row>
    <row r="36" spans="1:30" ht="15.75" thickBot="1">
      <c r="A36" s="445" t="s">
        <v>2490</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69" t="str">
        <f>A37</f>
        <v>估价对象XX用房的比较价值（楼面单价，元/平方米）</v>
      </c>
      <c r="Q37" s="3370"/>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355" t="s">
        <v>2467</v>
      </c>
      <c r="D4" s="3356"/>
      <c r="E4" s="3357" t="s">
        <v>2468</v>
      </c>
      <c r="F4" s="3358"/>
      <c r="G4" s="3355" t="s">
        <v>2469</v>
      </c>
      <c r="H4" s="3356"/>
      <c r="I4" s="3355" t="s">
        <v>2470</v>
      </c>
      <c r="J4" s="3356"/>
      <c r="K4" s="567" t="s">
        <v>2471</v>
      </c>
      <c r="L4" s="2945"/>
      <c r="M4" s="2946"/>
      <c r="N4" s="2946"/>
      <c r="O4" s="2946"/>
      <c r="P4" s="3359" t="s">
        <v>2472</v>
      </c>
      <c r="Q4" s="3360"/>
      <c r="R4" s="3342" t="s">
        <v>2468</v>
      </c>
      <c r="S4" s="3343"/>
      <c r="T4" s="3342" t="s">
        <v>2469</v>
      </c>
      <c r="U4" s="3343"/>
      <c r="V4" s="3367" t="s">
        <v>2470</v>
      </c>
      <c r="W4" s="3367"/>
      <c r="X4" s="1540"/>
      <c r="Y4" s="3342" t="s">
        <v>2472</v>
      </c>
      <c r="Z4" s="3343"/>
      <c r="AA4" s="3337" t="s">
        <v>2468</v>
      </c>
      <c r="AB4" s="3338" t="s">
        <v>2469</v>
      </c>
      <c r="AC4" s="3337" t="s">
        <v>2470</v>
      </c>
    </row>
    <row r="5" spans="1:30"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1540"/>
      <c r="Y5" s="3344"/>
      <c r="Z5" s="3345"/>
      <c r="AA5" s="3338"/>
      <c r="AB5" s="3338"/>
      <c r="AC5" s="3338"/>
    </row>
    <row r="6" spans="1:30"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1540"/>
      <c r="Y6" s="3365"/>
      <c r="Z6" s="3366"/>
      <c r="AA6" s="3339"/>
      <c r="AB6" s="3339"/>
      <c r="AC6" s="3339"/>
    </row>
    <row r="7" spans="1:30" s="113" customFormat="1" ht="15.75" thickBot="1">
      <c r="A7" s="368" t="s">
        <v>2369</v>
      </c>
      <c r="B7" s="369"/>
      <c r="C7" s="370">
        <f>'数据-取费表'!B2</f>
        <v>44256</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340" t="s">
        <v>2370</v>
      </c>
      <c r="Q7" s="3368"/>
      <c r="R7" s="710" t="s">
        <v>17</v>
      </c>
      <c r="S7" s="711">
        <f t="shared" ref="S7:S15" si="0">F7</f>
        <v>0</v>
      </c>
      <c r="T7" s="710" t="s">
        <v>17</v>
      </c>
      <c r="U7" s="711">
        <f t="shared" ref="U7:U15" si="1">H7</f>
        <v>0</v>
      </c>
      <c r="V7" s="710" t="s">
        <v>17</v>
      </c>
      <c r="W7" s="711">
        <f t="shared" ref="W7:W15" si="2">J7</f>
        <v>0</v>
      </c>
      <c r="X7" s="712"/>
      <c r="Y7" s="3340" t="s">
        <v>2370</v>
      </c>
      <c r="Z7" s="334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40" t="s">
        <v>2373</v>
      </c>
      <c r="Q8" s="3341"/>
      <c r="R8" s="710" t="s">
        <v>17</v>
      </c>
      <c r="S8" s="711">
        <f t="shared" si="0"/>
        <v>0</v>
      </c>
      <c r="T8" s="710" t="s">
        <v>17</v>
      </c>
      <c r="U8" s="711">
        <f t="shared" si="1"/>
        <v>0</v>
      </c>
      <c r="V8" s="710" t="s">
        <v>17</v>
      </c>
      <c r="W8" s="711">
        <f t="shared" si="2"/>
        <v>0</v>
      </c>
      <c r="X8" s="712"/>
      <c r="Y8" s="3340" t="s">
        <v>2373</v>
      </c>
      <c r="Z8" s="3341"/>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72"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9"/>
      <c r="M10" s="2950"/>
      <c r="N10" s="2950"/>
      <c r="O10" s="3003"/>
      <c r="P10" s="3372"/>
      <c r="Q10" s="1528" t="str">
        <f t="shared" si="6"/>
        <v>土地使用年限（年）</v>
      </c>
      <c r="R10" s="710" t="s">
        <v>17</v>
      </c>
      <c r="S10" s="711">
        <f t="shared" si="0"/>
        <v>110</v>
      </c>
      <c r="T10" s="710" t="s">
        <v>17</v>
      </c>
      <c r="U10" s="711">
        <f t="shared" si="1"/>
        <v>110</v>
      </c>
      <c r="V10" s="710" t="s">
        <v>17</v>
      </c>
      <c r="W10" s="711">
        <f t="shared" si="2"/>
        <v>110</v>
      </c>
      <c r="X10" s="712"/>
      <c r="Y10" s="3256"/>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72"/>
      <c r="Q11" s="1528" t="str">
        <f t="shared" si="6"/>
        <v>容积率</v>
      </c>
      <c r="R11" s="710" t="s">
        <v>17</v>
      </c>
      <c r="S11" s="711" t="e">
        <f t="shared" si="0"/>
        <v>#N/A</v>
      </c>
      <c r="T11" s="710" t="s">
        <v>17</v>
      </c>
      <c r="U11" s="711" t="e">
        <f t="shared" si="1"/>
        <v>#N/A</v>
      </c>
      <c r="V11" s="710" t="s">
        <v>17</v>
      </c>
      <c r="W11" s="711" t="e">
        <f t="shared" si="2"/>
        <v>#N/A</v>
      </c>
      <c r="X11" s="712"/>
      <c r="Y11" s="3256"/>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72"/>
      <c r="Q12" s="1528" t="str">
        <f t="shared" si="6"/>
        <v>配建</v>
      </c>
      <c r="R12" s="710" t="s">
        <v>17</v>
      </c>
      <c r="S12" s="711">
        <f t="shared" si="0"/>
        <v>100</v>
      </c>
      <c r="T12" s="710" t="s">
        <v>17</v>
      </c>
      <c r="U12" s="711">
        <f t="shared" si="1"/>
        <v>100</v>
      </c>
      <c r="V12" s="710" t="s">
        <v>17</v>
      </c>
      <c r="W12" s="711">
        <f t="shared" si="2"/>
        <v>100</v>
      </c>
      <c r="X12" s="712"/>
      <c r="Y12" s="325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72"/>
      <c r="Q13" s="1528">
        <f t="shared" si="6"/>
        <v>111</v>
      </c>
      <c r="R13" s="710" t="s">
        <v>17</v>
      </c>
      <c r="S13" s="711">
        <f t="shared" si="0"/>
        <v>100</v>
      </c>
      <c r="T13" s="710" t="s">
        <v>17</v>
      </c>
      <c r="U13" s="711">
        <f t="shared" si="1"/>
        <v>100</v>
      </c>
      <c r="V13" s="710" t="s">
        <v>17</v>
      </c>
      <c r="W13" s="711">
        <f t="shared" si="2"/>
        <v>100</v>
      </c>
      <c r="X13" s="712"/>
      <c r="Y13" s="3256"/>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72"/>
      <c r="Q14" s="1528">
        <f t="shared" si="6"/>
        <v>111</v>
      </c>
      <c r="R14" s="710" t="s">
        <v>17</v>
      </c>
      <c r="S14" s="711">
        <f t="shared" si="0"/>
        <v>100</v>
      </c>
      <c r="T14" s="710" t="s">
        <v>17</v>
      </c>
      <c r="U14" s="711">
        <f t="shared" si="1"/>
        <v>100</v>
      </c>
      <c r="V14" s="710" t="s">
        <v>17</v>
      </c>
      <c r="W14" s="711">
        <f t="shared" si="2"/>
        <v>100</v>
      </c>
      <c r="X14" s="712"/>
      <c r="Y14" s="3256"/>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74" t="s">
        <v>2381</v>
      </c>
      <c r="Q15" s="1537" t="str">
        <f t="shared" si="6"/>
        <v>居住社区成熟度</v>
      </c>
      <c r="R15" s="714" t="s">
        <v>17</v>
      </c>
      <c r="S15" s="715">
        <f t="shared" si="0"/>
        <v>100</v>
      </c>
      <c r="T15" s="714" t="s">
        <v>17</v>
      </c>
      <c r="U15" s="715">
        <f t="shared" si="1"/>
        <v>100</v>
      </c>
      <c r="V15" s="714" t="s">
        <v>17</v>
      </c>
      <c r="W15" s="715">
        <f t="shared" si="2"/>
        <v>100</v>
      </c>
      <c r="X15" s="1540"/>
      <c r="Y15" s="3374"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75"/>
      <c r="Q16" s="1537"/>
      <c r="R16" s="714"/>
      <c r="S16" s="715"/>
      <c r="T16" s="714"/>
      <c r="U16" s="715"/>
      <c r="V16" s="714"/>
      <c r="W16" s="715"/>
      <c r="X16" s="1540"/>
      <c r="Y16" s="3375"/>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75"/>
      <c r="Q17" s="1537" t="str">
        <f>B17</f>
        <v>商业繁华度</v>
      </c>
      <c r="R17" s="714" t="s">
        <v>17</v>
      </c>
      <c r="S17" s="715">
        <f>F17</f>
        <v>100</v>
      </c>
      <c r="T17" s="714" t="s">
        <v>17</v>
      </c>
      <c r="U17" s="715">
        <f>H17</f>
        <v>100</v>
      </c>
      <c r="V17" s="714" t="s">
        <v>17</v>
      </c>
      <c r="W17" s="715">
        <f>J17</f>
        <v>100</v>
      </c>
      <c r="X17" s="1540"/>
      <c r="Y17" s="3375"/>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75"/>
      <c r="Q18" s="1537"/>
      <c r="R18" s="714"/>
      <c r="S18" s="715"/>
      <c r="T18" s="714"/>
      <c r="U18" s="715"/>
      <c r="V18" s="714"/>
      <c r="W18" s="715"/>
      <c r="X18" s="1540"/>
      <c r="Y18" s="3375"/>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75"/>
      <c r="Q19" s="1537" t="str">
        <f>B19</f>
        <v>办公集聚程度</v>
      </c>
      <c r="R19" s="714" t="s">
        <v>17</v>
      </c>
      <c r="S19" s="715">
        <f>F19</f>
        <v>100</v>
      </c>
      <c r="T19" s="714" t="s">
        <v>17</v>
      </c>
      <c r="U19" s="715">
        <f>H19</f>
        <v>100</v>
      </c>
      <c r="V19" s="714" t="s">
        <v>17</v>
      </c>
      <c r="W19" s="715">
        <f>J19</f>
        <v>100</v>
      </c>
      <c r="X19" s="1540"/>
      <c r="Y19" s="3375"/>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75"/>
      <c r="Q20" s="1537"/>
      <c r="R20" s="714"/>
      <c r="S20" s="715"/>
      <c r="T20" s="714"/>
      <c r="U20" s="715"/>
      <c r="V20" s="714"/>
      <c r="W20" s="715"/>
      <c r="X20" s="1540"/>
      <c r="Y20" s="3375"/>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75"/>
      <c r="Q21" s="1537" t="str">
        <f>B21</f>
        <v>交通便捷度</v>
      </c>
      <c r="R21" s="714" t="s">
        <v>17</v>
      </c>
      <c r="S21" s="715">
        <f>F21</f>
        <v>100</v>
      </c>
      <c r="T21" s="714" t="s">
        <v>17</v>
      </c>
      <c r="U21" s="715">
        <f>H21</f>
        <v>100</v>
      </c>
      <c r="V21" s="714" t="s">
        <v>17</v>
      </c>
      <c r="W21" s="715">
        <f>J21</f>
        <v>100</v>
      </c>
      <c r="X21" s="1540"/>
      <c r="Y21" s="3375"/>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75"/>
      <c r="Q22" s="1537"/>
      <c r="R22" s="714"/>
      <c r="S22" s="715"/>
      <c r="T22" s="714"/>
      <c r="U22" s="715"/>
      <c r="V22" s="714"/>
      <c r="W22" s="715"/>
      <c r="X22" s="1540"/>
      <c r="Y22" s="3375"/>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75"/>
      <c r="Q23" s="1537" t="str">
        <f t="shared" ref="Q23:Q37" si="8">B23</f>
        <v>区域土地利用方向</v>
      </c>
      <c r="R23" s="714" t="s">
        <v>17</v>
      </c>
      <c r="S23" s="715">
        <f>F23</f>
        <v>100</v>
      </c>
      <c r="T23" s="714" t="s">
        <v>17</v>
      </c>
      <c r="U23" s="715">
        <f>H23</f>
        <v>100</v>
      </c>
      <c r="V23" s="714" t="s">
        <v>17</v>
      </c>
      <c r="W23" s="715">
        <f>J23</f>
        <v>100</v>
      </c>
      <c r="X23" s="1540"/>
      <c r="Y23" s="3375"/>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75"/>
      <c r="Q24" s="1537"/>
      <c r="R24" s="714"/>
      <c r="S24" s="715"/>
      <c r="T24" s="714"/>
      <c r="U24" s="715"/>
      <c r="V24" s="714"/>
      <c r="W24" s="715"/>
      <c r="X24" s="1540"/>
      <c r="Y24" s="3375"/>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75"/>
      <c r="Q25" s="1537" t="str">
        <f t="shared" si="8"/>
        <v>自然及人文环境状况</v>
      </c>
      <c r="R25" s="714" t="s">
        <v>17</v>
      </c>
      <c r="S25" s="715">
        <f>F25</f>
        <v>100</v>
      </c>
      <c r="T25" s="714" t="s">
        <v>17</v>
      </c>
      <c r="U25" s="715">
        <f>H25</f>
        <v>100</v>
      </c>
      <c r="V25" s="714" t="s">
        <v>17</v>
      </c>
      <c r="W25" s="715">
        <f>J25</f>
        <v>100</v>
      </c>
      <c r="X25" s="1540"/>
      <c r="Y25" s="3375"/>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75"/>
      <c r="Q26" s="1537"/>
      <c r="R26" s="714"/>
      <c r="S26" s="715"/>
      <c r="T26" s="714"/>
      <c r="U26" s="715"/>
      <c r="V26" s="714"/>
      <c r="W26" s="715"/>
      <c r="X26" s="1540"/>
      <c r="Y26" s="3375"/>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75"/>
      <c r="Q27" s="1528" t="str">
        <f t="shared" si="8"/>
        <v>公共配套设施</v>
      </c>
      <c r="R27" s="710" t="s">
        <v>17</v>
      </c>
      <c r="S27" s="711">
        <f>F27</f>
        <v>100</v>
      </c>
      <c r="T27" s="710" t="s">
        <v>17</v>
      </c>
      <c r="U27" s="711">
        <f>H27</f>
        <v>100</v>
      </c>
      <c r="V27" s="710" t="s">
        <v>17</v>
      </c>
      <c r="W27" s="711">
        <f>J27</f>
        <v>100</v>
      </c>
      <c r="X27" s="712"/>
      <c r="Y27" s="3375"/>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75"/>
      <c r="Q28" s="1528"/>
      <c r="R28" s="710"/>
      <c r="S28" s="711"/>
      <c r="T28" s="710"/>
      <c r="U28" s="711"/>
      <c r="V28" s="710"/>
      <c r="W28" s="711"/>
      <c r="X28" s="712"/>
      <c r="Y28" s="3375"/>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75"/>
      <c r="Q29" s="1528" t="str">
        <f t="shared" ref="Q29" si="9">B29</f>
        <v>基础设施水平</v>
      </c>
      <c r="R29" s="710" t="s">
        <v>17</v>
      </c>
      <c r="S29" s="711">
        <f>F29</f>
        <v>100</v>
      </c>
      <c r="T29" s="710" t="s">
        <v>17</v>
      </c>
      <c r="U29" s="711">
        <f>H29</f>
        <v>100</v>
      </c>
      <c r="V29" s="710" t="s">
        <v>17</v>
      </c>
      <c r="W29" s="711">
        <f>J29</f>
        <v>100</v>
      </c>
      <c r="X29" s="712"/>
      <c r="Y29" s="3375"/>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75"/>
      <c r="Q30" s="1528"/>
      <c r="R30" s="710"/>
      <c r="S30" s="711"/>
      <c r="T30" s="710"/>
      <c r="U30" s="711"/>
      <c r="V30" s="710"/>
      <c r="W30" s="711"/>
      <c r="X30" s="712"/>
      <c r="Y30" s="3375"/>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7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75"/>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75"/>
      <c r="Q32" s="1537" t="str">
        <f t="shared" si="8"/>
        <v>毗邻道路的类型与等级</v>
      </c>
      <c r="R32" s="714" t="s">
        <v>17</v>
      </c>
      <c r="S32" s="715">
        <f t="shared" si="10"/>
        <v>100</v>
      </c>
      <c r="T32" s="714" t="s">
        <v>17</v>
      </c>
      <c r="U32" s="715">
        <f t="shared" si="11"/>
        <v>100</v>
      </c>
      <c r="V32" s="714" t="s">
        <v>17</v>
      </c>
      <c r="W32" s="715">
        <f t="shared" si="12"/>
        <v>100</v>
      </c>
      <c r="X32" s="1540"/>
      <c r="Y32" s="3375"/>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75"/>
      <c r="Q33" s="1537"/>
      <c r="R33" s="714"/>
      <c r="S33" s="715"/>
      <c r="T33" s="714"/>
      <c r="U33" s="715"/>
      <c r="V33" s="714"/>
      <c r="W33" s="715"/>
      <c r="X33" s="1540"/>
      <c r="Y33" s="3375"/>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75"/>
      <c r="Q34" s="1537" t="str">
        <f t="shared" si="8"/>
        <v>土地级别</v>
      </c>
      <c r="R34" s="714" t="s">
        <v>17</v>
      </c>
      <c r="S34" s="715">
        <f t="shared" si="10"/>
        <v>100</v>
      </c>
      <c r="T34" s="714" t="s">
        <v>17</v>
      </c>
      <c r="U34" s="715">
        <f t="shared" si="11"/>
        <v>100</v>
      </c>
      <c r="V34" s="714" t="s">
        <v>17</v>
      </c>
      <c r="W34" s="715">
        <f t="shared" si="12"/>
        <v>100</v>
      </c>
      <c r="X34" s="1540"/>
      <c r="Y34" s="337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75"/>
      <c r="Q35" s="1537">
        <f t="shared" si="8"/>
        <v>111</v>
      </c>
      <c r="R35" s="714" t="s">
        <v>17</v>
      </c>
      <c r="S35" s="715">
        <f t="shared" si="10"/>
        <v>100</v>
      </c>
      <c r="T35" s="714" t="s">
        <v>17</v>
      </c>
      <c r="U35" s="715">
        <f t="shared" si="11"/>
        <v>100</v>
      </c>
      <c r="V35" s="714" t="s">
        <v>17</v>
      </c>
      <c r="W35" s="715">
        <f t="shared" si="12"/>
        <v>100</v>
      </c>
      <c r="X35" s="1540"/>
      <c r="Y35" s="337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98" t="s">
        <v>2386</v>
      </c>
      <c r="Q36" s="1537">
        <f t="shared" si="8"/>
        <v>111</v>
      </c>
      <c r="R36" s="714" t="s">
        <v>17</v>
      </c>
      <c r="S36" s="715">
        <f t="shared" si="10"/>
        <v>100</v>
      </c>
      <c r="T36" s="714" t="s">
        <v>17</v>
      </c>
      <c r="U36" s="715">
        <f t="shared" si="11"/>
        <v>100</v>
      </c>
      <c r="V36" s="714" t="s">
        <v>17</v>
      </c>
      <c r="W36" s="715">
        <f t="shared" si="12"/>
        <v>100</v>
      </c>
      <c r="X36" s="1540"/>
      <c r="Y36" s="3379"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79"/>
      <c r="Q37" s="1537">
        <f t="shared" si="8"/>
        <v>111</v>
      </c>
      <c r="R37" s="717" t="s">
        <v>17</v>
      </c>
      <c r="S37" s="718">
        <f t="shared" si="10"/>
        <v>100</v>
      </c>
      <c r="T37" s="717" t="s">
        <v>17</v>
      </c>
      <c r="U37" s="718">
        <f t="shared" si="11"/>
        <v>100</v>
      </c>
      <c r="V37" s="717" t="s">
        <v>17</v>
      </c>
      <c r="W37" s="718">
        <f t="shared" si="12"/>
        <v>100</v>
      </c>
      <c r="X37" s="719"/>
      <c r="Y37" s="3379"/>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79"/>
      <c r="Q38" s="1537" t="str">
        <f>B38</f>
        <v>宗地面积</v>
      </c>
      <c r="R38" s="714" t="s">
        <v>17</v>
      </c>
      <c r="S38" s="715" t="e">
        <f t="shared" si="10"/>
        <v>#N/A</v>
      </c>
      <c r="T38" s="714" t="s">
        <v>17</v>
      </c>
      <c r="U38" s="715" t="e">
        <f t="shared" si="11"/>
        <v>#N/A</v>
      </c>
      <c r="V38" s="714" t="s">
        <v>17</v>
      </c>
      <c r="W38" s="715" t="e">
        <f t="shared" si="12"/>
        <v>#N/A</v>
      </c>
      <c r="X38" s="1540"/>
      <c r="Y38" s="3379"/>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79"/>
      <c r="Q39" s="1537" t="str">
        <f t="shared" ref="Q39:Q45" si="14">B39</f>
        <v>宗地形状</v>
      </c>
      <c r="R39" s="714" t="s">
        <v>17</v>
      </c>
      <c r="S39" s="715">
        <f t="shared" si="10"/>
        <v>100</v>
      </c>
      <c r="T39" s="714" t="s">
        <v>17</v>
      </c>
      <c r="U39" s="715">
        <f t="shared" si="11"/>
        <v>100</v>
      </c>
      <c r="V39" s="714" t="s">
        <v>17</v>
      </c>
      <c r="W39" s="715">
        <f t="shared" si="12"/>
        <v>100</v>
      </c>
      <c r="X39" s="1540"/>
      <c r="Y39" s="3379"/>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79"/>
      <c r="Q40" s="1537" t="str">
        <f t="shared" si="14"/>
        <v>临街宽度及深度</v>
      </c>
      <c r="R40" s="714" t="s">
        <v>17</v>
      </c>
      <c r="S40" s="715">
        <f t="shared" si="10"/>
        <v>100</v>
      </c>
      <c r="T40" s="714" t="s">
        <v>17</v>
      </c>
      <c r="U40" s="715">
        <f t="shared" si="11"/>
        <v>100</v>
      </c>
      <c r="V40" s="714" t="s">
        <v>17</v>
      </c>
      <c r="W40" s="715">
        <f t="shared" si="12"/>
        <v>100</v>
      </c>
      <c r="X40" s="1540"/>
      <c r="Y40" s="3379"/>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79"/>
      <c r="Q41" s="1537" t="str">
        <f t="shared" si="14"/>
        <v>宗地开发程度</v>
      </c>
      <c r="R41" s="710" t="s">
        <v>17</v>
      </c>
      <c r="S41" s="711">
        <f t="shared" si="10"/>
        <v>100</v>
      </c>
      <c r="T41" s="710" t="s">
        <v>17</v>
      </c>
      <c r="U41" s="711">
        <f t="shared" si="11"/>
        <v>100</v>
      </c>
      <c r="V41" s="710" t="s">
        <v>17</v>
      </c>
      <c r="W41" s="711">
        <f t="shared" si="12"/>
        <v>100</v>
      </c>
      <c r="X41" s="712"/>
      <c r="Y41" s="3379"/>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79" t="s">
        <v>2386</v>
      </c>
      <c r="Q42" s="1537" t="str">
        <f t="shared" si="14"/>
        <v>工程地质条件</v>
      </c>
      <c r="R42" s="714" t="s">
        <v>17</v>
      </c>
      <c r="S42" s="715">
        <f t="shared" si="10"/>
        <v>100</v>
      </c>
      <c r="T42" s="714" t="s">
        <v>17</v>
      </c>
      <c r="U42" s="715">
        <f t="shared" si="11"/>
        <v>100</v>
      </c>
      <c r="V42" s="714" t="s">
        <v>17</v>
      </c>
      <c r="W42" s="715">
        <f t="shared" si="12"/>
        <v>100</v>
      </c>
      <c r="X42" s="1540"/>
      <c r="Y42" s="3379"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79"/>
      <c r="Q43" s="1537">
        <f t="shared" si="14"/>
        <v>111</v>
      </c>
      <c r="R43" s="714" t="s">
        <v>17</v>
      </c>
      <c r="S43" s="715">
        <f t="shared" si="10"/>
        <v>100</v>
      </c>
      <c r="T43" s="714" t="s">
        <v>17</v>
      </c>
      <c r="U43" s="715">
        <f t="shared" si="11"/>
        <v>100</v>
      </c>
      <c r="V43" s="714" t="s">
        <v>17</v>
      </c>
      <c r="W43" s="715">
        <f t="shared" si="12"/>
        <v>100</v>
      </c>
      <c r="X43" s="1540"/>
      <c r="Y43" s="337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79"/>
      <c r="Q44" s="1537">
        <f t="shared" si="14"/>
        <v>111</v>
      </c>
      <c r="R44" s="714" t="s">
        <v>17</v>
      </c>
      <c r="S44" s="715">
        <f t="shared" si="10"/>
        <v>100</v>
      </c>
      <c r="T44" s="714" t="s">
        <v>17</v>
      </c>
      <c r="U44" s="715">
        <f t="shared" si="11"/>
        <v>100</v>
      </c>
      <c r="V44" s="714" t="s">
        <v>17</v>
      </c>
      <c r="W44" s="715">
        <f t="shared" si="12"/>
        <v>100</v>
      </c>
      <c r="X44" s="1540"/>
      <c r="Y44" s="3379"/>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79"/>
      <c r="Q45" s="1537">
        <f t="shared" si="14"/>
        <v>111</v>
      </c>
      <c r="R45" s="717" t="s">
        <v>17</v>
      </c>
      <c r="S45" s="718">
        <f t="shared" si="10"/>
        <v>100</v>
      </c>
      <c r="T45" s="717" t="s">
        <v>17</v>
      </c>
      <c r="U45" s="718">
        <f t="shared" si="11"/>
        <v>100</v>
      </c>
      <c r="V45" s="717" t="s">
        <v>17</v>
      </c>
      <c r="W45" s="718">
        <f t="shared" si="12"/>
        <v>100</v>
      </c>
      <c r="X45" s="719"/>
      <c r="Y45" s="3379"/>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372" t="str">
        <f>A46</f>
        <v>成交单价</v>
      </c>
      <c r="Q46" s="3372"/>
      <c r="R46" s="3367">
        <f>E46</f>
        <v>0</v>
      </c>
      <c r="S46" s="3367"/>
      <c r="T46" s="3367">
        <f>G46</f>
        <v>0</v>
      </c>
      <c r="U46" s="3367"/>
      <c r="V46" s="3367">
        <f>I46</f>
        <v>0</v>
      </c>
      <c r="W46" s="3367"/>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4"/>
      <c r="M47" s="2955"/>
      <c r="N47" s="2955"/>
      <c r="O47" s="2955"/>
      <c r="P47" s="3372" t="str">
        <f>A47</f>
        <v>比较价值（元/平方米）</v>
      </c>
      <c r="Q47" s="3372"/>
      <c r="R47" s="3400" t="e">
        <f>ROUND(PRODUCT(R46,AA7:AA45),0)</f>
        <v>#DIV/0!</v>
      </c>
      <c r="S47" s="3400"/>
      <c r="T47" s="3400" t="e">
        <f>ROUND(PRODUCT(T46,AB7:AB45),0)</f>
        <v>#DIV/0!</v>
      </c>
      <c r="U47" s="3400"/>
      <c r="V47" s="3400" t="e">
        <f>ROUND(PRODUCT(V46,AC7:AC45),0)</f>
        <v>#DIV/0!</v>
      </c>
      <c r="W47" s="340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69" t="str">
        <f>A48</f>
        <v>估价对象XX用房的比较价值（楼面单价，元/平方米）</v>
      </c>
      <c r="Q48" s="3370"/>
      <c r="R48" s="3401" t="e">
        <f>ROUND(IF(D47="简单平均",AVERAGE(R47:W47),R47*F47+T47*H47+V47*J47),0)</f>
        <v>#DIV/0!</v>
      </c>
      <c r="S48" s="3401"/>
      <c r="T48" s="3401"/>
      <c r="U48" s="3401"/>
      <c r="V48" s="3401"/>
      <c r="W48" s="3401"/>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355" t="s">
        <v>2585</v>
      </c>
      <c r="H55" s="3402"/>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19830.27</v>
      </c>
      <c r="F56" s="1017" t="e">
        <f t="shared" ref="F56:F65" si="15">ROUND(B56*E56/10000,0)</f>
        <v>#DIV/0!</v>
      </c>
      <c r="G56" s="3354"/>
      <c r="H56" s="3372"/>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0.7</v>
      </c>
      <c r="D57" s="1076">
        <v>0.25</v>
      </c>
      <c r="E57" s="650"/>
      <c r="F57" s="1017" t="e">
        <f t="shared" si="15"/>
        <v>#DIV/0!</v>
      </c>
      <c r="G57" s="3403" t="s">
        <v>2590</v>
      </c>
      <c r="H57" s="1018" t="str">
        <f>项目基本情况!B37</f>
        <v>五级</v>
      </c>
      <c r="I57" s="1022">
        <f>SUMIF(修正!A45:A56,H57,修正!B45:B56)</f>
        <v>0.7</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0.4</v>
      </c>
      <c r="D58" s="1076">
        <v>0.25</v>
      </c>
      <c r="E58" s="650"/>
      <c r="F58" s="1017" t="e">
        <f t="shared" si="15"/>
        <v>#DIV/0!</v>
      </c>
      <c r="G58" s="3403"/>
      <c r="H58" s="1018" t="str">
        <f>项目基本情况!B37</f>
        <v>五级</v>
      </c>
      <c r="I58" s="1022">
        <f>SUMIF(修正!A45:A56,H58,修正!C45:C56)</f>
        <v>0.4</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0.28000000000000003</v>
      </c>
      <c r="D59" s="1076">
        <v>0.25</v>
      </c>
      <c r="E59" s="650"/>
      <c r="F59" s="1017" t="e">
        <f t="shared" si="15"/>
        <v>#DIV/0!</v>
      </c>
      <c r="G59" s="3403"/>
      <c r="H59" s="1018" t="str">
        <f>项目基本情况!B37</f>
        <v>五级</v>
      </c>
      <c r="I59" s="1022">
        <f>SUMIF(修正!A45:A56,H59,修正!D45:D56)</f>
        <v>0.28000000000000003</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0.25</v>
      </c>
      <c r="D60" s="1076">
        <v>0.25</v>
      </c>
      <c r="E60" s="650"/>
      <c r="F60" s="1017" t="e">
        <f t="shared" si="15"/>
        <v>#DIV/0!</v>
      </c>
      <c r="G60" s="3403"/>
      <c r="H60" s="1018" t="str">
        <f>项目基本情况!B37</f>
        <v>五级</v>
      </c>
      <c r="I60" s="1022">
        <f>SUMIF(修正!A45:A56,H60,修正!E45:E56)</f>
        <v>0.25</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0.2</v>
      </c>
      <c r="D64" s="1076">
        <v>0.25</v>
      </c>
      <c r="E64" s="223">
        <f>'数据-汇总表'!E14</f>
        <v>30659.07</v>
      </c>
      <c r="F64" s="1017" t="e">
        <f t="shared" si="15"/>
        <v>#DIV/0!</v>
      </c>
      <c r="G64" s="2174" t="s">
        <v>2590</v>
      </c>
      <c r="H64" s="1018" t="str">
        <f>项目基本情况!B37</f>
        <v>五级</v>
      </c>
      <c r="I64" s="1022">
        <f>SUMIF(修正!A45:A56,H64,修正!H45:H56)</f>
        <v>0.2</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50489.34</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355" t="s">
        <v>2467</v>
      </c>
      <c r="D4" s="3356"/>
      <c r="E4" s="3357" t="s">
        <v>2468</v>
      </c>
      <c r="F4" s="3358"/>
      <c r="G4" s="3355" t="s">
        <v>2469</v>
      </c>
      <c r="H4" s="3356"/>
      <c r="I4" s="3355" t="s">
        <v>2470</v>
      </c>
      <c r="J4" s="3356"/>
      <c r="K4" s="567" t="s">
        <v>2471</v>
      </c>
      <c r="L4" s="2945"/>
      <c r="M4" s="2946"/>
      <c r="N4" s="2946"/>
      <c r="O4" s="2946"/>
      <c r="P4" s="3359" t="s">
        <v>2472</v>
      </c>
      <c r="Q4" s="3360"/>
      <c r="R4" s="3342" t="s">
        <v>2468</v>
      </c>
      <c r="S4" s="3343"/>
      <c r="T4" s="3342" t="s">
        <v>2469</v>
      </c>
      <c r="U4" s="3343"/>
      <c r="V4" s="3367" t="s">
        <v>2470</v>
      </c>
      <c r="W4" s="3367"/>
      <c r="X4" s="1540"/>
      <c r="Y4" s="3342" t="s">
        <v>2472</v>
      </c>
      <c r="Z4" s="3343"/>
      <c r="AA4" s="3337" t="s">
        <v>2468</v>
      </c>
      <c r="AB4" s="3338" t="s">
        <v>2469</v>
      </c>
      <c r="AC4" s="3337" t="s">
        <v>2470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1540"/>
      <c r="Y5" s="3344"/>
      <c r="Z5" s="3345"/>
      <c r="AA5" s="3338"/>
      <c r="AB5" s="3338"/>
      <c r="AC5" s="3338"/>
    </row>
    <row r="6" spans="1:29" ht="15.75" thickBot="1">
      <c r="A6" s="366"/>
      <c r="B6" s="367"/>
      <c r="C6" s="3404" t="s">
        <v>2618</v>
      </c>
      <c r="D6" s="3405"/>
      <c r="E6" s="3406" t="s">
        <v>2618</v>
      </c>
      <c r="F6" s="3407"/>
      <c r="G6" s="3404" t="s">
        <v>2618</v>
      </c>
      <c r="H6" s="3405"/>
      <c r="I6" s="3404" t="s">
        <v>2618</v>
      </c>
      <c r="J6" s="3405"/>
      <c r="K6" s="567" t="s">
        <v>2368</v>
      </c>
      <c r="L6" s="2945"/>
      <c r="M6" s="2946"/>
      <c r="N6" s="2946"/>
      <c r="O6" s="2946"/>
      <c r="P6" s="3363"/>
      <c r="Q6" s="3364"/>
      <c r="R6" s="3344"/>
      <c r="S6" s="3345"/>
      <c r="T6" s="3365"/>
      <c r="U6" s="3366"/>
      <c r="V6" s="3367"/>
      <c r="W6" s="3367"/>
      <c r="X6" s="1540"/>
      <c r="Y6" s="3365"/>
      <c r="Z6" s="3366"/>
      <c r="AA6" s="3339"/>
      <c r="AB6" s="3339"/>
      <c r="AC6" s="3339"/>
    </row>
    <row r="7" spans="1:29" s="113" customFormat="1" ht="15.75" thickBot="1">
      <c r="A7" s="368" t="s">
        <v>2369</v>
      </c>
      <c r="B7" s="369"/>
      <c r="C7" s="370">
        <f>'数据-取费表'!B2</f>
        <v>44256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40" t="s">
        <v>2370</v>
      </c>
      <c r="Q7" s="3368"/>
      <c r="R7" s="710" t="s">
        <v>17</v>
      </c>
      <c r="S7" s="711">
        <f t="shared" ref="S7:S15" si="0">F7</f>
        <v>0</v>
      </c>
      <c r="T7" s="710" t="s">
        <v>17</v>
      </c>
      <c r="U7" s="711">
        <f t="shared" ref="U7:U15" si="1">H7</f>
        <v>0</v>
      </c>
      <c r="V7" s="710" t="s">
        <v>17</v>
      </c>
      <c r="W7" s="711">
        <f t="shared" ref="W7:W15" si="2">J7</f>
        <v>0</v>
      </c>
      <c r="X7" s="712"/>
      <c r="Y7" s="3340" t="s">
        <v>2370</v>
      </c>
      <c r="Z7" s="334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40" t="s">
        <v>2373</v>
      </c>
      <c r="Q8" s="3341"/>
      <c r="R8" s="710" t="s">
        <v>17</v>
      </c>
      <c r="S8" s="711">
        <f t="shared" si="0"/>
        <v>0</v>
      </c>
      <c r="T8" s="710" t="s">
        <v>17</v>
      </c>
      <c r="U8" s="711">
        <f t="shared" si="1"/>
        <v>0</v>
      </c>
      <c r="V8" s="710" t="s">
        <v>17</v>
      </c>
      <c r="W8" s="711">
        <f t="shared" si="2"/>
        <v>0</v>
      </c>
      <c r="X8" s="712"/>
      <c r="Y8" s="3340" t="s">
        <v>2373</v>
      </c>
      <c r="Z8" s="3341"/>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72" t="s">
        <v>2376</v>
      </c>
      <c r="Q9" s="1528" t="str">
        <f t="shared" ref="Q9:Q15" si="6">B9</f>
        <v>用途</v>
      </c>
      <c r="R9" s="710" t="s">
        <v>17</v>
      </c>
      <c r="S9" s="711">
        <f t="shared" si="0"/>
        <v>100</v>
      </c>
      <c r="T9" s="710" t="s">
        <v>17</v>
      </c>
      <c r="U9" s="711">
        <f t="shared" si="1"/>
        <v>100</v>
      </c>
      <c r="V9" s="710" t="s">
        <v>17</v>
      </c>
      <c r="W9" s="711">
        <f t="shared" si="2"/>
        <v>100</v>
      </c>
      <c r="X9" s="712"/>
      <c r="Y9" s="325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9"/>
      <c r="M10" s="2950"/>
      <c r="N10" s="2950"/>
      <c r="O10" s="3003"/>
      <c r="P10" s="3372"/>
      <c r="Q10" s="1528" t="str">
        <f t="shared" si="6"/>
        <v>土地使用年限（年）</v>
      </c>
      <c r="R10" s="710" t="s">
        <v>17</v>
      </c>
      <c r="S10" s="711">
        <f t="shared" si="0"/>
        <v>110</v>
      </c>
      <c r="T10" s="710" t="s">
        <v>17</v>
      </c>
      <c r="U10" s="711">
        <f t="shared" si="1"/>
        <v>110</v>
      </c>
      <c r="V10" s="710" t="s">
        <v>17</v>
      </c>
      <c r="W10" s="711">
        <f t="shared" si="2"/>
        <v>110</v>
      </c>
      <c r="X10" s="712"/>
      <c r="Y10" s="3256"/>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72"/>
      <c r="Q11" s="1528" t="str">
        <f t="shared" si="6"/>
        <v>容积率</v>
      </c>
      <c r="R11" s="710" t="s">
        <v>17</v>
      </c>
      <c r="S11" s="711" t="e">
        <f t="shared" si="0"/>
        <v>#N/A</v>
      </c>
      <c r="T11" s="710" t="s">
        <v>17</v>
      </c>
      <c r="U11" s="711" t="e">
        <f t="shared" si="1"/>
        <v>#N/A</v>
      </c>
      <c r="V11" s="710" t="s">
        <v>17</v>
      </c>
      <c r="W11" s="711" t="e">
        <f t="shared" si="2"/>
        <v>#N/A</v>
      </c>
      <c r="X11" s="712"/>
      <c r="Y11" s="3256"/>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72"/>
      <c r="Q12" s="1528">
        <f t="shared" si="6"/>
        <v>111</v>
      </c>
      <c r="R12" s="710" t="s">
        <v>17</v>
      </c>
      <c r="S12" s="711">
        <f t="shared" si="0"/>
        <v>100</v>
      </c>
      <c r="T12" s="710" t="s">
        <v>17</v>
      </c>
      <c r="U12" s="711">
        <f t="shared" si="1"/>
        <v>100</v>
      </c>
      <c r="V12" s="710" t="s">
        <v>17</v>
      </c>
      <c r="W12" s="711">
        <f t="shared" si="2"/>
        <v>100</v>
      </c>
      <c r="X12" s="712"/>
      <c r="Y12" s="325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72"/>
      <c r="Q13" s="1528">
        <f t="shared" si="6"/>
        <v>111</v>
      </c>
      <c r="R13" s="710" t="s">
        <v>17</v>
      </c>
      <c r="S13" s="711">
        <f t="shared" si="0"/>
        <v>100</v>
      </c>
      <c r="T13" s="710" t="s">
        <v>17</v>
      </c>
      <c r="U13" s="711">
        <f t="shared" si="1"/>
        <v>100</v>
      </c>
      <c r="V13" s="710" t="s">
        <v>17</v>
      </c>
      <c r="W13" s="711">
        <f t="shared" si="2"/>
        <v>100</v>
      </c>
      <c r="X13" s="712"/>
      <c r="Y13" s="3256"/>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72"/>
      <c r="Q14" s="1528">
        <f t="shared" si="6"/>
        <v>111</v>
      </c>
      <c r="R14" s="710" t="s">
        <v>17</v>
      </c>
      <c r="S14" s="711">
        <f t="shared" si="0"/>
        <v>100</v>
      </c>
      <c r="T14" s="710" t="s">
        <v>17</v>
      </c>
      <c r="U14" s="711">
        <f t="shared" si="1"/>
        <v>100</v>
      </c>
      <c r="V14" s="710" t="s">
        <v>17</v>
      </c>
      <c r="W14" s="711">
        <f t="shared" si="2"/>
        <v>100</v>
      </c>
      <c r="X14" s="712"/>
      <c r="Y14" s="3256"/>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74" t="s">
        <v>2381</v>
      </c>
      <c r="Q15" s="1537" t="str">
        <f t="shared" si="6"/>
        <v>产业集聚程度</v>
      </c>
      <c r="R15" s="714" t="s">
        <v>17</v>
      </c>
      <c r="S15" s="715">
        <f t="shared" si="0"/>
        <v>100</v>
      </c>
      <c r="T15" s="714" t="s">
        <v>17</v>
      </c>
      <c r="U15" s="715">
        <f t="shared" si="1"/>
        <v>100</v>
      </c>
      <c r="V15" s="714" t="s">
        <v>17</v>
      </c>
      <c r="W15" s="715">
        <f t="shared" si="2"/>
        <v>100</v>
      </c>
      <c r="X15" s="1540"/>
      <c r="Y15" s="3374"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75"/>
      <c r="Q16" s="1537"/>
      <c r="R16" s="714"/>
      <c r="S16" s="715"/>
      <c r="T16" s="714"/>
      <c r="U16" s="715"/>
      <c r="V16" s="714"/>
      <c r="W16" s="715"/>
      <c r="X16" s="1540"/>
      <c r="Y16" s="3375"/>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75"/>
      <c r="Q17" s="1537" t="str">
        <f>B17</f>
        <v>交通便捷度</v>
      </c>
      <c r="R17" s="714" t="s">
        <v>17</v>
      </c>
      <c r="S17" s="715">
        <f>F17</f>
        <v>100</v>
      </c>
      <c r="T17" s="714" t="s">
        <v>17</v>
      </c>
      <c r="U17" s="715">
        <f>H17</f>
        <v>100</v>
      </c>
      <c r="V17" s="714" t="s">
        <v>17</v>
      </c>
      <c r="W17" s="715">
        <f>J17</f>
        <v>100</v>
      </c>
      <c r="X17" s="1540"/>
      <c r="Y17" s="3375"/>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75"/>
      <c r="Q18" s="1537"/>
      <c r="R18" s="714"/>
      <c r="S18" s="715"/>
      <c r="T18" s="714"/>
      <c r="U18" s="715"/>
      <c r="V18" s="714"/>
      <c r="W18" s="715"/>
      <c r="X18" s="1540"/>
      <c r="Y18" s="3375"/>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75"/>
      <c r="Q19" s="1537" t="str">
        <f t="shared" ref="Q19:Q33" si="8">B19</f>
        <v>区域土地利用方向</v>
      </c>
      <c r="R19" s="714" t="s">
        <v>17</v>
      </c>
      <c r="S19" s="715">
        <f>F19</f>
        <v>100</v>
      </c>
      <c r="T19" s="714" t="s">
        <v>17</v>
      </c>
      <c r="U19" s="715">
        <f>H19</f>
        <v>100</v>
      </c>
      <c r="V19" s="714" t="s">
        <v>17</v>
      </c>
      <c r="W19" s="715">
        <f>J19</f>
        <v>100</v>
      </c>
      <c r="X19" s="1540"/>
      <c r="Y19" s="3375"/>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75"/>
      <c r="Q20" s="1537"/>
      <c r="R20" s="714"/>
      <c r="S20" s="715"/>
      <c r="T20" s="714"/>
      <c r="U20" s="715"/>
      <c r="V20" s="714"/>
      <c r="W20" s="715"/>
      <c r="X20" s="1540"/>
      <c r="Y20" s="3375"/>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75"/>
      <c r="Q21" s="1537" t="str">
        <f t="shared" si="8"/>
        <v>环境状况</v>
      </c>
      <c r="R21" s="714" t="s">
        <v>17</v>
      </c>
      <c r="S21" s="715">
        <f>F21</f>
        <v>100</v>
      </c>
      <c r="T21" s="714" t="s">
        <v>17</v>
      </c>
      <c r="U21" s="715">
        <f>H21</f>
        <v>100</v>
      </c>
      <c r="V21" s="714" t="s">
        <v>17</v>
      </c>
      <c r="W21" s="715">
        <f>J21</f>
        <v>100</v>
      </c>
      <c r="X21" s="1540"/>
      <c r="Y21" s="3375"/>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75"/>
      <c r="Q22" s="1537"/>
      <c r="R22" s="714"/>
      <c r="S22" s="715"/>
      <c r="T22" s="714"/>
      <c r="U22" s="715"/>
      <c r="V22" s="714"/>
      <c r="W22" s="715"/>
      <c r="X22" s="1540"/>
      <c r="Y22" s="3375"/>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75"/>
      <c r="Q23" s="1528" t="str">
        <f t="shared" si="8"/>
        <v>公共配套设施</v>
      </c>
      <c r="R23" s="710" t="s">
        <v>17</v>
      </c>
      <c r="S23" s="711">
        <f>F23</f>
        <v>100</v>
      </c>
      <c r="T23" s="710" t="s">
        <v>17</v>
      </c>
      <c r="U23" s="711">
        <f>H23</f>
        <v>100</v>
      </c>
      <c r="V23" s="710" t="s">
        <v>17</v>
      </c>
      <c r="W23" s="711">
        <f>J23</f>
        <v>100</v>
      </c>
      <c r="X23" s="712"/>
      <c r="Y23" s="3375"/>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75"/>
      <c r="Q24" s="1528"/>
      <c r="R24" s="710"/>
      <c r="S24" s="711"/>
      <c r="T24" s="710"/>
      <c r="U24" s="711"/>
      <c r="V24" s="710"/>
      <c r="W24" s="711"/>
      <c r="X24" s="712"/>
      <c r="Y24" s="3375"/>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75"/>
      <c r="Q25" s="1528" t="str">
        <f t="shared" ref="Q25" si="9">B25</f>
        <v>基础设施水平</v>
      </c>
      <c r="R25" s="710" t="s">
        <v>17</v>
      </c>
      <c r="S25" s="711">
        <f>F25</f>
        <v>100</v>
      </c>
      <c r="T25" s="710" t="s">
        <v>17</v>
      </c>
      <c r="U25" s="711">
        <f>H25</f>
        <v>100</v>
      </c>
      <c r="V25" s="710" t="s">
        <v>17</v>
      </c>
      <c r="W25" s="711">
        <f>J25</f>
        <v>100</v>
      </c>
      <c r="X25" s="712"/>
      <c r="Y25" s="3375"/>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75"/>
      <c r="Q26" s="1528"/>
      <c r="R26" s="710"/>
      <c r="S26" s="711"/>
      <c r="T26" s="710"/>
      <c r="U26" s="711"/>
      <c r="V26" s="710"/>
      <c r="W26" s="711"/>
      <c r="X26" s="712"/>
      <c r="Y26" s="337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7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75"/>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75"/>
      <c r="Q28" s="1537" t="str">
        <f t="shared" si="8"/>
        <v>毗邻道路的类型与等级</v>
      </c>
      <c r="R28" s="714" t="s">
        <v>17</v>
      </c>
      <c r="S28" s="715">
        <f t="shared" si="10"/>
        <v>100</v>
      </c>
      <c r="T28" s="714" t="s">
        <v>17</v>
      </c>
      <c r="U28" s="715">
        <f t="shared" si="11"/>
        <v>100</v>
      </c>
      <c r="V28" s="714" t="s">
        <v>17</v>
      </c>
      <c r="W28" s="715">
        <f t="shared" si="12"/>
        <v>100</v>
      </c>
      <c r="X28" s="1540"/>
      <c r="Y28" s="3375"/>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75"/>
      <c r="Q29" s="1537"/>
      <c r="R29" s="714"/>
      <c r="S29" s="715"/>
      <c r="T29" s="714"/>
      <c r="U29" s="715"/>
      <c r="V29" s="714"/>
      <c r="W29" s="715"/>
      <c r="X29" s="1540"/>
      <c r="Y29" s="3375"/>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75"/>
      <c r="Q30" s="1537" t="str">
        <f t="shared" si="8"/>
        <v>土地级别</v>
      </c>
      <c r="R30" s="714" t="s">
        <v>17</v>
      </c>
      <c r="S30" s="715">
        <f t="shared" si="10"/>
        <v>100</v>
      </c>
      <c r="T30" s="714" t="s">
        <v>17</v>
      </c>
      <c r="U30" s="715">
        <f t="shared" si="11"/>
        <v>100</v>
      </c>
      <c r="V30" s="714" t="s">
        <v>17</v>
      </c>
      <c r="W30" s="715">
        <f t="shared" si="12"/>
        <v>100</v>
      </c>
      <c r="X30" s="1540"/>
      <c r="Y30" s="3375"/>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75"/>
      <c r="Q31" s="1537">
        <f t="shared" si="8"/>
        <v>111</v>
      </c>
      <c r="R31" s="714" t="s">
        <v>17</v>
      </c>
      <c r="S31" s="715">
        <f t="shared" si="10"/>
        <v>100</v>
      </c>
      <c r="T31" s="714" t="s">
        <v>17</v>
      </c>
      <c r="U31" s="715">
        <f t="shared" si="11"/>
        <v>100</v>
      </c>
      <c r="V31" s="714" t="s">
        <v>17</v>
      </c>
      <c r="W31" s="715">
        <f t="shared" si="12"/>
        <v>100</v>
      </c>
      <c r="X31" s="1540"/>
      <c r="Y31" s="3375"/>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98" t="s">
        <v>2386</v>
      </c>
      <c r="Q32" s="1537">
        <f t="shared" si="8"/>
        <v>111</v>
      </c>
      <c r="R32" s="714" t="s">
        <v>17</v>
      </c>
      <c r="S32" s="715">
        <f t="shared" si="10"/>
        <v>100</v>
      </c>
      <c r="T32" s="714" t="s">
        <v>17</v>
      </c>
      <c r="U32" s="715">
        <f t="shared" si="11"/>
        <v>100</v>
      </c>
      <c r="V32" s="714" t="s">
        <v>17</v>
      </c>
      <c r="W32" s="715">
        <f t="shared" si="12"/>
        <v>100</v>
      </c>
      <c r="X32" s="1540"/>
      <c r="Y32" s="3379"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79"/>
      <c r="Q33" s="1537">
        <f t="shared" si="8"/>
        <v>111</v>
      </c>
      <c r="R33" s="717" t="s">
        <v>17</v>
      </c>
      <c r="S33" s="718">
        <f t="shared" si="10"/>
        <v>100</v>
      </c>
      <c r="T33" s="717" t="s">
        <v>17</v>
      </c>
      <c r="U33" s="718">
        <f t="shared" si="11"/>
        <v>100</v>
      </c>
      <c r="V33" s="717" t="s">
        <v>17</v>
      </c>
      <c r="W33" s="718">
        <f t="shared" si="12"/>
        <v>100</v>
      </c>
      <c r="X33" s="719"/>
      <c r="Y33" s="3379"/>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79"/>
      <c r="Q34" s="1537" t="str">
        <f>B34</f>
        <v>宗地面积</v>
      </c>
      <c r="R34" s="714" t="s">
        <v>17</v>
      </c>
      <c r="S34" s="715" t="e">
        <f t="shared" si="10"/>
        <v>#N/A</v>
      </c>
      <c r="T34" s="714" t="s">
        <v>17</v>
      </c>
      <c r="U34" s="715" t="e">
        <f t="shared" si="11"/>
        <v>#N/A</v>
      </c>
      <c r="V34" s="714" t="s">
        <v>17</v>
      </c>
      <c r="W34" s="715" t="e">
        <f t="shared" si="12"/>
        <v>#N/A</v>
      </c>
      <c r="X34" s="1540"/>
      <c r="Y34" s="3379"/>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79"/>
      <c r="Q35" s="1537" t="str">
        <f t="shared" ref="Q35:Q40" si="14">B35</f>
        <v>宗地形状</v>
      </c>
      <c r="R35" s="714" t="s">
        <v>17</v>
      </c>
      <c r="S35" s="715">
        <f t="shared" si="10"/>
        <v>100</v>
      </c>
      <c r="T35" s="714" t="s">
        <v>17</v>
      </c>
      <c r="U35" s="715">
        <f t="shared" si="11"/>
        <v>100</v>
      </c>
      <c r="V35" s="714" t="s">
        <v>17</v>
      </c>
      <c r="W35" s="715">
        <f t="shared" si="12"/>
        <v>100</v>
      </c>
      <c r="X35" s="1540"/>
      <c r="Y35" s="3379"/>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79"/>
      <c r="Q36" s="1537" t="str">
        <f t="shared" si="14"/>
        <v>宗地开发程度</v>
      </c>
      <c r="R36" s="710" t="s">
        <v>17</v>
      </c>
      <c r="S36" s="711">
        <f t="shared" si="10"/>
        <v>100</v>
      </c>
      <c r="T36" s="710" t="s">
        <v>17</v>
      </c>
      <c r="U36" s="711">
        <f t="shared" si="11"/>
        <v>100</v>
      </c>
      <c r="V36" s="710" t="s">
        <v>17</v>
      </c>
      <c r="W36" s="711">
        <f t="shared" si="12"/>
        <v>100</v>
      </c>
      <c r="X36" s="712"/>
      <c r="Y36" s="3379"/>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79" t="s">
        <v>2386</v>
      </c>
      <c r="Q37" s="1537" t="str">
        <f t="shared" si="14"/>
        <v>工程地质条件</v>
      </c>
      <c r="R37" s="714" t="s">
        <v>17</v>
      </c>
      <c r="S37" s="715">
        <f t="shared" si="10"/>
        <v>100</v>
      </c>
      <c r="T37" s="714" t="s">
        <v>17</v>
      </c>
      <c r="U37" s="715">
        <f t="shared" si="11"/>
        <v>100</v>
      </c>
      <c r="V37" s="714" t="s">
        <v>17</v>
      </c>
      <c r="W37" s="715">
        <f t="shared" si="12"/>
        <v>100</v>
      </c>
      <c r="X37" s="1540"/>
      <c r="Y37" s="3379"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79"/>
      <c r="Q38" s="1537">
        <f t="shared" si="14"/>
        <v>111</v>
      </c>
      <c r="R38" s="714" t="s">
        <v>17</v>
      </c>
      <c r="S38" s="715">
        <f t="shared" si="10"/>
        <v>100</v>
      </c>
      <c r="T38" s="714" t="s">
        <v>17</v>
      </c>
      <c r="U38" s="715">
        <f t="shared" si="11"/>
        <v>100</v>
      </c>
      <c r="V38" s="714" t="s">
        <v>17</v>
      </c>
      <c r="W38" s="715">
        <f t="shared" si="12"/>
        <v>100</v>
      </c>
      <c r="X38" s="1540"/>
      <c r="Y38" s="337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79"/>
      <c r="Q39" s="1537">
        <f t="shared" si="14"/>
        <v>111</v>
      </c>
      <c r="R39" s="714" t="s">
        <v>17</v>
      </c>
      <c r="S39" s="715">
        <f t="shared" si="10"/>
        <v>100</v>
      </c>
      <c r="T39" s="714" t="s">
        <v>17</v>
      </c>
      <c r="U39" s="715">
        <f t="shared" si="11"/>
        <v>100</v>
      </c>
      <c r="V39" s="714" t="s">
        <v>17</v>
      </c>
      <c r="W39" s="715">
        <f t="shared" si="12"/>
        <v>100</v>
      </c>
      <c r="X39" s="1540"/>
      <c r="Y39" s="3379"/>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79"/>
      <c r="Q40" s="1537">
        <f t="shared" si="14"/>
        <v>111</v>
      </c>
      <c r="R40" s="717" t="s">
        <v>17</v>
      </c>
      <c r="S40" s="718">
        <f t="shared" si="10"/>
        <v>100</v>
      </c>
      <c r="T40" s="717" t="s">
        <v>17</v>
      </c>
      <c r="U40" s="718">
        <f t="shared" si="11"/>
        <v>100</v>
      </c>
      <c r="V40" s="717" t="s">
        <v>17</v>
      </c>
      <c r="W40" s="718">
        <f t="shared" si="12"/>
        <v>100</v>
      </c>
      <c r="X40" s="719"/>
      <c r="Y40" s="3379"/>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372" t="str">
        <f>A41</f>
        <v>成交单价</v>
      </c>
      <c r="Q41" s="3372"/>
      <c r="R41" s="3367">
        <f>E41</f>
        <v>0</v>
      </c>
      <c r="S41" s="3367"/>
      <c r="T41" s="3367">
        <f>G41</f>
        <v>0</v>
      </c>
      <c r="U41" s="3367"/>
      <c r="V41" s="3367">
        <f>I41</f>
        <v>0</v>
      </c>
      <c r="W41" s="3367"/>
      <c r="X41" s="699"/>
      <c r="Y41" s="721"/>
      <c r="Z41" s="699"/>
      <c r="AA41" s="699"/>
      <c r="AB41" s="699"/>
      <c r="AC41" s="699"/>
    </row>
    <row r="42" spans="1:31" ht="15.75" thickBot="1">
      <c r="A42" s="445" t="s">
        <v>2490</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72" t="str">
        <f>A42</f>
        <v>比较价值（元/平方米）</v>
      </c>
      <c r="Q42" s="3372"/>
      <c r="R42" s="3400" t="e">
        <f>ROUND(PRODUCT(R41,AA7:AA40),0)</f>
        <v>#DIV/0!</v>
      </c>
      <c r="S42" s="3400"/>
      <c r="T42" s="3400" t="e">
        <f>ROUND(PRODUCT(T41,AB7:AB40),0)</f>
        <v>#DIV/0!</v>
      </c>
      <c r="U42" s="3400"/>
      <c r="V42" s="3400" t="e">
        <f>ROUND(PRODUCT(V41,AC7:AC40),0)</f>
        <v>#DIV/0!</v>
      </c>
      <c r="W42" s="340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69" t="str">
        <f>A43</f>
        <v>估价对象XX用房的比较价值（楼面单价，元/平方米）</v>
      </c>
      <c r="Q43" s="3370"/>
      <c r="R43" s="3401" t="e">
        <f>ROUND(IF(D42="简单平均",AVERAGE(R42:W42),R42*F42+T42*H42+V42*J42),0)</f>
        <v>#DIV/0!</v>
      </c>
      <c r="S43" s="3401"/>
      <c r="T43" s="3401"/>
      <c r="U43" s="3401"/>
      <c r="V43" s="3401"/>
      <c r="W43" s="3401"/>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355" t="s">
        <v>2585</v>
      </c>
      <c r="H50" s="3402"/>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19830.27</v>
      </c>
      <c r="F51" s="647" t="e">
        <f t="shared" ref="F51:F60" si="15">ROUND(B51*E51/10000,0)</f>
        <v>#DIV/0!</v>
      </c>
      <c r="G51" s="3354"/>
      <c r="H51" s="3372"/>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0.7</v>
      </c>
      <c r="D52" s="1076">
        <v>0.25</v>
      </c>
      <c r="E52" s="650"/>
      <c r="F52" s="647" t="e">
        <f t="shared" si="15"/>
        <v>#DIV/0!</v>
      </c>
      <c r="G52" s="3403" t="s">
        <v>2590</v>
      </c>
      <c r="H52" s="1018" t="str">
        <f>项目基本情况!B37</f>
        <v>五级</v>
      </c>
      <c r="I52" s="879">
        <f>SUMIF(修正!A45:A56,H52,修正!B45:B56)</f>
        <v>0.7</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0.4</v>
      </c>
      <c r="D53" s="1076">
        <v>0.25</v>
      </c>
      <c r="E53" s="650"/>
      <c r="F53" s="647" t="e">
        <f t="shared" si="15"/>
        <v>#DIV/0!</v>
      </c>
      <c r="G53" s="3403"/>
      <c r="H53" s="1018" t="str">
        <f>项目基本情况!B37</f>
        <v>五级</v>
      </c>
      <c r="I53" s="879">
        <f>SUMIF(修正!A45:A56,H53,修正!C45:C56)</f>
        <v>0.4</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0.28000000000000003</v>
      </c>
      <c r="D54" s="1076">
        <v>0.25</v>
      </c>
      <c r="E54" s="650"/>
      <c r="F54" s="647" t="e">
        <f t="shared" si="15"/>
        <v>#DIV/0!</v>
      </c>
      <c r="G54" s="3403"/>
      <c r="H54" s="1018" t="str">
        <f>项目基本情况!B37</f>
        <v>五级</v>
      </c>
      <c r="I54" s="879">
        <f>SUMIF(修正!A45:A56,H54,修正!D45:D56)</f>
        <v>0.28000000000000003</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0.25</v>
      </c>
      <c r="D55" s="1076">
        <v>0.25</v>
      </c>
      <c r="E55" s="650"/>
      <c r="F55" s="647" t="e">
        <f t="shared" si="15"/>
        <v>#DIV/0!</v>
      </c>
      <c r="G55" s="3403"/>
      <c r="H55" s="1018" t="str">
        <f>项目基本情况!B37</f>
        <v>五级</v>
      </c>
      <c r="I55" s="879">
        <f>SUMIF(修正!A45:A56,H55,修正!E45:E56)</f>
        <v>0.25</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0.2</v>
      </c>
      <c r="D59" s="1076">
        <v>0.25</v>
      </c>
      <c r="E59" s="223">
        <f>'数据-汇总表'!E14</f>
        <v>30659.07</v>
      </c>
      <c r="F59" s="647" t="e">
        <f t="shared" si="15"/>
        <v>#DIV/0!</v>
      </c>
      <c r="G59" s="2174" t="s">
        <v>2590</v>
      </c>
      <c r="H59" s="1018" t="str">
        <f>项目基本情况!B37</f>
        <v>五级</v>
      </c>
      <c r="I59" s="879">
        <f>SUMIF(修正!A45:A56,H59,修正!H45:H56)</f>
        <v>0.2</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8" t="s">
        <v>183</v>
      </c>
      <c r="B18" s="821" t="s">
        <v>560</v>
      </c>
      <c r="C18" s="822" t="s">
        <v>561</v>
      </c>
      <c r="D18" s="823"/>
      <c r="E18" s="821">
        <v>1</v>
      </c>
      <c r="F18" s="824" t="s">
        <v>562</v>
      </c>
      <c r="G18" s="825"/>
      <c r="H18" s="817"/>
      <c r="I18" s="817"/>
    </row>
    <row r="19" spans="1:9" s="826" customFormat="1" ht="19.5" customHeight="1">
      <c r="A19" s="3408"/>
      <c r="B19" s="3408" t="s">
        <v>563</v>
      </c>
      <c r="C19" s="822" t="s">
        <v>564</v>
      </c>
      <c r="D19" s="823"/>
      <c r="E19" s="821">
        <v>0.9</v>
      </c>
      <c r="F19" s="824" t="s">
        <v>565</v>
      </c>
      <c r="G19" s="825"/>
      <c r="H19" s="817"/>
      <c r="I19" s="817"/>
    </row>
    <row r="20" spans="1:9" s="826" customFormat="1" ht="19.5" customHeight="1">
      <c r="A20" s="3408"/>
      <c r="B20" s="3408"/>
      <c r="C20" s="822" t="s">
        <v>566</v>
      </c>
      <c r="D20" s="823"/>
      <c r="E20" s="821">
        <v>1.1000000000000001</v>
      </c>
      <c r="F20" s="824" t="s">
        <v>567</v>
      </c>
      <c r="G20" s="825"/>
      <c r="H20" s="817"/>
      <c r="I20" s="817"/>
    </row>
    <row r="21" spans="1:9" s="826" customFormat="1" ht="19.5" customHeight="1">
      <c r="A21" s="3408"/>
      <c r="B21" s="3408"/>
      <c r="C21" s="822" t="s">
        <v>568</v>
      </c>
      <c r="D21" s="823"/>
      <c r="E21" s="821">
        <v>0.8</v>
      </c>
      <c r="F21" s="824" t="s">
        <v>569</v>
      </c>
      <c r="G21" s="825"/>
      <c r="H21" s="817"/>
      <c r="I21" s="817"/>
    </row>
    <row r="22" spans="1:9" s="826" customFormat="1" ht="19.5" customHeight="1">
      <c r="A22" s="3408"/>
      <c r="B22" s="3408"/>
      <c r="C22" s="822" t="s">
        <v>570</v>
      </c>
      <c r="D22" s="823"/>
      <c r="E22" s="821">
        <v>0.5</v>
      </c>
      <c r="F22" s="824"/>
      <c r="G22" s="825"/>
      <c r="H22" s="817"/>
      <c r="I22" s="817"/>
    </row>
    <row r="23" spans="1:9" s="826" customFormat="1" ht="19.5" customHeight="1">
      <c r="A23" s="3408" t="s">
        <v>184</v>
      </c>
      <c r="B23" s="821" t="s">
        <v>560</v>
      </c>
      <c r="C23" s="822" t="s">
        <v>571</v>
      </c>
      <c r="D23" s="823"/>
      <c r="E23" s="821">
        <v>1</v>
      </c>
      <c r="F23" s="824" t="s">
        <v>572</v>
      </c>
      <c r="G23" s="825"/>
      <c r="H23" s="817"/>
      <c r="I23" s="817"/>
    </row>
    <row r="24" spans="1:9" s="826" customFormat="1" ht="19.5" customHeight="1">
      <c r="A24" s="3408"/>
      <c r="B24" s="3408" t="s">
        <v>563</v>
      </c>
      <c r="C24" s="822" t="s">
        <v>573</v>
      </c>
      <c r="D24" s="823"/>
      <c r="E24" s="821">
        <v>0.5</v>
      </c>
      <c r="F24" s="824"/>
      <c r="G24" s="825"/>
      <c r="H24" s="817"/>
      <c r="I24" s="817"/>
    </row>
    <row r="25" spans="1:9" s="826" customFormat="1" ht="19.5" customHeight="1">
      <c r="A25" s="3408"/>
      <c r="B25" s="3408"/>
      <c r="C25" s="822" t="s">
        <v>574</v>
      </c>
      <c r="D25" s="823"/>
      <c r="E25" s="821">
        <v>1.1000000000000001</v>
      </c>
      <c r="F25" s="824"/>
      <c r="G25" s="825"/>
      <c r="H25" s="817"/>
      <c r="I25" s="817"/>
    </row>
    <row r="26" spans="1:9" s="826" customFormat="1" ht="19.5" customHeight="1">
      <c r="A26" s="3408"/>
      <c r="B26" s="3408"/>
      <c r="C26" s="822" t="s">
        <v>575</v>
      </c>
      <c r="D26" s="823"/>
      <c r="E26" s="821">
        <v>1.1000000000000001</v>
      </c>
      <c r="F26" s="824"/>
      <c r="G26" s="825"/>
      <c r="H26" s="817"/>
      <c r="I26" s="817"/>
    </row>
    <row r="27" spans="1:9" s="826" customFormat="1" ht="19.5" customHeight="1">
      <c r="A27" s="3408"/>
      <c r="B27" s="3408"/>
      <c r="C27" s="822" t="s">
        <v>576</v>
      </c>
      <c r="D27" s="823"/>
      <c r="E27" s="821">
        <v>0.9</v>
      </c>
      <c r="F27" s="824" t="s">
        <v>577</v>
      </c>
      <c r="G27" s="825"/>
      <c r="H27" s="817"/>
      <c r="I27" s="817"/>
    </row>
    <row r="28" spans="1:9" s="826" customFormat="1" ht="19.5" customHeight="1">
      <c r="A28" s="3408"/>
      <c r="B28" s="3408"/>
      <c r="C28" s="822" t="s">
        <v>578</v>
      </c>
      <c r="D28" s="823"/>
      <c r="E28" s="821">
        <v>0.9</v>
      </c>
      <c r="F28" s="824" t="s">
        <v>579</v>
      </c>
      <c r="G28" s="825"/>
      <c r="H28" s="817"/>
      <c r="I28" s="817"/>
    </row>
    <row r="29" spans="1:9" s="826" customFormat="1" ht="19.5" customHeight="1">
      <c r="A29" s="3408"/>
      <c r="B29" s="3408"/>
      <c r="C29" s="822" t="s">
        <v>580</v>
      </c>
      <c r="D29" s="823"/>
      <c r="E29" s="821">
        <v>0.9</v>
      </c>
      <c r="F29" s="824" t="s">
        <v>581</v>
      </c>
      <c r="G29" s="825"/>
      <c r="H29" s="817"/>
      <c r="I29" s="817"/>
    </row>
    <row r="30" spans="1:9" s="826" customFormat="1" ht="19.5" customHeight="1">
      <c r="A30" s="3408"/>
      <c r="B30" s="3408"/>
      <c r="C30" s="822" t="s">
        <v>582</v>
      </c>
      <c r="D30" s="823"/>
      <c r="E30" s="821">
        <v>0.9</v>
      </c>
      <c r="F30" s="824" t="s">
        <v>583</v>
      </c>
      <c r="G30" s="825"/>
      <c r="H30" s="817"/>
      <c r="I30" s="817"/>
    </row>
    <row r="31" spans="1:9" s="826" customFormat="1" ht="19.5" customHeight="1">
      <c r="A31" s="3408"/>
      <c r="B31" s="3408"/>
      <c r="C31" s="822" t="s">
        <v>584</v>
      </c>
      <c r="D31" s="823"/>
      <c r="E31" s="821">
        <v>0.8</v>
      </c>
      <c r="F31" s="824" t="s">
        <v>585</v>
      </c>
      <c r="G31" s="825"/>
      <c r="H31" s="817"/>
      <c r="I31" s="817"/>
    </row>
    <row r="32" spans="1:9" s="826" customFormat="1" ht="19.5" customHeight="1">
      <c r="A32" s="3408"/>
      <c r="B32" s="3408"/>
      <c r="C32" s="822" t="s">
        <v>586</v>
      </c>
      <c r="D32" s="823"/>
      <c r="E32" s="821">
        <v>0.8</v>
      </c>
      <c r="F32" s="824" t="s">
        <v>587</v>
      </c>
      <c r="G32" s="825"/>
      <c r="H32" s="817"/>
      <c r="I32" s="817"/>
    </row>
    <row r="33" spans="1:9" s="826" customFormat="1" ht="19.5" customHeight="1">
      <c r="A33" s="3408" t="s">
        <v>185</v>
      </c>
      <c r="B33" s="821" t="s">
        <v>560</v>
      </c>
      <c r="C33" s="822" t="s">
        <v>588</v>
      </c>
      <c r="D33" s="823"/>
      <c r="E33" s="821">
        <v>1</v>
      </c>
      <c r="F33" s="824" t="s">
        <v>589</v>
      </c>
      <c r="G33" s="825"/>
      <c r="H33" s="817"/>
      <c r="I33" s="817"/>
    </row>
    <row r="34" spans="1:9" s="826" customFormat="1" ht="19.5" customHeight="1">
      <c r="A34" s="3408"/>
      <c r="B34" s="821" t="s">
        <v>563</v>
      </c>
      <c r="C34" s="822" t="s">
        <v>590</v>
      </c>
      <c r="D34" s="823"/>
      <c r="E34" s="821">
        <v>1.5</v>
      </c>
      <c r="F34" s="824" t="s">
        <v>591</v>
      </c>
      <c r="G34" s="825"/>
      <c r="H34" s="817"/>
      <c r="I34" s="817"/>
    </row>
    <row r="35" spans="1:9" s="826" customFormat="1" ht="19.5" customHeight="1">
      <c r="A35" s="3408" t="s">
        <v>186</v>
      </c>
      <c r="B35" s="821" t="s">
        <v>560</v>
      </c>
      <c r="C35" s="822" t="s">
        <v>592</v>
      </c>
      <c r="D35" s="823"/>
      <c r="E35" s="821">
        <v>1</v>
      </c>
      <c r="F35" s="824" t="s">
        <v>593</v>
      </c>
      <c r="G35" s="825"/>
      <c r="H35" s="817"/>
      <c r="I35" s="817"/>
    </row>
    <row r="36" spans="1:9" s="826" customFormat="1" ht="19.5" customHeight="1">
      <c r="A36" s="3408"/>
      <c r="B36" s="3408" t="s">
        <v>563</v>
      </c>
      <c r="C36" s="822" t="s">
        <v>594</v>
      </c>
      <c r="D36" s="823"/>
      <c r="E36" s="821">
        <v>1</v>
      </c>
      <c r="F36" s="824" t="s">
        <v>595</v>
      </c>
      <c r="G36" s="825"/>
      <c r="H36" s="817"/>
      <c r="I36" s="817"/>
    </row>
    <row r="37" spans="1:9" s="826" customFormat="1" ht="19.5" customHeight="1">
      <c r="A37" s="3408"/>
      <c r="B37" s="3408"/>
      <c r="C37" s="822" t="s">
        <v>596</v>
      </c>
      <c r="D37" s="823"/>
      <c r="E37" s="821">
        <v>1.5</v>
      </c>
      <c r="F37" s="824" t="s">
        <v>597</v>
      </c>
      <c r="G37" s="825"/>
      <c r="H37" s="817"/>
      <c r="I37" s="817"/>
    </row>
    <row r="38" spans="1:9" s="826" customFormat="1" ht="19.5" customHeight="1">
      <c r="A38" s="3408"/>
      <c r="B38" s="3408"/>
      <c r="C38" s="822" t="s">
        <v>598</v>
      </c>
      <c r="D38" s="823"/>
      <c r="E38" s="821">
        <v>1</v>
      </c>
      <c r="F38" s="824" t="s">
        <v>599</v>
      </c>
      <c r="G38" s="825"/>
      <c r="H38" s="817"/>
      <c r="I38" s="817"/>
    </row>
    <row r="39" spans="1:9" s="826" customFormat="1" ht="19.5" customHeight="1">
      <c r="A39" s="3408"/>
      <c r="B39" s="340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8" t="s">
        <v>614</v>
      </c>
      <c r="C61" s="757" t="s">
        <v>615</v>
      </c>
      <c r="D61" s="757" t="s">
        <v>616</v>
      </c>
      <c r="E61" s="834">
        <v>0.5</v>
      </c>
      <c r="F61" s="821">
        <v>80</v>
      </c>
    </row>
    <row r="62" spans="1:8" s="817" customFormat="1" ht="24">
      <c r="A62" s="821">
        <v>2</v>
      </c>
      <c r="B62" s="3408"/>
      <c r="C62" s="757" t="s">
        <v>617</v>
      </c>
      <c r="D62" s="757" t="s">
        <v>618</v>
      </c>
      <c r="E62" s="834">
        <v>0.5</v>
      </c>
      <c r="F62" s="821">
        <v>80</v>
      </c>
    </row>
    <row r="63" spans="1:8" s="817" customFormat="1" ht="36">
      <c r="A63" s="821">
        <v>3</v>
      </c>
      <c r="B63" s="3408"/>
      <c r="C63" s="757" t="s">
        <v>619</v>
      </c>
      <c r="D63" s="757" t="s">
        <v>620</v>
      </c>
      <c r="E63" s="834">
        <v>0.5</v>
      </c>
      <c r="F63" s="821">
        <v>80</v>
      </c>
    </row>
    <row r="64" spans="1:8" s="817" customFormat="1" ht="36">
      <c r="A64" s="821">
        <v>4</v>
      </c>
      <c r="B64" s="3408"/>
      <c r="C64" s="757" t="s">
        <v>621</v>
      </c>
      <c r="D64" s="757" t="s">
        <v>622</v>
      </c>
      <c r="E64" s="834">
        <v>0.4</v>
      </c>
      <c r="F64" s="821">
        <v>60</v>
      </c>
    </row>
    <row r="65" spans="1:6" s="817" customFormat="1" ht="36">
      <c r="A65" s="821">
        <v>5</v>
      </c>
      <c r="B65" s="3408"/>
      <c r="C65" s="757" t="s">
        <v>623</v>
      </c>
      <c r="D65" s="757" t="s">
        <v>624</v>
      </c>
      <c r="E65" s="834">
        <v>0.2</v>
      </c>
      <c r="F65" s="821">
        <v>30</v>
      </c>
    </row>
    <row r="66" spans="1:6" s="817" customFormat="1" ht="36">
      <c r="A66" s="821">
        <v>6</v>
      </c>
      <c r="B66" s="3408"/>
      <c r="C66" s="757" t="s">
        <v>625</v>
      </c>
      <c r="D66" s="757" t="s">
        <v>626</v>
      </c>
      <c r="E66" s="834">
        <v>0.3</v>
      </c>
      <c r="F66" s="821">
        <v>50</v>
      </c>
    </row>
    <row r="67" spans="1:6" s="817" customFormat="1" ht="36">
      <c r="A67" s="821">
        <v>7</v>
      </c>
      <c r="B67" s="3408"/>
      <c r="C67" s="757" t="s">
        <v>627</v>
      </c>
      <c r="D67" s="757" t="s">
        <v>628</v>
      </c>
      <c r="E67" s="834">
        <v>0.2</v>
      </c>
      <c r="F67" s="821">
        <v>30</v>
      </c>
    </row>
    <row r="68" spans="1:6" s="817" customFormat="1" ht="36">
      <c r="A68" s="821">
        <v>8</v>
      </c>
      <c r="B68" s="3408"/>
      <c r="C68" s="757" t="s">
        <v>629</v>
      </c>
      <c r="D68" s="757" t="s">
        <v>630</v>
      </c>
      <c r="E68" s="834">
        <v>0.2</v>
      </c>
      <c r="F68" s="821">
        <v>30</v>
      </c>
    </row>
    <row r="69" spans="1:6" s="817" customFormat="1" ht="36">
      <c r="A69" s="821">
        <v>9</v>
      </c>
      <c r="B69" s="3408"/>
      <c r="C69" s="757" t="s">
        <v>631</v>
      </c>
      <c r="D69" s="757" t="s">
        <v>632</v>
      </c>
      <c r="E69" s="834">
        <v>0.2</v>
      </c>
      <c r="F69" s="821">
        <v>30</v>
      </c>
    </row>
    <row r="70" spans="1:6" s="817" customFormat="1" ht="48">
      <c r="A70" s="821">
        <v>10</v>
      </c>
      <c r="B70" s="3408"/>
      <c r="C70" s="757" t="s">
        <v>633</v>
      </c>
      <c r="D70" s="757" t="s">
        <v>634</v>
      </c>
      <c r="E70" s="834">
        <v>0.2</v>
      </c>
      <c r="F70" s="821">
        <v>30</v>
      </c>
    </row>
    <row r="71" spans="1:6" s="817" customFormat="1" ht="48">
      <c r="A71" s="821">
        <v>11</v>
      </c>
      <c r="B71" s="3408"/>
      <c r="C71" s="757" t="s">
        <v>635</v>
      </c>
      <c r="D71" s="757" t="s">
        <v>636</v>
      </c>
      <c r="E71" s="834">
        <v>0.2</v>
      </c>
      <c r="F71" s="821">
        <v>30</v>
      </c>
    </row>
    <row r="72" spans="1:6" s="817" customFormat="1" ht="36">
      <c r="A72" s="821">
        <v>12</v>
      </c>
      <c r="B72" s="3408"/>
      <c r="C72" s="757" t="s">
        <v>637</v>
      </c>
      <c r="D72" s="757" t="s">
        <v>638</v>
      </c>
      <c r="E72" s="834">
        <v>0.5</v>
      </c>
      <c r="F72" s="821">
        <v>80</v>
      </c>
    </row>
    <row r="73" spans="1:6" s="817" customFormat="1" ht="24">
      <c r="A73" s="821">
        <v>13</v>
      </c>
      <c r="B73" s="3408"/>
      <c r="C73" s="757" t="s">
        <v>639</v>
      </c>
      <c r="D73" s="757" t="s">
        <v>640</v>
      </c>
      <c r="E73" s="834">
        <v>0.4</v>
      </c>
      <c r="F73" s="821">
        <v>60</v>
      </c>
    </row>
    <row r="74" spans="1:6" s="817" customFormat="1" ht="24">
      <c r="A74" s="821">
        <v>14</v>
      </c>
      <c r="B74" s="3408"/>
      <c r="C74" s="757" t="s">
        <v>641</v>
      </c>
      <c r="D74" s="757" t="s">
        <v>642</v>
      </c>
      <c r="E74" s="834">
        <v>0.2</v>
      </c>
      <c r="F74" s="821">
        <v>30</v>
      </c>
    </row>
    <row r="75" spans="1:6" s="817" customFormat="1" ht="24">
      <c r="A75" s="821">
        <v>15</v>
      </c>
      <c r="B75" s="3408"/>
      <c r="C75" s="757" t="s">
        <v>643</v>
      </c>
      <c r="D75" s="757" t="s">
        <v>644</v>
      </c>
      <c r="E75" s="834">
        <v>0.2</v>
      </c>
      <c r="F75" s="821">
        <v>30</v>
      </c>
    </row>
    <row r="76" spans="1:6" s="817" customFormat="1" ht="24">
      <c r="A76" s="821">
        <v>16</v>
      </c>
      <c r="B76" s="3408" t="s">
        <v>645</v>
      </c>
      <c r="C76" s="757" t="s">
        <v>646</v>
      </c>
      <c r="D76" s="757" t="s">
        <v>647</v>
      </c>
      <c r="E76" s="834">
        <v>0.5</v>
      </c>
      <c r="F76" s="821">
        <v>80</v>
      </c>
    </row>
    <row r="77" spans="1:6" s="817" customFormat="1" ht="24">
      <c r="A77" s="821">
        <v>17</v>
      </c>
      <c r="B77" s="3408"/>
      <c r="C77" s="757" t="s">
        <v>648</v>
      </c>
      <c r="D77" s="757" t="s">
        <v>649</v>
      </c>
      <c r="E77" s="834">
        <v>0.5</v>
      </c>
      <c r="F77" s="821">
        <v>80</v>
      </c>
    </row>
    <row r="78" spans="1:6" s="817" customFormat="1" ht="24">
      <c r="A78" s="821">
        <v>18</v>
      </c>
      <c r="B78" s="3408"/>
      <c r="C78" s="757" t="s">
        <v>650</v>
      </c>
      <c r="D78" s="757" t="s">
        <v>651</v>
      </c>
      <c r="E78" s="834">
        <v>0.2</v>
      </c>
      <c r="F78" s="821">
        <v>30</v>
      </c>
    </row>
    <row r="79" spans="1:6" s="817" customFormat="1" ht="24">
      <c r="A79" s="821">
        <v>19</v>
      </c>
      <c r="B79" s="3408"/>
      <c r="C79" s="757" t="s">
        <v>652</v>
      </c>
      <c r="D79" s="757" t="s">
        <v>653</v>
      </c>
      <c r="E79" s="834">
        <v>0.5</v>
      </c>
      <c r="F79" s="821">
        <v>80</v>
      </c>
    </row>
    <row r="80" spans="1:6" s="817" customFormat="1" ht="36">
      <c r="A80" s="821">
        <v>20</v>
      </c>
      <c r="B80" s="3408"/>
      <c r="C80" s="757" t="s">
        <v>654</v>
      </c>
      <c r="D80" s="757" t="s">
        <v>655</v>
      </c>
      <c r="E80" s="834">
        <v>0.2</v>
      </c>
      <c r="F80" s="821">
        <v>30</v>
      </c>
    </row>
    <row r="81" spans="1:6" s="817" customFormat="1" ht="36">
      <c r="A81" s="821">
        <v>21</v>
      </c>
      <c r="B81" s="3408"/>
      <c r="C81" s="757" t="s">
        <v>656</v>
      </c>
      <c r="D81" s="757" t="s">
        <v>657</v>
      </c>
      <c r="E81" s="834">
        <v>0.2</v>
      </c>
      <c r="F81" s="821">
        <v>30</v>
      </c>
    </row>
    <row r="82" spans="1:6" s="817" customFormat="1" ht="48">
      <c r="A82" s="821">
        <v>22</v>
      </c>
      <c r="B82" s="3408"/>
      <c r="C82" s="757" t="s">
        <v>658</v>
      </c>
      <c r="D82" s="757" t="s">
        <v>659</v>
      </c>
      <c r="E82" s="834">
        <v>0.2</v>
      </c>
      <c r="F82" s="821">
        <v>30</v>
      </c>
    </row>
    <row r="83" spans="1:6" s="817" customFormat="1" ht="48">
      <c r="A83" s="821">
        <v>23</v>
      </c>
      <c r="B83" s="3408"/>
      <c r="C83" s="757" t="s">
        <v>660</v>
      </c>
      <c r="D83" s="757" t="s">
        <v>661</v>
      </c>
      <c r="E83" s="834">
        <v>0.2</v>
      </c>
      <c r="F83" s="821">
        <v>30</v>
      </c>
    </row>
    <row r="84" spans="1:6" s="817" customFormat="1" ht="36">
      <c r="A84" s="821">
        <v>24</v>
      </c>
      <c r="B84" s="3408"/>
      <c r="C84" s="757" t="s">
        <v>662</v>
      </c>
      <c r="D84" s="757" t="s">
        <v>663</v>
      </c>
      <c r="E84" s="834">
        <v>0.2</v>
      </c>
      <c r="F84" s="821">
        <v>30</v>
      </c>
    </row>
    <row r="85" spans="1:6" s="817" customFormat="1" ht="36">
      <c r="A85" s="821">
        <v>25</v>
      </c>
      <c r="B85" s="3408"/>
      <c r="C85" s="757" t="s">
        <v>664</v>
      </c>
      <c r="D85" s="757" t="s">
        <v>665</v>
      </c>
      <c r="E85" s="834">
        <v>0.5</v>
      </c>
      <c r="F85" s="821">
        <v>80</v>
      </c>
    </row>
    <row r="86" spans="1:6" s="817" customFormat="1" ht="36">
      <c r="A86" s="821">
        <v>26</v>
      </c>
      <c r="B86" s="3408"/>
      <c r="C86" s="757" t="s">
        <v>666</v>
      </c>
      <c r="D86" s="757" t="s">
        <v>667</v>
      </c>
      <c r="E86" s="834">
        <v>0.2</v>
      </c>
      <c r="F86" s="821">
        <v>30</v>
      </c>
    </row>
    <row r="87" spans="1:6" s="817" customFormat="1" ht="36">
      <c r="A87" s="821">
        <v>27</v>
      </c>
      <c r="B87" s="3408"/>
      <c r="C87" s="757" t="s">
        <v>668</v>
      </c>
      <c r="D87" s="757" t="s">
        <v>669</v>
      </c>
      <c r="E87" s="834">
        <v>0.2</v>
      </c>
      <c r="F87" s="821">
        <v>30</v>
      </c>
    </row>
    <row r="88" spans="1:6" s="817" customFormat="1" ht="36">
      <c r="A88" s="821">
        <v>28</v>
      </c>
      <c r="B88" s="3408"/>
      <c r="C88" s="757" t="s">
        <v>670</v>
      </c>
      <c r="D88" s="757" t="s">
        <v>671</v>
      </c>
      <c r="E88" s="834">
        <v>0.2</v>
      </c>
      <c r="F88" s="821">
        <v>30</v>
      </c>
    </row>
    <row r="89" spans="1:6" s="817" customFormat="1" ht="24">
      <c r="A89" s="821">
        <v>29</v>
      </c>
      <c r="B89" s="3408"/>
      <c r="C89" s="757" t="s">
        <v>672</v>
      </c>
      <c r="D89" s="757" t="s">
        <v>673</v>
      </c>
      <c r="E89" s="834">
        <v>0.2</v>
      </c>
      <c r="F89" s="821">
        <v>30</v>
      </c>
    </row>
    <row r="90" spans="1:6" s="817" customFormat="1" ht="24">
      <c r="A90" s="821">
        <v>30</v>
      </c>
      <c r="B90" s="3408"/>
      <c r="C90" s="757" t="s">
        <v>674</v>
      </c>
      <c r="D90" s="757" t="s">
        <v>675</v>
      </c>
      <c r="E90" s="834">
        <v>0.2</v>
      </c>
      <c r="F90" s="821">
        <v>30</v>
      </c>
    </row>
    <row r="91" spans="1:6" s="817" customFormat="1" ht="36">
      <c r="A91" s="821">
        <v>31</v>
      </c>
      <c r="B91" s="3408"/>
      <c r="C91" s="757" t="s">
        <v>676</v>
      </c>
      <c r="D91" s="757" t="s">
        <v>677</v>
      </c>
      <c r="E91" s="834">
        <v>0.2</v>
      </c>
      <c r="F91" s="821">
        <v>30</v>
      </c>
    </row>
    <row r="92" spans="1:6" s="817" customFormat="1" ht="24">
      <c r="A92" s="821">
        <v>32</v>
      </c>
      <c r="B92" s="3408" t="s">
        <v>678</v>
      </c>
      <c r="C92" s="821" t="s">
        <v>679</v>
      </c>
      <c r="D92" s="757" t="s">
        <v>680</v>
      </c>
      <c r="E92" s="834">
        <v>0.2</v>
      </c>
      <c r="F92" s="821">
        <v>30</v>
      </c>
    </row>
    <row r="93" spans="1:6" s="817" customFormat="1" ht="36">
      <c r="A93" s="821">
        <v>33</v>
      </c>
      <c r="B93" s="3408"/>
      <c r="C93" s="821" t="s">
        <v>681</v>
      </c>
      <c r="D93" s="757" t="s">
        <v>682</v>
      </c>
      <c r="E93" s="834">
        <v>0.2</v>
      </c>
      <c r="F93" s="821">
        <v>30</v>
      </c>
    </row>
    <row r="94" spans="1:6" s="817" customFormat="1" ht="48">
      <c r="A94" s="821">
        <v>34</v>
      </c>
      <c r="B94" s="3408"/>
      <c r="C94" s="821" t="s">
        <v>683</v>
      </c>
      <c r="D94" s="757" t="s">
        <v>684</v>
      </c>
      <c r="E94" s="834">
        <v>0.2</v>
      </c>
      <c r="F94" s="821">
        <v>30</v>
      </c>
    </row>
    <row r="95" spans="1:6" s="817" customFormat="1" ht="36">
      <c r="A95" s="821">
        <v>35</v>
      </c>
      <c r="B95" s="3408"/>
      <c r="C95" s="821" t="s">
        <v>685</v>
      </c>
      <c r="D95" s="757" t="s">
        <v>686</v>
      </c>
      <c r="E95" s="834">
        <v>0.2</v>
      </c>
      <c r="F95" s="821">
        <v>30</v>
      </c>
    </row>
    <row r="96" spans="1:6" s="817" customFormat="1" ht="48">
      <c r="A96" s="821">
        <v>36</v>
      </c>
      <c r="B96" s="3408"/>
      <c r="C96" s="757" t="s">
        <v>687</v>
      </c>
      <c r="D96" s="757" t="s">
        <v>688</v>
      </c>
      <c r="E96" s="834">
        <v>0.2</v>
      </c>
      <c r="F96" s="821">
        <v>30</v>
      </c>
    </row>
    <row r="97" spans="1:6" s="817" customFormat="1" ht="36">
      <c r="A97" s="821">
        <v>37</v>
      </c>
      <c r="B97" s="3408"/>
      <c r="C97" s="821" t="s">
        <v>689</v>
      </c>
      <c r="D97" s="757" t="s">
        <v>690</v>
      </c>
      <c r="E97" s="834">
        <v>0.2</v>
      </c>
      <c r="F97" s="821">
        <v>30</v>
      </c>
    </row>
    <row r="98" spans="1:6" s="817" customFormat="1" ht="36">
      <c r="A98" s="821">
        <v>38</v>
      </c>
      <c r="B98" s="3408"/>
      <c r="C98" s="821" t="s">
        <v>691</v>
      </c>
      <c r="D98" s="757" t="s">
        <v>692</v>
      </c>
      <c r="E98" s="834">
        <v>0.2</v>
      </c>
      <c r="F98" s="821">
        <v>30</v>
      </c>
    </row>
    <row r="99" spans="1:6" s="817" customFormat="1" ht="36">
      <c r="A99" s="821">
        <v>39</v>
      </c>
      <c r="B99" s="3408" t="s">
        <v>693</v>
      </c>
      <c r="C99" s="821" t="s">
        <v>694</v>
      </c>
      <c r="D99" s="757" t="s">
        <v>695</v>
      </c>
      <c r="E99" s="834">
        <v>0.3</v>
      </c>
      <c r="F99" s="821">
        <v>50</v>
      </c>
    </row>
    <row r="100" spans="1:6" s="817" customFormat="1" ht="24">
      <c r="A100" s="821">
        <v>40</v>
      </c>
      <c r="B100" s="3408"/>
      <c r="C100" s="821" t="s">
        <v>696</v>
      </c>
      <c r="D100" s="757" t="s">
        <v>697</v>
      </c>
      <c r="E100" s="834">
        <v>0.2</v>
      </c>
      <c r="F100" s="821">
        <v>30</v>
      </c>
    </row>
    <row r="101" spans="1:6" s="817" customFormat="1" ht="36">
      <c r="A101" s="821">
        <v>41</v>
      </c>
      <c r="B101" s="340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8" t="s">
        <v>708</v>
      </c>
      <c r="C105" s="821" t="s">
        <v>709</v>
      </c>
      <c r="D105" s="757" t="s">
        <v>710</v>
      </c>
      <c r="E105" s="834">
        <v>0.2</v>
      </c>
      <c r="F105" s="821">
        <v>30</v>
      </c>
    </row>
    <row r="106" spans="1:6" s="817" customFormat="1" ht="36">
      <c r="A106" s="821">
        <v>46</v>
      </c>
      <c r="B106" s="3408"/>
      <c r="C106" s="821" t="s">
        <v>711</v>
      </c>
      <c r="D106" s="757" t="s">
        <v>712</v>
      </c>
      <c r="E106" s="834">
        <v>0.2</v>
      </c>
      <c r="F106" s="821">
        <v>30</v>
      </c>
    </row>
    <row r="107" spans="1:6" s="817" customFormat="1" ht="36">
      <c r="A107" s="821">
        <v>47</v>
      </c>
      <c r="B107" s="3408" t="s">
        <v>713</v>
      </c>
      <c r="C107" s="821" t="s">
        <v>714</v>
      </c>
      <c r="D107" s="757" t="s">
        <v>715</v>
      </c>
      <c r="E107" s="834">
        <v>0.3</v>
      </c>
      <c r="F107" s="821">
        <v>50</v>
      </c>
    </row>
    <row r="108" spans="1:6" s="817" customFormat="1" ht="36">
      <c r="A108" s="821">
        <v>48</v>
      </c>
      <c r="B108" s="340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8" t="s">
        <v>724</v>
      </c>
      <c r="C111" s="821" t="s">
        <v>725</v>
      </c>
      <c r="D111" s="757" t="s">
        <v>726</v>
      </c>
      <c r="E111" s="834">
        <v>0.2</v>
      </c>
      <c r="F111" s="821">
        <v>30</v>
      </c>
    </row>
    <row r="112" spans="1:6" s="817" customFormat="1" ht="24">
      <c r="A112" s="821">
        <v>52</v>
      </c>
      <c r="B112" s="3408"/>
      <c r="C112" s="821" t="s">
        <v>727</v>
      </c>
      <c r="D112" s="757" t="s">
        <v>728</v>
      </c>
      <c r="E112" s="834">
        <v>0.2</v>
      </c>
      <c r="F112" s="821">
        <v>30</v>
      </c>
    </row>
    <row r="113" spans="1:6" s="817" customFormat="1" ht="24">
      <c r="A113" s="821">
        <v>53</v>
      </c>
      <c r="B113" s="340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8" t="s">
        <v>737</v>
      </c>
      <c r="C116" s="821" t="s">
        <v>738</v>
      </c>
      <c r="D116" s="757" t="s">
        <v>739</v>
      </c>
      <c r="E116" s="834">
        <v>0.2</v>
      </c>
      <c r="F116" s="821">
        <v>30</v>
      </c>
    </row>
    <row r="117" spans="1:6" ht="36">
      <c r="A117" s="821">
        <v>57</v>
      </c>
      <c r="B117" s="340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0.82030000000000003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81493</v>
      </c>
      <c r="C2" s="2362" t="s">
        <v>2814</v>
      </c>
      <c r="D2" s="2362" t="s">
        <v>2815</v>
      </c>
      <c r="E2" s="2839">
        <f ca="1">SUMIF(E6:E13,"&lt;&gt;#ref!",E6:E13)</f>
        <v>62645.83</v>
      </c>
      <c r="F2" s="3025"/>
      <c r="G2" s="3025"/>
      <c r="H2" s="3025"/>
      <c r="I2" s="3025"/>
      <c r="J2" s="3025"/>
      <c r="K2" s="3025"/>
      <c r="L2" s="3025"/>
      <c r="M2" s="3025"/>
      <c r="N2" s="3025"/>
      <c r="O2" s="3025"/>
      <c r="P2" s="3025"/>
    </row>
    <row r="3" spans="1:16" ht="15.75">
      <c r="A3" s="2362" t="s">
        <v>2816</v>
      </c>
      <c r="B3" s="2829">
        <f ca="1">ROUND(B2*10000/E2,0)</f>
        <v>13009</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81493</v>
      </c>
      <c r="C6" s="2362" t="s">
        <v>2814</v>
      </c>
      <c r="D6" s="3025"/>
      <c r="E6" s="2839">
        <f ca="1">SUMIF(INDIRECT("'"&amp;A6&amp;"'"&amp;"!C:C"),"建筑面积",INDIRECT("'"&amp;A6&amp;"'"&amp;"!D:D"))</f>
        <v>62645.83</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3057</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2">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2"/>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2"/>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9"/>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15">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2"/>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2"/>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9"/>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15">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2"/>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2"/>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3"/>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1">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2"/>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2"/>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3"/>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1">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2"/>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2"/>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3"/>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6">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7"/>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7"/>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8"/>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1">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2"/>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2"/>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3"/>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1">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2">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2">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3">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1">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2">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2">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3">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1">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2">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2">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3">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1">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2">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2">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3">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1">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2">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2">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3">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1">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2">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2">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3">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1">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2">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2">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3">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1">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2">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2">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3">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1">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2">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2">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3">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1">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2">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2">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3">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79"/>
      <c r="B4" s="3095" t="s">
        <v>1595</v>
      </c>
      <c r="C4" s="3095"/>
      <c r="D4" s="3095"/>
      <c r="E4" s="1679"/>
    </row>
    <row r="5" spans="1:5" ht="16.5" thickTop="1">
      <c r="A5" s="1677"/>
      <c r="B5" s="3093" t="s">
        <v>1587</v>
      </c>
      <c r="C5" s="1680" t="s">
        <v>1588</v>
      </c>
      <c r="D5" s="959">
        <f ca="1">结果表!H101</f>
        <v>93883</v>
      </c>
      <c r="E5" s="1677"/>
    </row>
    <row r="6" spans="1:5" ht="15.75">
      <c r="A6" s="1677"/>
      <c r="B6" s="3093"/>
      <c r="C6" s="1680" t="s">
        <v>1589</v>
      </c>
      <c r="D6" s="959" t="str">
        <f ca="1">NUMBERSTRING(INT(D5*10000),2)&amp;"元整"</f>
        <v>玖亿叁仟捌佰捌拾叁万元整</v>
      </c>
      <c r="E6" s="1677"/>
    </row>
    <row r="7" spans="1:5" ht="15.75">
      <c r="A7" s="1677"/>
      <c r="B7" s="3098"/>
      <c r="C7" s="1681" t="s">
        <v>1590</v>
      </c>
      <c r="D7" s="960">
        <f ca="1">结果表!H102</f>
        <v>47343</v>
      </c>
      <c r="E7" s="1677"/>
    </row>
    <row r="8" spans="1:5" ht="15.75">
      <c r="A8" s="1677"/>
      <c r="B8" s="3099" t="str">
        <f>结果表!E103</f>
        <v>2.估价师知悉的法定优先受偿款</v>
      </c>
      <c r="C8" s="1682" t="s">
        <v>1591</v>
      </c>
      <c r="D8" s="960">
        <f>结果表!H103</f>
        <v>0</v>
      </c>
      <c r="E8" s="1677"/>
    </row>
    <row r="9" spans="1:5" ht="15.75">
      <c r="A9" s="1677"/>
      <c r="B9" s="3101"/>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92" t="str">
        <f>结果表!E107</f>
        <v>3.房地产抵押价值</v>
      </c>
      <c r="C13" s="1685" t="s">
        <v>1588</v>
      </c>
      <c r="D13" s="962">
        <f ca="1">结果表!H107</f>
        <v>93883</v>
      </c>
      <c r="E13" s="1677"/>
    </row>
    <row r="14" spans="1:5" ht="15.75">
      <c r="A14" s="1677"/>
      <c r="B14" s="3093"/>
      <c r="C14" s="1680" t="s">
        <v>1589</v>
      </c>
      <c r="D14" s="959" t="str">
        <f ca="1">NUMBERSTRING(INT(D13*10000),2)&amp;"元整"</f>
        <v>玖亿叁仟捌佰捌拾叁万元整</v>
      </c>
      <c r="E14" s="1677"/>
    </row>
    <row r="15" spans="1:5" ht="15">
      <c r="A15" s="1677"/>
      <c r="B15" s="3098"/>
      <c r="C15" s="1681" t="s">
        <v>1599</v>
      </c>
      <c r="D15" s="968">
        <f ca="1">结果表!H108</f>
        <v>9461</v>
      </c>
      <c r="E15" s="1677"/>
    </row>
    <row r="16" spans="1:5" ht="15">
      <c r="A16" s="1677"/>
      <c r="B16" s="3099" t="str">
        <f>结果表!E109</f>
        <v>——</v>
      </c>
      <c r="C16" s="1685" t="s">
        <v>1600</v>
      </c>
      <c r="D16" s="1686" t="str">
        <f>结果表!H109</f>
        <v>——</v>
      </c>
      <c r="E16" s="1677"/>
    </row>
    <row r="17" spans="1:5" ht="15.75">
      <c r="A17" s="1677"/>
      <c r="B17" s="3100"/>
      <c r="C17" s="1680" t="s">
        <v>1601</v>
      </c>
      <c r="D17" s="959" t="e">
        <f>NUMBERSTRING(INT(D16*10000),2)&amp;"元整"</f>
        <v>#VALUE!</v>
      </c>
      <c r="E17" s="1677"/>
    </row>
    <row r="18" spans="1:5" ht="15">
      <c r="A18" s="1677"/>
      <c r="B18" s="3101"/>
      <c r="C18" s="1681" t="s">
        <v>1590</v>
      </c>
      <c r="D18" s="968" t="str">
        <f>结果表!H110</f>
        <v>——</v>
      </c>
      <c r="E18" s="1677"/>
    </row>
    <row r="19" spans="1:5" ht="15.75">
      <c r="A19" s="1677"/>
      <c r="B19" s="3092" t="str">
        <f>结果表!E111</f>
        <v>——</v>
      </c>
      <c r="C19" s="1685" t="s">
        <v>1588</v>
      </c>
      <c r="D19" s="960" t="str">
        <f>结果表!H111</f>
        <v>——</v>
      </c>
      <c r="E19" s="1677"/>
    </row>
    <row r="20" spans="1:5" ht="15.75">
      <c r="A20" s="1677"/>
      <c r="B20" s="3093"/>
      <c r="C20" s="1680" t="s">
        <v>1601</v>
      </c>
      <c r="D20" s="959" t="e">
        <f>NUMBERSTRING(INT(D19*10000),2)&amp;"元整"</f>
        <v>#VALUE!</v>
      </c>
      <c r="E20" s="1677"/>
    </row>
    <row r="21" spans="1:5" ht="15.75" thickBot="1">
      <c r="A21" s="1677"/>
      <c r="B21" s="3094"/>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3" t="s">
        <v>2824</v>
      </c>
      <c r="D1" s="3424"/>
      <c r="E1" s="3424"/>
      <c r="F1" s="3424"/>
      <c r="G1" s="3424"/>
      <c r="H1" s="3424"/>
      <c r="I1" s="3424"/>
      <c r="J1" s="3424"/>
      <c r="K1" s="3424"/>
      <c r="L1" s="3424"/>
      <c r="M1" s="3424"/>
      <c r="N1" s="3424"/>
      <c r="O1" s="3424"/>
      <c r="P1" s="3424"/>
      <c r="Q1" s="3424"/>
      <c r="R1" s="3424"/>
      <c r="S1" s="3425"/>
      <c r="T1" s="1114" t="s">
        <v>2825</v>
      </c>
    </row>
    <row r="2" spans="1:45" s="663" customFormat="1" ht="38.25">
      <c r="A2" s="1115"/>
      <c r="B2" s="659" t="s">
        <v>2826</v>
      </c>
      <c r="C2" s="660" t="str">
        <f t="shared" ref="C2:L2" si="0">C3&amp;"(含)"&amp;"-"&amp;D3</f>
        <v>0(含)-150000</v>
      </c>
      <c r="D2" s="661" t="str">
        <f t="shared" si="0"/>
        <v>150000(含)-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150000</v>
      </c>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102</v>
      </c>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v>1</v>
      </c>
      <c r="D17" s="1142">
        <v>2</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f>IF(D20="——",S22,S22-F20)</f>
        <v>82258</v>
      </c>
      <c r="C20" s="164"/>
      <c r="D20" s="2368" t="s">
        <v>70</v>
      </c>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f>ROUND(B20*10000/B22,0)</f>
        <v>41481</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19830.27</v>
      </c>
      <c r="C22" s="3420" t="s">
        <v>33</v>
      </c>
      <c r="D22" s="3421"/>
      <c r="E22" s="3421"/>
      <c r="F22" s="3421"/>
      <c r="G22" s="3421"/>
      <c r="H22" s="3421"/>
      <c r="I22" s="3421"/>
      <c r="J22" s="3421"/>
      <c r="K22" s="3421"/>
      <c r="L22" s="3421"/>
      <c r="M22" s="3421"/>
      <c r="N22" s="3421"/>
      <c r="O22" s="3421"/>
      <c r="P22" s="3421"/>
      <c r="Q22" s="3422"/>
      <c r="R22" s="672">
        <f>ROUND(S22*10000/B22,0)</f>
        <v>41481</v>
      </c>
      <c r="S22" s="24">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f>Sheet1!D8</f>
        <v>8567.73</v>
      </c>
      <c r="C24" s="3042">
        <v>1</v>
      </c>
      <c r="D24" s="3043"/>
      <c r="E24" s="3042">
        <v>1</v>
      </c>
      <c r="F24" s="3043"/>
      <c r="G24" s="3042">
        <v>1</v>
      </c>
      <c r="H24" s="3043"/>
      <c r="I24" s="3042">
        <v>1</v>
      </c>
      <c r="J24" s="3043"/>
      <c r="K24" s="3042">
        <v>1</v>
      </c>
      <c r="L24" s="3043"/>
      <c r="M24" s="3042">
        <v>1</v>
      </c>
      <c r="N24" s="3043"/>
      <c r="O24" s="3042">
        <v>1</v>
      </c>
      <c r="P24" s="3043">
        <v>1</v>
      </c>
      <c r="Q24" s="3042">
        <v>1</v>
      </c>
      <c r="R24" s="677">
        <f>'比较法-商业'!C49</f>
        <v>50000</v>
      </c>
      <c r="S24" s="675">
        <f t="shared" ref="S24:S54" si="11">ROUND(R24*B24/10000,0)</f>
        <v>42839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Sheet1!D9</f>
        <v>11262.54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IF(B25="",0,ROUND($R$24*C25*E25*G25*I25*K25*M25*O25*Q25,0))</f>
        <v>35000</v>
      </c>
      <c r="S25" s="322">
        <f t="shared" si="11"/>
        <v>39419</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0</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93957</v>
      </c>
      <c r="C2" s="2" t="s">
        <v>133</v>
      </c>
      <c r="D2" s="205"/>
      <c r="E2" s="205"/>
      <c r="F2" s="205"/>
      <c r="G2" s="205"/>
    </row>
    <row r="3" spans="1:7" s="206" customFormat="1" ht="18" customHeight="1" thickBot="1">
      <c r="A3" s="209" t="s">
        <v>85</v>
      </c>
      <c r="B3" s="210">
        <f ca="1">ROUND(B2*10000/'数据-汇总表'!E3,0)</f>
        <v>9468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1985</v>
      </c>
      <c r="D10" s="954">
        <f>'数据-汇总表'!E6</f>
        <v>99232.329999999987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1985</v>
      </c>
      <c r="D19" s="958">
        <f>'数据-汇总表'!E3</f>
        <v>99232.329999999987</v>
      </c>
      <c r="E19" s="217">
        <f>'数据-取费表'!B31</f>
        <v>200</v>
      </c>
      <c r="F19" s="237"/>
      <c r="G19" s="1" t="s">
        <v>1042</v>
      </c>
    </row>
    <row r="20" spans="1:7" s="220" customFormat="1" ht="13.5" customHeight="1">
      <c r="A20" s="885" t="s">
        <v>1025</v>
      </c>
      <c r="B20" s="216" t="s">
        <v>104</v>
      </c>
      <c r="C20" s="238">
        <f>ROUND((C5+C19)*F20,0)</f>
        <v>452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1791</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156</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3918</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3918</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31173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48438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44452</v>
      </c>
      <c r="D34" s="223"/>
      <c r="E34" s="226"/>
      <c r="F34" s="263">
        <f>IF('数据-取费表'!B24=0,1,'数据-取费表'!N16)</f>
        <v>1</v>
      </c>
      <c r="G34" s="225" t="s">
        <v>116</v>
      </c>
    </row>
    <row r="35" spans="1:7" ht="13.5" customHeight="1">
      <c r="A35" s="888" t="s">
        <v>796</v>
      </c>
      <c r="B35" s="221" t="s">
        <v>60</v>
      </c>
      <c r="C35" s="226">
        <f>ROUND(C34*F35,0)</f>
        <v>1334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1985</v>
      </c>
      <c r="D37" s="223">
        <f>'数据-汇总表'!E3</f>
        <v>99232.329999999987</v>
      </c>
      <c r="E37" s="255">
        <f>'数据-取费表'!B35</f>
        <v>200</v>
      </c>
      <c r="F37" s="265"/>
      <c r="G37" s="267" t="s">
        <v>119</v>
      </c>
    </row>
    <row r="38" spans="1:7" ht="13.5" customHeight="1">
      <c r="A38" s="888" t="s">
        <v>799</v>
      </c>
      <c r="B38" s="221" t="s">
        <v>63</v>
      </c>
      <c r="C38" s="226">
        <f>ROUND(C34*F38,0)</f>
        <v>667</v>
      </c>
      <c r="D38" s="226"/>
      <c r="E38" s="226"/>
      <c r="F38" s="265">
        <f>'数据-取费表'!B36</f>
        <v>1.4999999999999999E-2</v>
      </c>
      <c r="G38" s="225" t="s">
        <v>117</v>
      </c>
    </row>
    <row r="39" spans="1:7" s="220" customFormat="1" ht="13.5" customHeight="1">
      <c r="A39" s="885" t="s">
        <v>783</v>
      </c>
      <c r="B39" s="216" t="s">
        <v>104</v>
      </c>
      <c r="C39" s="238">
        <f>ROUND(C33*F20,0)</f>
        <v>969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1902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1865</v>
      </c>
      <c r="D42" s="244"/>
      <c r="E42" s="244"/>
      <c r="F42" s="245"/>
      <c r="G42" s="3306" t="s">
        <v>121</v>
      </c>
    </row>
    <row r="43" spans="1:7" ht="13.5" customHeight="1">
      <c r="A43" s="888" t="s">
        <v>792</v>
      </c>
      <c r="B43" s="221" t="s">
        <v>1032</v>
      </c>
      <c r="C43" s="244">
        <f ca="1">ROUND(IF('数据-取费表'!B22&lt;=1,C39*F22*'数据-取费表'!B21/2,C39*(POWER((1+F22),'数据-取费表'!B21/2)-1)),0)</f>
        <v>37</v>
      </c>
      <c r="D43" s="244"/>
      <c r="E43" s="244"/>
      <c r="F43" s="245"/>
      <c r="G43" s="3307"/>
    </row>
    <row r="44" spans="1:7" ht="13.5" customHeight="1">
      <c r="A44" s="888" t="s">
        <v>793</v>
      </c>
      <c r="B44" s="221" t="s">
        <v>1034</v>
      </c>
      <c r="C44" s="244">
        <f ca="1">ROUND(IF('数据-取费表'!B22&lt;=1,C40*F22*'数据-取费表'!B21/2,C40*(POWER((1+F22),'数据-取费表'!B21/2)-1)),4)</f>
        <v>8.0000000000000004E-4</v>
      </c>
      <c r="D44" s="244"/>
      <c r="E44" s="244"/>
      <c r="F44" s="245"/>
      <c r="G44" s="3308"/>
    </row>
    <row r="45" spans="1:7" s="220" customFormat="1" ht="13.5" customHeight="1">
      <c r="A45" s="885" t="s">
        <v>786</v>
      </c>
      <c r="B45" s="250" t="s">
        <v>112</v>
      </c>
      <c r="C45" s="251">
        <f>C46</f>
        <v>8399</v>
      </c>
      <c r="D45" s="241">
        <f>C47</f>
        <v>3.3999999999999998E-3</v>
      </c>
      <c r="E45" s="242" t="s">
        <v>129</v>
      </c>
      <c r="F45" s="252"/>
      <c r="G45" s="253" t="s">
        <v>1040</v>
      </c>
    </row>
    <row r="46" spans="1:7" s="220" customFormat="1" ht="13.5" customHeight="1">
      <c r="A46" s="888" t="s">
        <v>794</v>
      </c>
      <c r="B46" s="254" t="s">
        <v>1033</v>
      </c>
      <c r="C46" s="255">
        <f>ROUND((C33+C39)*F27,0)</f>
        <v>8399</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64726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62784</v>
      </c>
      <c r="D51" s="238"/>
      <c r="E51" s="238"/>
      <c r="F51" s="270"/>
      <c r="G51" s="240" t="s">
        <v>64</v>
      </c>
    </row>
    <row r="52" spans="1:7" s="214" customFormat="1" ht="16.5" thickBot="1">
      <c r="A52" s="271" t="s">
        <v>65</v>
      </c>
      <c r="B52" s="272"/>
      <c r="C52" s="273">
        <f ca="1">C31+C51</f>
        <v>93957</v>
      </c>
      <c r="D52" s="272"/>
      <c r="E52" s="272"/>
      <c r="F52" s="272"/>
      <c r="G52" s="274"/>
    </row>
    <row r="55" spans="1:7" ht="15">
      <c r="B55" s="276" t="s">
        <v>66</v>
      </c>
      <c r="C55" s="277"/>
    </row>
    <row r="56" spans="1:7">
      <c r="B56" s="279" t="s">
        <v>67</v>
      </c>
      <c r="C56" s="280">
        <f ca="1">ROUND(C51/C52,3)</f>
        <v>0.66800000000000004</v>
      </c>
    </row>
    <row r="57" spans="1:7">
      <c r="B57" s="279" t="s">
        <v>68</v>
      </c>
      <c r="C57" s="281">
        <f ca="1">1-C56</f>
        <v>0.33199999999999996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6" t="s">
        <v>156</v>
      </c>
      <c r="B1" s="3426"/>
      <c r="C1" s="3426"/>
      <c r="D1" s="3426"/>
      <c r="E1" s="3426"/>
      <c r="F1" s="34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7" t="s">
        <v>169</v>
      </c>
      <c r="B2" s="3427"/>
      <c r="C2" s="3427"/>
      <c r="D2" s="3427"/>
      <c r="E2" s="3427"/>
      <c r="F2" s="34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6" t="s">
        <v>839</v>
      </c>
      <c r="B1" s="342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44256</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76">
        <v>43941</v>
      </c>
      <c r="D13" s="3077">
        <v>3.85</v>
      </c>
      <c r="E13" s="3077">
        <v>3.85</v>
      </c>
      <c r="F13" s="3077">
        <v>3.85</v>
      </c>
      <c r="G13" s="3077">
        <v>3.85</v>
      </c>
      <c r="H13" s="307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72"/>
      <c r="C14" s="3073">
        <v>43881</v>
      </c>
      <c r="D14" s="3072">
        <v>4.05</v>
      </c>
      <c r="E14" s="3072">
        <v>4.05</v>
      </c>
      <c r="F14" s="3072">
        <v>4.05</v>
      </c>
      <c r="G14" s="3072">
        <v>4.05</v>
      </c>
      <c r="H14" s="3072">
        <v>4.75</v>
      </c>
      <c r="I14" s="3072"/>
      <c r="J14" s="307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72"/>
      <c r="C15" s="3073">
        <v>43789</v>
      </c>
      <c r="D15" s="3072">
        <v>4.1500000000000004</v>
      </c>
      <c r="E15" s="3072">
        <v>4.1500000000000004</v>
      </c>
      <c r="F15" s="3072">
        <v>4.1500000000000004</v>
      </c>
      <c r="G15" s="3072">
        <v>4.1500000000000004</v>
      </c>
      <c r="H15" s="3072">
        <v>4.8</v>
      </c>
      <c r="I15" s="3072"/>
      <c r="J15" s="307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72"/>
      <c r="C16" s="3073">
        <v>43728</v>
      </c>
      <c r="D16" s="3072">
        <v>4.2</v>
      </c>
      <c r="E16" s="3072">
        <v>4.2</v>
      </c>
      <c r="F16" s="3072">
        <v>4.2</v>
      </c>
      <c r="G16" s="3072">
        <v>4.2</v>
      </c>
      <c r="H16" s="3072">
        <v>4.8499999999999996</v>
      </c>
      <c r="I16" s="3072"/>
      <c r="J16" s="307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71" t="s">
        <v>3060</v>
      </c>
      <c r="C17" s="3074">
        <v>43697</v>
      </c>
      <c r="D17" s="3075">
        <v>4.25</v>
      </c>
      <c r="E17" s="3075">
        <v>4.25</v>
      </c>
      <c r="F17" s="3075">
        <v>4.25</v>
      </c>
      <c r="G17" s="3075">
        <v>4.25</v>
      </c>
      <c r="H17" s="3075">
        <v>4.8499999999999996</v>
      </c>
      <c r="I17" s="3075"/>
      <c r="J17" s="307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3113</v>
      </c>
      <c r="D1" s="1934"/>
      <c r="E1" s="1934"/>
      <c r="F1" s="1936" t="s">
        <v>1949</v>
      </c>
      <c r="G1" s="1747"/>
      <c r="H1" s="1937" t="str">
        <f>IF(G1="现房","——","估价对象范围")</f>
        <v>估价对象范围</v>
      </c>
      <c r="I1" s="1938"/>
    </row>
    <row r="2" spans="1:12" ht="21.75" customHeight="1" thickBot="1">
      <c r="A2" s="3253" t="str">
        <f>项目基本情况!S2</f>
        <v>北京市房地产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1" t="s">
        <v>1951</v>
      </c>
      <c r="B4" s="1942" t="s">
        <v>1952</v>
      </c>
      <c r="C4" s="1943" t="s">
        <v>3139</v>
      </c>
      <c r="D4" s="1943" t="s">
        <v>3124</v>
      </c>
      <c r="E4" s="3262" t="s">
        <v>1953</v>
      </c>
      <c r="F4" s="3263"/>
      <c r="G4" s="3263"/>
      <c r="H4" s="3263"/>
      <c r="I4" s="3264"/>
      <c r="K4" s="151"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1"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198" t="s">
        <v>1954</v>
      </c>
      <c r="B5" s="3256">
        <v>25</v>
      </c>
      <c r="C5" s="3259"/>
      <c r="D5" s="3247"/>
      <c r="E5" s="136" t="s">
        <v>1955</v>
      </c>
      <c r="F5" s="1944"/>
      <c r="G5" s="1944"/>
      <c r="H5" s="1944"/>
      <c r="I5" s="1558"/>
    </row>
    <row r="6" spans="1:12" ht="12.75">
      <c r="A6" s="3198"/>
      <c r="B6" s="3256"/>
      <c r="C6" s="3261"/>
      <c r="D6" s="3247"/>
      <c r="E6" s="136" t="s">
        <v>1956</v>
      </c>
      <c r="F6" s="1944"/>
      <c r="G6" s="1944"/>
      <c r="H6" s="1944"/>
      <c r="I6" s="1558"/>
    </row>
    <row r="7" spans="1:12" ht="12.75">
      <c r="A7" s="3198"/>
      <c r="B7" s="3256"/>
      <c r="C7" s="3260"/>
      <c r="D7" s="3247"/>
      <c r="E7" s="136" t="s">
        <v>1957</v>
      </c>
      <c r="F7" s="1944"/>
      <c r="G7" s="1944"/>
      <c r="H7" s="1944"/>
      <c r="I7" s="1558"/>
    </row>
    <row r="8" spans="1:12" ht="12.75">
      <c r="A8" s="3198" t="s">
        <v>1958</v>
      </c>
      <c r="B8" s="3256">
        <v>15</v>
      </c>
      <c r="C8" s="3259"/>
      <c r="D8" s="3247"/>
      <c r="E8" s="136" t="s">
        <v>1959</v>
      </c>
      <c r="F8" s="1944"/>
      <c r="G8" s="1944"/>
      <c r="H8" s="1944"/>
      <c r="I8" s="1558"/>
    </row>
    <row r="9" spans="1:12" ht="12.75">
      <c r="A9" s="3198"/>
      <c r="B9" s="3256"/>
      <c r="C9" s="3260"/>
      <c r="D9" s="3247"/>
      <c r="E9" s="136" t="s">
        <v>1960</v>
      </c>
      <c r="F9" s="1944"/>
      <c r="G9" s="1944"/>
      <c r="H9" s="1944"/>
      <c r="I9" s="1558"/>
    </row>
    <row r="10" spans="1:12" ht="12.75">
      <c r="A10" s="3198" t="s">
        <v>1961</v>
      </c>
      <c r="B10" s="3256">
        <v>15</v>
      </c>
      <c r="C10" s="3259"/>
      <c r="D10" s="3247"/>
      <c r="E10" s="136" t="s">
        <v>1962</v>
      </c>
      <c r="F10" s="1944"/>
      <c r="G10" s="1944"/>
      <c r="H10" s="1944"/>
      <c r="I10" s="1558"/>
    </row>
    <row r="11" spans="1:12" ht="12.75">
      <c r="A11" s="3198"/>
      <c r="B11" s="3256"/>
      <c r="C11" s="3260"/>
      <c r="D11" s="3247"/>
      <c r="E11" s="136" t="s">
        <v>1963</v>
      </c>
      <c r="F11" s="1944"/>
      <c r="G11" s="1944"/>
      <c r="H11" s="1944"/>
      <c r="I11" s="1558"/>
    </row>
    <row r="12" spans="1:12" ht="12.75">
      <c r="A12" s="3198" t="s">
        <v>1964</v>
      </c>
      <c r="B12" s="3256">
        <v>15</v>
      </c>
      <c r="C12" s="3259"/>
      <c r="D12" s="3247"/>
      <c r="E12" s="136" t="s">
        <v>1965</v>
      </c>
      <c r="F12" s="1944"/>
      <c r="G12" s="1944"/>
      <c r="H12" s="1944"/>
      <c r="I12" s="1558"/>
    </row>
    <row r="13" spans="1:12" ht="12.75">
      <c r="A13" s="3198"/>
      <c r="B13" s="3256"/>
      <c r="C13" s="3260"/>
      <c r="D13" s="3247"/>
      <c r="E13" s="136" t="s">
        <v>1966</v>
      </c>
      <c r="F13" s="1944"/>
      <c r="G13" s="1944"/>
      <c r="H13" s="1944"/>
      <c r="I13" s="1558"/>
    </row>
    <row r="14" spans="1:12" ht="12.75">
      <c r="A14" s="3198" t="s">
        <v>1967</v>
      </c>
      <c r="B14" s="3256">
        <v>30</v>
      </c>
      <c r="C14" s="3259">
        <v>5</v>
      </c>
      <c r="D14" s="3247">
        <v>5</v>
      </c>
      <c r="E14" s="136" t="s">
        <v>1968</v>
      </c>
      <c r="F14" s="1944"/>
      <c r="G14" s="1944"/>
      <c r="H14" s="1944"/>
      <c r="I14" s="1558"/>
    </row>
    <row r="15" spans="1:12" ht="12.75">
      <c r="A15" s="3198"/>
      <c r="B15" s="3256"/>
      <c r="C15" s="3261"/>
      <c r="D15" s="3247"/>
      <c r="E15" s="136" t="s">
        <v>1969</v>
      </c>
      <c r="F15" s="1944"/>
      <c r="G15" s="1944"/>
      <c r="H15" s="1944"/>
      <c r="I15" s="1558"/>
    </row>
    <row r="16" spans="1:12" ht="12.75">
      <c r="A16" s="3198"/>
      <c r="B16" s="3256"/>
      <c r="C16" s="3260"/>
      <c r="D16" s="3247"/>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78" t="s">
        <v>2872</v>
      </c>
      <c r="F18" s="3279"/>
      <c r="G18" s="3279"/>
      <c r="H18" s="3279"/>
      <c r="I18" s="3279"/>
      <c r="K18" s="308" t="s">
        <v>1975</v>
      </c>
      <c r="L18" s="308">
        <f>IF(C1="",'数据-汇总表'!E3,SUMIF(项目类型,C1,'数据-汇总表'!E17:E26)+SUMIF(项目类型,C1,'数据-汇总表'!I17:I26))</f>
        <v>31986.760000000002</v>
      </c>
      <c r="M18" s="308">
        <f>IF(C1="",'数据-汇总表'!E3,SUMIF(项目类型,C1,'数据-汇总表'!E17:E26))</f>
        <v>31986.760000000002</v>
      </c>
    </row>
    <row r="19" spans="1:36" ht="15">
      <c r="A19" s="1948" t="s">
        <v>1976</v>
      </c>
      <c r="B19" s="1949" t="s">
        <v>1977</v>
      </c>
      <c r="C19" s="139">
        <f ca="1">SUMIF(INDIRECT("'"&amp;C4&amp;"'"&amp;"!A:A"),'结果表-地下商业1'!B19,INDIRECT("'"&amp;C4&amp;"'"&amp;"!B:B"))</f>
        <v>50944</v>
      </c>
      <c r="D19" s="140">
        <f ca="1">SUMIF(INDIRECT("'"&amp;D4&amp;"'"&amp;"!A:A"),'结果表-地下商业1'!B19,INDIRECT("'"&amp;D4&amp;"'"&amp;"!B:B"))</f>
        <v>54667</v>
      </c>
      <c r="E19" s="1948" t="s">
        <v>1978</v>
      </c>
      <c r="F19" s="1949" t="s">
        <v>1977</v>
      </c>
      <c r="G19" s="141">
        <f ca="1">ROUND(C19*$C$18+D19*$D$18,0)</f>
        <v>52806</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SUMIF(INDIRECT("'"&amp;C4&amp;"'"&amp;"!A:A"),'结果表-地下商业1'!B20,INDIRECT("'"&amp;C4&amp;"'"&amp;"!B:B"))</f>
        <v>15927</v>
      </c>
      <c r="D20" s="143">
        <f ca="1">SUMIF(INDIRECT("'"&amp;D4&amp;"'"&amp;"!A:A"),'结果表-地下商业1'!B20,INDIRECT("'"&amp;D4&amp;"'"&amp;"!B:B"))</f>
        <v>17091</v>
      </c>
      <c r="E20" s="1951"/>
      <c r="F20" s="1157" t="s">
        <v>1981</v>
      </c>
      <c r="G20" s="144">
        <f ca="1">ROUND(C20*$C$18+D20*$D$18,0)</f>
        <v>16509</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7.308024497487442E-2</v>
      </c>
      <c r="E22" s="134"/>
      <c r="F22" s="134"/>
      <c r="G22" s="134"/>
      <c r="H22" s="134"/>
      <c r="I22" s="134"/>
    </row>
    <row r="23" spans="1:36" ht="13.5" thickBot="1">
      <c r="A23" s="1934"/>
      <c r="B23" s="1934"/>
      <c r="C23" s="1934"/>
      <c r="D23" s="1934"/>
      <c r="E23" s="134"/>
      <c r="F23" s="134"/>
      <c r="G23" s="134"/>
      <c r="H23" s="134"/>
      <c r="I23" s="134"/>
    </row>
    <row r="24" spans="1:36" ht="14.25">
      <c r="A24" s="3271" t="s">
        <v>1985</v>
      </c>
      <c r="B24" s="1949" t="s">
        <v>1977</v>
      </c>
      <c r="C24" s="141">
        <f>IF(B30=0,0,D30)</f>
        <v>0</v>
      </c>
      <c r="D24" s="1956"/>
      <c r="E24" s="134"/>
      <c r="F24" s="134"/>
      <c r="G24" s="134"/>
      <c r="H24" s="134"/>
      <c r="I24" s="134"/>
    </row>
    <row r="25" spans="1:36" ht="14.25">
      <c r="A25" s="3272"/>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52806</v>
      </c>
      <c r="D32" s="1962" t="s">
        <v>3132</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8" t="s">
        <v>1998</v>
      </c>
      <c r="B36" s="1974" t="s">
        <v>1999</v>
      </c>
      <c r="C36" s="150"/>
      <c r="D36" s="1975"/>
      <c r="E36" s="1976"/>
      <c r="F36" s="1977"/>
      <c r="G36" s="134"/>
      <c r="H36" s="134"/>
      <c r="I36" s="134"/>
    </row>
    <row r="37" spans="1:15" ht="15.75" thickBot="1">
      <c r="A37" s="3249"/>
      <c r="B37" s="1861" t="s">
        <v>2000</v>
      </c>
      <c r="C37" s="152"/>
      <c r="D37" s="1301"/>
      <c r="E37" s="1301"/>
      <c r="F37" s="1977"/>
      <c r="G37" s="134"/>
      <c r="H37" s="134"/>
      <c r="I37" s="134"/>
    </row>
    <row r="38" spans="1:15" ht="15.75" thickBot="1">
      <c r="A38" s="3250"/>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8" t="s">
        <v>2012</v>
      </c>
      <c r="B45" s="3269"/>
      <c r="C45" s="3270"/>
      <c r="D45" s="160">
        <f ca="1">ROUND(H101*F45,0)</f>
        <v>52806</v>
      </c>
      <c r="E45" s="161" t="s">
        <v>2013</v>
      </c>
      <c r="F45" s="162">
        <v>1</v>
      </c>
      <c r="G45" s="163" t="s">
        <v>2014</v>
      </c>
      <c r="H45" s="134"/>
      <c r="I45" s="134"/>
      <c r="J45" s="3185" t="s">
        <v>2015</v>
      </c>
      <c r="K45" s="3185"/>
      <c r="L45" s="3185"/>
      <c r="M45" s="3185"/>
      <c r="N45" s="3185"/>
      <c r="O45" s="3185"/>
    </row>
    <row r="46" spans="1:15" ht="14.25" customHeight="1">
      <c r="A46" s="3265" t="s">
        <v>2016</v>
      </c>
      <c r="B46" s="3266"/>
      <c r="C46" s="3266"/>
      <c r="D46" s="3266"/>
      <c r="E46" s="3266"/>
      <c r="F46" s="3266"/>
      <c r="G46" s="3267"/>
      <c r="H46" s="1993"/>
      <c r="I46" s="164"/>
      <c r="J46" s="3054">
        <v>1</v>
      </c>
      <c r="K46" s="3186" t="s">
        <v>2017</v>
      </c>
      <c r="L46" s="3186"/>
      <c r="M46" s="3187"/>
      <c r="N46" s="3187"/>
      <c r="O46" s="3187"/>
    </row>
    <row r="47" spans="1:15" ht="12" customHeight="1">
      <c r="A47" s="165" t="s">
        <v>2018</v>
      </c>
      <c r="B47" s="166"/>
      <c r="C47" s="167"/>
      <c r="D47" s="1247" t="s">
        <v>2019</v>
      </c>
      <c r="E47" s="308" t="s">
        <v>2020</v>
      </c>
      <c r="F47" s="168" t="s">
        <v>2021</v>
      </c>
      <c r="G47" s="2773" t="s">
        <v>2022</v>
      </c>
      <c r="H47" s="2774"/>
      <c r="I47" s="164"/>
      <c r="J47" s="3054">
        <v>2</v>
      </c>
      <c r="K47" s="3186" t="s">
        <v>2023</v>
      </c>
      <c r="L47" s="3186"/>
      <c r="M47" s="3188">
        <f>'数据-取费表'!B2</f>
        <v>44256</v>
      </c>
      <c r="N47" s="3188"/>
      <c r="O47" s="3188"/>
    </row>
    <row r="48" spans="1:15" ht="25.5">
      <c r="A48" s="3251" t="s">
        <v>2024</v>
      </c>
      <c r="B48" s="3252"/>
      <c r="C48" s="3252"/>
      <c r="D48" s="3049" t="b">
        <f>IF(H48="情况1",0,IF(H48="情况2",D52,IF(H48="情况3",D53,IF(H48="情况4",D54))))</f>
        <v>0</v>
      </c>
      <c r="E48" s="3064" t="str">
        <f>IF(H48="情况4","(销售额-原购置价)×税（费）率","销售额×税（费）率")</f>
        <v>销售额×税（费）率</v>
      </c>
      <c r="F48" s="2775">
        <f>IF(H48="情况1","免征",'数据-取费表'!B41)</f>
        <v>5.6000000000000001E-2</v>
      </c>
      <c r="G48" s="2776" t="s">
        <v>2025</v>
      </c>
      <c r="H48" s="2777"/>
      <c r="I48" s="1993"/>
      <c r="J48" s="3054">
        <v>3</v>
      </c>
      <c r="K48" s="3186" t="s">
        <v>2026</v>
      </c>
      <c r="L48" s="3186"/>
      <c r="M48" s="3189">
        <f ca="1">H101</f>
        <v>52806</v>
      </c>
      <c r="N48" s="3189"/>
      <c r="O48" s="3189"/>
    </row>
    <row r="49" spans="1:35" ht="25.5" customHeight="1">
      <c r="A49" s="3063" t="s">
        <v>2027</v>
      </c>
      <c r="B49" s="3234" t="s">
        <v>2028</v>
      </c>
      <c r="C49" s="3234"/>
      <c r="D49" s="1776">
        <v>0</v>
      </c>
      <c r="E49" s="330" t="s">
        <v>2029</v>
      </c>
      <c r="F49" s="3047" t="s">
        <v>34</v>
      </c>
      <c r="G49" s="3217"/>
      <c r="H49" s="2529" t="s">
        <v>2875</v>
      </c>
      <c r="I49" s="2530"/>
      <c r="J49" s="3054">
        <v>4</v>
      </c>
      <c r="K49" s="3186" t="str">
        <f>IF(项目基本情况!E8="房地产抵押价值","房地产抵押价值","抵押担保权已注销时的房地产抵押价值")</f>
        <v>房地产抵押价值</v>
      </c>
      <c r="L49" s="3186"/>
      <c r="M49" s="3189">
        <f ca="1">IF(项目基本情况!E8="房地产抵押价值",H107,H109)</f>
        <v>52806</v>
      </c>
      <c r="N49" s="3189"/>
      <c r="O49" s="3189"/>
    </row>
    <row r="50" spans="1:35" ht="25.5" customHeight="1">
      <c r="A50" s="2778"/>
      <c r="B50" s="3234" t="s">
        <v>2030</v>
      </c>
      <c r="C50" s="3234"/>
      <c r="D50" s="2779"/>
      <c r="E50" s="338"/>
      <c r="F50" s="3047"/>
      <c r="G50" s="3218"/>
      <c r="H50" s="2531" t="s">
        <v>2876</v>
      </c>
      <c r="I50" s="2530"/>
      <c r="J50" s="3185" t="s">
        <v>2031</v>
      </c>
      <c r="K50" s="3185"/>
      <c r="L50" s="3185"/>
      <c r="M50" s="3185"/>
      <c r="N50" s="3185"/>
      <c r="O50" s="3185"/>
    </row>
    <row r="51" spans="1:35" ht="20.45" customHeight="1">
      <c r="A51" s="2780"/>
      <c r="B51" s="3234" t="s">
        <v>2032</v>
      </c>
      <c r="C51" s="3234"/>
      <c r="D51" s="1247"/>
      <c r="E51" s="333"/>
      <c r="F51" s="3047"/>
      <c r="G51" s="3219"/>
      <c r="H51" s="2531" t="s">
        <v>2877</v>
      </c>
      <c r="I51" s="2530"/>
      <c r="J51" s="3048" t="s">
        <v>2033</v>
      </c>
      <c r="K51" s="3186" t="s">
        <v>2034</v>
      </c>
      <c r="L51" s="3186"/>
      <c r="M51" s="3048" t="s">
        <v>2035</v>
      </c>
      <c r="N51" s="3048" t="s">
        <v>2036</v>
      </c>
      <c r="O51" s="3048" t="s">
        <v>2037</v>
      </c>
    </row>
    <row r="52" spans="1:35" ht="24" customHeight="1">
      <c r="A52" s="3066" t="s">
        <v>2038</v>
      </c>
      <c r="B52" s="3234" t="s">
        <v>2039</v>
      </c>
      <c r="C52" s="3234"/>
      <c r="D52" s="1247">
        <f ca="1">ROUND(D45*'数据-取费表'!B41/(1+'数据-取费表'!C42),0)</f>
        <v>2816</v>
      </c>
      <c r="E52" s="3064" t="s">
        <v>2040</v>
      </c>
      <c r="F52" s="2781">
        <f>'数据-取费表'!B41</f>
        <v>5.6000000000000001E-2</v>
      </c>
      <c r="G52" s="2782"/>
      <c r="H52" s="2771"/>
      <c r="I52" s="1994"/>
      <c r="J52" s="3054">
        <v>1</v>
      </c>
      <c r="K52" s="3211" t="s">
        <v>2041</v>
      </c>
      <c r="L52" s="3211"/>
      <c r="M52" s="2752" t="b">
        <f>D48</f>
        <v>0</v>
      </c>
      <c r="N52" s="3054" t="str">
        <f>E48</f>
        <v>销售额×税（费）率</v>
      </c>
      <c r="O52" s="2753">
        <f>F48</f>
        <v>5.6000000000000001E-2</v>
      </c>
    </row>
    <row r="53" spans="1:35" ht="12" customHeight="1">
      <c r="A53" s="3066" t="s">
        <v>2042</v>
      </c>
      <c r="B53" s="3235" t="s">
        <v>3036</v>
      </c>
      <c r="C53" s="3236"/>
      <c r="D53" s="1247">
        <f ca="1">ROUND(D45*'数据-取费表'!B41/(1+'数据-取费表'!C42),0)</f>
        <v>2816</v>
      </c>
      <c r="E53" s="3064" t="s">
        <v>2040</v>
      </c>
      <c r="F53" s="2781">
        <f>'数据-取费表'!B41</f>
        <v>5.6000000000000001E-2</v>
      </c>
      <c r="G53" s="2782"/>
      <c r="H53" s="2771"/>
      <c r="I53" s="1994"/>
      <c r="J53" s="3054">
        <v>2</v>
      </c>
      <c r="K53" s="3211" t="s">
        <v>2043</v>
      </c>
      <c r="L53" s="3211"/>
      <c r="M53" s="2752">
        <f t="shared" ref="M53:O54" ca="1" si="0">D55</f>
        <v>26</v>
      </c>
      <c r="N53" s="3054" t="str">
        <f t="shared" si="0"/>
        <v>销售额×税（费）率</v>
      </c>
      <c r="O53" s="2753" t="str">
        <f t="shared" si="0"/>
        <v>免征</v>
      </c>
    </row>
    <row r="54" spans="1:35" ht="12" customHeight="1">
      <c r="A54" s="3066" t="s">
        <v>2044</v>
      </c>
      <c r="B54" s="3235" t="s">
        <v>3037</v>
      </c>
      <c r="C54" s="3236"/>
      <c r="D54" s="1247">
        <f ca="1">C68</f>
        <v>2816</v>
      </c>
      <c r="E54" s="333" t="s">
        <v>2045</v>
      </c>
      <c r="F54" s="2781">
        <f>'数据-取费表'!B41</f>
        <v>5.6000000000000001E-2</v>
      </c>
      <c r="G54" s="2782"/>
      <c r="H54" s="2783"/>
      <c r="I54" s="1994"/>
      <c r="J54" s="3054">
        <v>3</v>
      </c>
      <c r="K54" s="3211" t="s">
        <v>2046</v>
      </c>
      <c r="L54" s="3211"/>
      <c r="M54" s="2752">
        <f t="shared" ca="1" si="0"/>
        <v>29888</v>
      </c>
      <c r="N54" s="3054" t="str">
        <f t="shared" si="0"/>
        <v>增值额×税（费）率</v>
      </c>
      <c r="O54" s="2754" t="str">
        <f t="shared" si="0"/>
        <v>免征</v>
      </c>
    </row>
    <row r="55" spans="1:35" ht="24" customHeight="1">
      <c r="A55" s="3274" t="s">
        <v>2047</v>
      </c>
      <c r="B55" s="3252"/>
      <c r="C55" s="3252"/>
      <c r="D55" s="3049">
        <f ca="1">IF(H55="个人住宅",0,ROUND(D45*I55,0))</f>
        <v>26</v>
      </c>
      <c r="E55" s="3064" t="s">
        <v>2048</v>
      </c>
      <c r="F55" s="2781" t="str">
        <f>IF(H55="正常",I55,"免征")</f>
        <v>免征</v>
      </c>
      <c r="G55" s="2782"/>
      <c r="H55" s="2777"/>
      <c r="I55" s="170">
        <f>'数据-取费表'!B49</f>
        <v>5.0000000000000001E-4</v>
      </c>
      <c r="J55" s="3054">
        <f>IF(H59="非个人房产","",4)</f>
        <v>4</v>
      </c>
      <c r="K55" s="3211" t="str">
        <f>IF(H59="非个人房产","——","个人所得税")</f>
        <v>个人所得税</v>
      </c>
      <c r="L55" s="3211"/>
      <c r="M55" s="2755">
        <f ca="1">D59</f>
        <v>503</v>
      </c>
      <c r="N55" s="3055" t="str">
        <f>E59</f>
        <v>差额计税</v>
      </c>
      <c r="O55" s="2756">
        <f>F59</f>
        <v>0.01</v>
      </c>
    </row>
    <row r="56" spans="1:35" ht="24.75">
      <c r="A56" s="3274" t="s">
        <v>2049</v>
      </c>
      <c r="B56" s="3252"/>
      <c r="C56" s="3252"/>
      <c r="D56" s="3049">
        <f ca="1">IF(H56="个人住宅",D57,D58)</f>
        <v>29888</v>
      </c>
      <c r="E56" s="3064" t="s">
        <v>2050</v>
      </c>
      <c r="F56" s="2781" t="str">
        <f>IF(H56="正常",F58,"免征")</f>
        <v>免征</v>
      </c>
      <c r="G56" s="2784" t="s">
        <v>2051</v>
      </c>
      <c r="H56" s="2785"/>
      <c r="I56" s="1995"/>
      <c r="J56" s="3054" t="str">
        <f>IF(项目基本情况!K6="上海银行",IF(J55="",4,J55+1),"")</f>
        <v/>
      </c>
      <c r="K56" s="3192" t="str">
        <f>IF(项目基本情况!K6="上海银行","其他处置费用","")</f>
        <v/>
      </c>
      <c r="L56" s="3193"/>
      <c r="M56" s="2752" t="str">
        <f>IF(项目基本情况!K6="上海银行",M69,"")</f>
        <v/>
      </c>
      <c r="N56" s="3192" t="str">
        <f>IF(项目基本情况!K6="上海银行","包含处置中涉及的律师、诉讼、拍卖、评估等费用","")</f>
        <v/>
      </c>
      <c r="O56" s="3195"/>
    </row>
    <row r="57" spans="1:35" ht="12.75">
      <c r="A57" s="3066" t="s">
        <v>2027</v>
      </c>
      <c r="B57" s="3235" t="s">
        <v>2052</v>
      </c>
      <c r="C57" s="3236"/>
      <c r="D57" s="1776">
        <v>0</v>
      </c>
      <c r="E57" s="330" t="s">
        <v>2029</v>
      </c>
      <c r="F57" s="308"/>
      <c r="G57" s="2782"/>
      <c r="H57" s="2786"/>
      <c r="I57" s="1995"/>
      <c r="J57" s="3211">
        <f>IF(AND(J55="",J56=""),4,IF(项目基本情况!K6="上海银行",'结果表-地下商业1'!J56+1,'结果表-地下商业1'!J55+1))</f>
        <v>5</v>
      </c>
      <c r="K57" s="3211" t="s">
        <v>2053</v>
      </c>
      <c r="L57" s="2757" t="s">
        <v>2054</v>
      </c>
      <c r="M57" s="2758"/>
      <c r="N57" s="2759">
        <f ca="1">SUMIF(M52:M56,"&lt;9e307")</f>
        <v>30417</v>
      </c>
      <c r="O57" s="2760"/>
      <c r="P57" s="2920">
        <f ca="1">N57/M49</f>
        <v>0.57601408930803322</v>
      </c>
    </row>
    <row r="58" spans="1:35" ht="24.75">
      <c r="A58" s="3066" t="s">
        <v>2038</v>
      </c>
      <c r="B58" s="3235" t="s">
        <v>2055</v>
      </c>
      <c r="C58" s="3234"/>
      <c r="D58" s="3049">
        <f ca="1">IF(H58="转让取得",C81,C97)</f>
        <v>29888</v>
      </c>
      <c r="E58" s="3064" t="s">
        <v>2050</v>
      </c>
      <c r="F58" s="308" t="s">
        <v>34</v>
      </c>
      <c r="G58" s="2782"/>
      <c r="H58" s="2785"/>
      <c r="I58" s="1995"/>
      <c r="J58" s="3211"/>
      <c r="K58" s="3211"/>
      <c r="L58" s="2757" t="s">
        <v>2056</v>
      </c>
      <c r="M58" s="2761"/>
      <c r="N58" s="2762" t="str">
        <f ca="1">NUMBERSTRING(INT(N57*10000),2)&amp;"元整"</f>
        <v>叁亿零肆佰壹拾柒万元整</v>
      </c>
      <c r="O58" s="2763"/>
    </row>
    <row r="59" spans="1:35" ht="24.75" thickBot="1">
      <c r="A59" s="3215" t="s">
        <v>2057</v>
      </c>
      <c r="B59" s="3216"/>
      <c r="C59" s="3216"/>
      <c r="D59" s="2787">
        <f ca="1">IF(H59="非个人房产","——",IF(H59="个人住宅（满五唯一有凭证）",0,IF(H59="个人其他（无凭证）",ROUND(D45*F59,0),ROUND(C67*F59,0))))</f>
        <v>503</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13">
        <f>J57+1</f>
        <v>6</v>
      </c>
      <c r="K59" s="3211" t="s">
        <v>2058</v>
      </c>
      <c r="L59" s="3054" t="s">
        <v>2054</v>
      </c>
      <c r="M59" s="2764"/>
      <c r="N59" s="2765">
        <f ca="1">M49-N57</f>
        <v>22389</v>
      </c>
      <c r="O59" s="2766"/>
    </row>
    <row r="60" spans="1:35" ht="12" customHeight="1">
      <c r="A60" s="1996"/>
      <c r="B60" s="1934"/>
      <c r="C60" s="1934"/>
      <c r="D60" s="1934"/>
      <c r="E60" s="1764"/>
      <c r="F60" s="1995"/>
      <c r="G60" s="1995"/>
      <c r="H60" s="1997"/>
      <c r="I60" s="134"/>
      <c r="J60" s="3214"/>
      <c r="K60" s="3211"/>
      <c r="L60" s="2757" t="s">
        <v>2056</v>
      </c>
      <c r="M60" s="2761"/>
      <c r="N60" s="2762" t="str">
        <f ca="1">NUMBERSTRING(INT(N59*10000),2)&amp;"元整"</f>
        <v>贰亿贰仟叁佰捌拾玖万元整</v>
      </c>
      <c r="O60" s="2763"/>
    </row>
    <row r="61" spans="1:35" ht="13.5" thickBot="1">
      <c r="A61" s="3273" t="s">
        <v>2059</v>
      </c>
      <c r="B61" s="3273"/>
      <c r="C61" s="3273"/>
      <c r="D61" s="3273"/>
      <c r="E61" s="3273"/>
      <c r="F61" s="1995"/>
      <c r="G61" s="1995"/>
      <c r="H61" s="1997"/>
      <c r="I61" s="134"/>
      <c r="J61" s="3054">
        <f>J59+1</f>
        <v>7</v>
      </c>
      <c r="K61" s="3211" t="s">
        <v>2060</v>
      </c>
      <c r="L61" s="3211"/>
      <c r="M61" s="2767"/>
      <c r="N61" s="2768">
        <f ca="1">ROUND(N59*10000/'数据-汇总表'!E3,0)</f>
        <v>2256</v>
      </c>
      <c r="O61" s="2769"/>
    </row>
    <row r="62" spans="1:35" ht="12.75">
      <c r="A62" s="3230" t="s">
        <v>2061</v>
      </c>
      <c r="B62" s="3231"/>
      <c r="C62" s="3059"/>
      <c r="D62" s="3059" t="s">
        <v>2062</v>
      </c>
      <c r="E62" s="171" t="s">
        <v>2063</v>
      </c>
      <c r="F62" s="1995"/>
      <c r="G62" s="1995"/>
      <c r="H62" s="1997"/>
      <c r="I62" s="134"/>
    </row>
    <row r="63" spans="1:35" ht="12.75">
      <c r="A63" s="178" t="s">
        <v>775</v>
      </c>
      <c r="B63" s="172" t="s">
        <v>2064</v>
      </c>
      <c r="C63" s="2791">
        <f ca="1">ROUND((C64+C65)/(1+'数据-取费表'!C42),0)</f>
        <v>50291</v>
      </c>
      <c r="D63" s="172"/>
      <c r="E63" s="173"/>
      <c r="F63" s="1995"/>
      <c r="G63" s="1995"/>
      <c r="H63" s="1997"/>
      <c r="I63" s="134"/>
      <c r="J63" s="3194" t="s">
        <v>2065</v>
      </c>
      <c r="K63" s="3050" t="s">
        <v>2066</v>
      </c>
      <c r="L63" s="3050">
        <f ca="1">IF(M49&gt;10000,M49*0.5%,IF(AND(M49&gt;1000,M49&lt;=10000),M49*1%,IF(AND(M49&gt;100,M49&lt;=1000),M49*3%,IF(AND(M49&gt;10,M49&lt;=100),M49*5%,M49*8%))))</f>
        <v>264.03000000000003</v>
      </c>
      <c r="M63" s="308">
        <f ca="1">ROUND(L63,1)</f>
        <v>264</v>
      </c>
      <c r="N63" s="2770"/>
      <c r="Z63" s="1939"/>
      <c r="AI63" s="1940"/>
    </row>
    <row r="64" spans="1:35" ht="14.25" customHeight="1">
      <c r="A64" s="174" t="s">
        <v>770</v>
      </c>
      <c r="B64" s="175" t="s">
        <v>2067</v>
      </c>
      <c r="C64" s="2792">
        <f ca="1">D45</f>
        <v>52806</v>
      </c>
      <c r="D64" s="175" t="s">
        <v>32</v>
      </c>
      <c r="E64" s="177"/>
      <c r="F64" s="1995"/>
      <c r="G64" s="1995"/>
      <c r="H64" s="1997"/>
      <c r="I64" s="134"/>
      <c r="J64" s="3194"/>
      <c r="K64" s="3050" t="s">
        <v>2068</v>
      </c>
      <c r="L64" s="3050">
        <f ca="1">IF(M49&gt;2000,M49*0.5%,IF(AND(M49&gt;1000,M49&lt;=2000),M49*0.6%,IF(AND(M49&gt;500,M49&lt;=1000),M49*0.7%,IF(AND(M49&gt;200,M49&lt;=500),M49*0.8%,IF(AND(M49&gt;100,M49&lt;=200),M49*0.9%,IF(AND(M49&gt;50,M49&lt;=100),M49*1%,IF(AND(M49&gt;20,M49&lt;=50),M49*1.5%,IF(AND(M49&gt;10,M49&lt;=20),M49*2%,IF(AND(M49&gt;1,M49&lt;=10),M49*2.5%)))))))))</f>
        <v>264.03000000000003</v>
      </c>
      <c r="M64" s="308">
        <f t="shared" ref="M64:M65" ca="1" si="1">ROUND(L64,1)</f>
        <v>264</v>
      </c>
      <c r="N64" s="2771" t="s">
        <v>2069</v>
      </c>
      <c r="Z64" s="1939"/>
      <c r="AI64" s="1940"/>
    </row>
    <row r="65" spans="1:35" ht="14.25" customHeight="1">
      <c r="A65" s="174" t="s">
        <v>771</v>
      </c>
      <c r="B65" s="175" t="s">
        <v>2070</v>
      </c>
      <c r="C65" s="2793"/>
      <c r="D65" s="175"/>
      <c r="E65" s="177"/>
      <c r="F65" s="1995"/>
      <c r="G65" s="1995"/>
      <c r="H65" s="1997"/>
      <c r="I65" s="134"/>
      <c r="J65" s="3194"/>
      <c r="K65" s="3050" t="s">
        <v>2071</v>
      </c>
      <c r="L65" s="3050">
        <f ca="1">IF(M49&gt;1000,M49*0.1%,IF(AND(M49&gt;500,M49&lt;=1000),M49*0.5%,IF(AND(M49&gt;50,M49&lt;=500),M49*1%,IF(AND(M49&gt;1,M49&lt;=50),M49*1.5%))))</f>
        <v>52.806000000000004</v>
      </c>
      <c r="M65" s="308">
        <f t="shared" ca="1" si="1"/>
        <v>52.8</v>
      </c>
      <c r="N65" s="2771" t="s">
        <v>2069</v>
      </c>
      <c r="Z65" s="1939"/>
      <c r="AI65" s="1940"/>
    </row>
    <row r="66" spans="1:35" ht="14.25" customHeight="1">
      <c r="A66" s="178" t="s">
        <v>772</v>
      </c>
      <c r="B66" s="179" t="s">
        <v>2072</v>
      </c>
      <c r="C66" s="2794"/>
      <c r="D66" s="179" t="s">
        <v>32</v>
      </c>
      <c r="E66" s="1510" t="s">
        <v>1337</v>
      </c>
      <c r="F66" s="1995"/>
      <c r="G66" s="1995"/>
      <c r="H66" s="1997"/>
      <c r="I66" s="134"/>
      <c r="J66" s="3194"/>
      <c r="K66" s="3050" t="s">
        <v>2073</v>
      </c>
      <c r="L66" s="3050">
        <f ca="1">M49*0.5%</f>
        <v>264.03000000000003</v>
      </c>
      <c r="M66" s="308">
        <f ca="1">IF(L66&gt;0.5,0.5,ROUND(L66,0))</f>
        <v>0.5</v>
      </c>
      <c r="N66" s="2771" t="s">
        <v>2074</v>
      </c>
      <c r="Z66" s="1939"/>
      <c r="AI66" s="1940"/>
    </row>
    <row r="67" spans="1:35" ht="14.25" customHeight="1">
      <c r="A67" s="178" t="s">
        <v>773</v>
      </c>
      <c r="B67" s="179" t="s">
        <v>2075</v>
      </c>
      <c r="C67" s="2795">
        <f ca="1">C63-C66</f>
        <v>50291</v>
      </c>
      <c r="D67" s="175" t="s">
        <v>32</v>
      </c>
      <c r="E67" s="177"/>
      <c r="F67" s="1995"/>
      <c r="G67" s="1995"/>
      <c r="H67" s="1997"/>
      <c r="I67" s="134"/>
      <c r="J67" s="3194"/>
      <c r="K67" s="3050" t="s">
        <v>2076</v>
      </c>
      <c r="L67" s="3050">
        <f ca="1">IF(M49&gt;=10000,(8.25+(M49-10000)*0.01%),IF(AND(M49&gt;=8000,M49&lt;10000),(7.85+(M49-8000)*0.02%),IF(AND(M49&gt;=5000,M49&lt;8000),(6.65+(M49-5000)*0.04%),IF(AND(M49&gt;=2000,M49&lt;5000),(4.25+(PM49-2000)*0.08%),IF(AND(M49&gt;=1000,M49&lt;2000),(2.75+(M49-1000)*0.15%),IF(AND(M49&gt;=100,M49&lt;1000),(0.5+(M49-100)*0.25%),IF(AND(M49&gt;0,M49&lt;100),M49*0.5%)))))))</f>
        <v>12.5306</v>
      </c>
      <c r="M67" s="308">
        <f ca="1">ROUND(L67*0.9,1)</f>
        <v>11.3</v>
      </c>
      <c r="N67" s="2770"/>
      <c r="Z67" s="1939"/>
      <c r="AI67" s="1940"/>
    </row>
    <row r="68" spans="1:35" ht="14.25" customHeight="1" thickBot="1">
      <c r="A68" s="181" t="s">
        <v>774</v>
      </c>
      <c r="B68" s="182" t="s">
        <v>2077</v>
      </c>
      <c r="C68" s="2796">
        <f ca="1">IF(C67&lt;=0,0,ROUND(C67*D68,0))</f>
        <v>2816</v>
      </c>
      <c r="D68" s="2797">
        <f>'数据-取费表'!B41</f>
        <v>5.6000000000000001E-2</v>
      </c>
      <c r="E68" s="184"/>
      <c r="F68" s="1995"/>
      <c r="G68" s="1995"/>
      <c r="H68" s="1997"/>
      <c r="I68" s="134"/>
      <c r="J68" s="3194"/>
      <c r="K68" s="3050" t="s">
        <v>2078</v>
      </c>
      <c r="L68" s="3050">
        <f ca="1">IF(M49&gt;10000,M49*0.5%,IF(AND(M49&gt;5000,M49&lt;=10000),M49*1%,IF(AND(M49&gt;1000,M49&lt;=5000),M49*2%,IF(AND(M49&gt;200,M49&lt;=1000),M49*3%,M49*5%))))</f>
        <v>264.03000000000003</v>
      </c>
      <c r="M68" s="308">
        <f ca="1">ROUND(L68,1)</f>
        <v>264</v>
      </c>
      <c r="N68" s="2770"/>
      <c r="Z68" s="1939"/>
      <c r="AI68" s="1940"/>
    </row>
    <row r="69" spans="1:35" s="1959" customFormat="1" ht="16.5" customHeight="1">
      <c r="A69" s="1998"/>
      <c r="B69" s="1999"/>
      <c r="C69" s="2000"/>
      <c r="D69" s="2001"/>
      <c r="E69" s="2002"/>
      <c r="F69" s="1764"/>
      <c r="G69" s="1764"/>
      <c r="H69" s="1763"/>
      <c r="I69" s="1934"/>
      <c r="J69" s="3194"/>
      <c r="K69" s="3050" t="s">
        <v>2079</v>
      </c>
      <c r="L69" s="3050"/>
      <c r="M69" s="308">
        <f ca="1">ROUND(SUM(M63:M68),0)</f>
        <v>857</v>
      </c>
      <c r="N69" s="2772">
        <f ca="1">M69/M49</f>
        <v>1.6229216376926866E-2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8" t="s">
        <v>2080</v>
      </c>
      <c r="B70" s="3239"/>
      <c r="C70" s="3239"/>
      <c r="D70" s="3239"/>
      <c r="E70" s="3239"/>
      <c r="F70" s="3239"/>
      <c r="G70" s="3239"/>
      <c r="H70" s="3239"/>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0" t="s">
        <v>2061</v>
      </c>
      <c r="B71" s="3231"/>
      <c r="C71" s="3059"/>
      <c r="D71" s="3059"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50291</v>
      </c>
      <c r="D72" s="175" t="s">
        <v>32</v>
      </c>
      <c r="E72" s="3061"/>
      <c r="F72" s="3060"/>
      <c r="G72" s="3060"/>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302</v>
      </c>
      <c r="D73" s="175" t="s">
        <v>32</v>
      </c>
      <c r="E73" s="3061"/>
      <c r="F73" s="3060"/>
      <c r="G73" s="3060"/>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1"/>
      <c r="F74" s="3060"/>
      <c r="G74" s="3060"/>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35" t="s">
        <v>2088</v>
      </c>
      <c r="F76" s="3234"/>
      <c r="G76" s="3234"/>
      <c r="H76" s="323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49" t="s">
        <v>2090</v>
      </c>
      <c r="F77" s="192"/>
      <c r="G77" s="2009"/>
      <c r="H77" s="3062"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302</v>
      </c>
      <c r="D78" s="2804">
        <f>'数据-取费表'!B43</f>
        <v>6.000000000000001E-3</v>
      </c>
      <c r="E78" s="3227" t="s">
        <v>2092</v>
      </c>
      <c r="F78" s="3228"/>
      <c r="G78" s="3228"/>
      <c r="H78" s="322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49989</v>
      </c>
      <c r="D79" s="175" t="s">
        <v>32</v>
      </c>
      <c r="E79" s="3061"/>
      <c r="F79" s="3060"/>
      <c r="G79" s="3060"/>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165.52649006622516</v>
      </c>
      <c r="D80" s="175" t="s">
        <v>32</v>
      </c>
      <c r="E80" s="3049"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29888</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8" t="s">
        <v>2096</v>
      </c>
      <c r="B83" s="3239"/>
      <c r="C83" s="3239"/>
      <c r="D83" s="3239"/>
      <c r="E83" s="3239"/>
      <c r="F83" s="3239"/>
      <c r="G83" s="3239"/>
      <c r="H83" s="323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0" t="s">
        <v>2061</v>
      </c>
      <c r="B84" s="3231"/>
      <c r="C84" s="3059"/>
      <c r="D84" s="305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50291</v>
      </c>
      <c r="D85" s="175" t="s">
        <v>32</v>
      </c>
      <c r="E85" s="3061"/>
      <c r="F85" s="3060"/>
      <c r="G85" s="3060"/>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302</v>
      </c>
      <c r="D86" s="2808"/>
      <c r="E86" s="3061"/>
      <c r="F86" s="3060"/>
      <c r="G86" s="3060"/>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6"/>
      <c r="F87" s="3057"/>
      <c r="G87" s="3057"/>
      <c r="H87" s="3058"/>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57"/>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3057"/>
      <c r="G89" s="3057"/>
      <c r="H89" s="3058"/>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57"/>
      <c r="G90" s="3196" t="s">
        <v>2870</v>
      </c>
      <c r="H90" s="3197"/>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IF(H91="——",'成本法-地上商业'!C33,I91)</f>
        <v>0</v>
      </c>
      <c r="D91" s="2804"/>
      <c r="E91" s="3227" t="s">
        <v>2105</v>
      </c>
      <c r="F91" s="3228"/>
      <c r="G91" s="322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27" t="s">
        <v>2108</v>
      </c>
      <c r="F92" s="3228"/>
      <c r="G92" s="3228"/>
      <c r="H92" s="3229"/>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302</v>
      </c>
      <c r="D93" s="2804">
        <f>'数据-取费表'!B43</f>
        <v>6.000000000000001E-3</v>
      </c>
      <c r="E93" s="3227" t="s">
        <v>2092</v>
      </c>
      <c r="F93" s="3228"/>
      <c r="G93" s="3228"/>
      <c r="H93" s="322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75" t="s">
        <v>2112</v>
      </c>
      <c r="F94" s="3276"/>
      <c r="G94" s="3276"/>
      <c r="H94" s="327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49989</v>
      </c>
      <c r="D95" s="175" t="s">
        <v>32</v>
      </c>
      <c r="E95" s="3061"/>
      <c r="F95" s="3060"/>
      <c r="G95" s="3060"/>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165.52649006622516</v>
      </c>
      <c r="D96" s="175" t="s">
        <v>32</v>
      </c>
      <c r="E96" s="3049"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29888</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77" t="s">
        <v>2114</v>
      </c>
      <c r="B100" s="3178"/>
      <c r="C100" s="3178"/>
      <c r="D100" s="3212"/>
      <c r="E100" s="3178" t="s">
        <v>2115</v>
      </c>
      <c r="F100" s="3178"/>
      <c r="G100" s="3178"/>
      <c r="H100" s="3212"/>
      <c r="I100" s="134"/>
    </row>
    <row r="101" spans="1:35" ht="18.75" customHeight="1">
      <c r="A101" s="3220" t="s">
        <v>2116</v>
      </c>
      <c r="B101" s="3221"/>
      <c r="C101" s="2812" t="str">
        <f>C4</f>
        <v>成本法-地下商业1</v>
      </c>
      <c r="D101" s="2813" t="str">
        <f>D4</f>
        <v>收益法-地下商业1</v>
      </c>
      <c r="E101" s="3190" t="s">
        <v>2117</v>
      </c>
      <c r="F101" s="3191"/>
      <c r="G101" s="2014" t="s">
        <v>2118</v>
      </c>
      <c r="H101" s="2822">
        <f ca="1">H118</f>
        <v>52806</v>
      </c>
      <c r="I101" s="134"/>
    </row>
    <row r="102" spans="1:35" ht="18.75" customHeight="1">
      <c r="A102" s="3222" t="s">
        <v>2119</v>
      </c>
      <c r="B102" s="2811" t="s">
        <v>2118</v>
      </c>
      <c r="C102" s="2812">
        <f ca="1">C19</f>
        <v>50944</v>
      </c>
      <c r="D102" s="2813">
        <f ca="1">D19</f>
        <v>54667</v>
      </c>
      <c r="E102" s="3190"/>
      <c r="F102" s="3191"/>
      <c r="G102" s="2014" t="s">
        <v>2120</v>
      </c>
      <c r="H102" s="2782">
        <f ca="1">I118</f>
        <v>16509</v>
      </c>
      <c r="I102" s="134"/>
    </row>
    <row r="103" spans="1:35" ht="42.75" customHeight="1">
      <c r="A103" s="3222"/>
      <c r="B103" s="2811" t="s">
        <v>2120</v>
      </c>
      <c r="C103" s="2814">
        <f ca="1">C20</f>
        <v>15927</v>
      </c>
      <c r="D103" s="2815">
        <f ca="1">D20</f>
        <v>17091</v>
      </c>
      <c r="E103" s="3183" t="s">
        <v>2121</v>
      </c>
      <c r="F103" s="3184"/>
      <c r="G103" s="2015" t="s">
        <v>2122</v>
      </c>
      <c r="H103" s="2822">
        <f>IF(D36="正常操作",H104+H105+H106,H105+H106)</f>
        <v>0</v>
      </c>
      <c r="I103" s="134"/>
    </row>
    <row r="104" spans="1:35" ht="18.75" customHeight="1">
      <c r="A104" s="3222" t="s">
        <v>2123</v>
      </c>
      <c r="B104" s="2816" t="s">
        <v>2118</v>
      </c>
      <c r="C104" s="2817">
        <f ca="1">H118</f>
        <v>52806</v>
      </c>
      <c r="D104" s="2818"/>
      <c r="E104" s="1861" t="s">
        <v>2124</v>
      </c>
      <c r="F104" s="1852"/>
      <c r="G104" s="2015" t="s">
        <v>2122</v>
      </c>
      <c r="H104" s="2823">
        <f>IF(D36="同一抵押权人同一抵押物续贷",C36&amp;"（续贷，未扣减，详见特别提示）",C36)</f>
        <v>0</v>
      </c>
      <c r="I104" s="134"/>
    </row>
    <row r="105" spans="1:35" ht="18.75" customHeight="1" thickBot="1">
      <c r="A105" s="3232"/>
      <c r="B105" s="2819" t="s">
        <v>2120</v>
      </c>
      <c r="C105" s="2820">
        <f ca="1">I118</f>
        <v>16509</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23" t="str">
        <f>IF(项目基本情况!E8="已注销","——","3.房地产抵押价值")</f>
        <v>3.房地产抵押价值</v>
      </c>
      <c r="F107" s="3191"/>
      <c r="G107" s="2014" t="s">
        <v>2118</v>
      </c>
      <c r="H107" s="2822">
        <f ca="1">IF(E107="——","——",H101-H103)</f>
        <v>52806</v>
      </c>
      <c r="I107" s="134"/>
    </row>
    <row r="108" spans="1:35" ht="18.75" customHeight="1">
      <c r="A108" s="134"/>
      <c r="B108" s="134"/>
      <c r="C108" s="134"/>
      <c r="D108" s="134"/>
      <c r="E108" s="3223"/>
      <c r="F108" s="3191"/>
      <c r="G108" s="2014" t="s">
        <v>2120</v>
      </c>
      <c r="H108" s="2782">
        <f ca="1">ROUND(H107*10000/'数据-汇总表'!E3,0)</f>
        <v>5321</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191"/>
      <c r="G109" s="2014" t="s">
        <v>2118</v>
      </c>
      <c r="H109" s="2825" t="str">
        <f>IF(E109="——","——",H101-H105-H106)</f>
        <v>——</v>
      </c>
      <c r="I109" s="134"/>
    </row>
    <row r="110" spans="1:35" ht="18.75" customHeight="1">
      <c r="A110" s="134"/>
      <c r="B110" s="134"/>
      <c r="C110" s="134"/>
      <c r="D110" s="134"/>
      <c r="E110" s="3223"/>
      <c r="F110" s="3191"/>
      <c r="G110" s="2014" t="s">
        <v>2120</v>
      </c>
      <c r="H110" s="2782" t="str">
        <f>IF(H109="——","——",ROUND(H109*10000/'数据-汇总表'!E3,0))</f>
        <v>——</v>
      </c>
      <c r="I110" s="134"/>
    </row>
    <row r="111" spans="1:35" ht="18.75" customHeight="1">
      <c r="A111" s="134"/>
      <c r="B111" s="134"/>
      <c r="C111" s="134"/>
      <c r="D111" s="134"/>
      <c r="E111" s="3224" t="str">
        <f>IF(项目基本情况!E9="抵押净值",IF(OR(项目基本情况!E8="已注销",项目基本情况!E8="房地产抵押价值"),"4.抵押净值","5.抵押净值"),"——")</f>
        <v>——</v>
      </c>
      <c r="F111" s="3210"/>
      <c r="G111" s="2014" t="s">
        <v>2118</v>
      </c>
      <c r="H111" s="2822" t="str">
        <f>IF(E111="——","——",N59)</f>
        <v>——</v>
      </c>
      <c r="I111" s="134"/>
    </row>
    <row r="112" spans="1:35" ht="18.75" customHeight="1" thickBot="1">
      <c r="A112" s="134"/>
      <c r="B112" s="134"/>
      <c r="C112" s="134"/>
      <c r="D112" s="134"/>
      <c r="E112" s="3225"/>
      <c r="F112" s="3226"/>
      <c r="G112" s="2017" t="s">
        <v>2120</v>
      </c>
      <c r="H112" s="2826" t="str">
        <f>IF(E111="——","——",N61)</f>
        <v>——</v>
      </c>
      <c r="I112" s="134"/>
    </row>
    <row r="113" spans="1:27" ht="18.75" customHeight="1">
      <c r="A113" s="134"/>
      <c r="B113" s="134"/>
      <c r="C113" s="134"/>
      <c r="D113" s="134"/>
      <c r="E113" s="3233" t="s">
        <v>2126</v>
      </c>
      <c r="F113" s="3233"/>
      <c r="G113" s="3233"/>
      <c r="H113" s="3233"/>
      <c r="I113" s="134"/>
    </row>
    <row r="114" spans="1:27" ht="3.75" customHeight="1">
      <c r="A114" s="1934"/>
      <c r="B114" s="1934"/>
      <c r="C114" s="1934"/>
      <c r="D114" s="1934"/>
      <c r="E114" s="1996"/>
      <c r="F114" s="1996"/>
      <c r="G114" s="1996"/>
      <c r="H114" s="1996"/>
      <c r="I114" s="1934"/>
    </row>
    <row r="115" spans="1:27" ht="18.75" customHeight="1">
      <c r="A115" s="3244" t="s">
        <v>2128</v>
      </c>
      <c r="B115" s="3245"/>
      <c r="C115" s="3245"/>
      <c r="D115" s="3245"/>
      <c r="E115" s="3245"/>
      <c r="F115" s="3245"/>
      <c r="G115" s="3245"/>
      <c r="H115" s="3245"/>
      <c r="I115" s="3246"/>
    </row>
    <row r="116" spans="1:27" ht="27" customHeight="1">
      <c r="A116" s="3198" t="s">
        <v>2129</v>
      </c>
      <c r="B116" s="3202" t="s">
        <v>2130</v>
      </c>
      <c r="C116" s="3202" t="s">
        <v>2131</v>
      </c>
      <c r="D116" s="3208" t="s">
        <v>2132</v>
      </c>
      <c r="E116" s="3209"/>
      <c r="F116" s="3240" t="s">
        <v>2133</v>
      </c>
      <c r="G116" s="3240"/>
      <c r="H116" s="3198" t="s">
        <v>2134</v>
      </c>
      <c r="I116" s="3198"/>
    </row>
    <row r="117" spans="1:27" ht="18.75" customHeight="1">
      <c r="A117" s="3198"/>
      <c r="B117" s="3203"/>
      <c r="C117" s="3203"/>
      <c r="D117" s="3052" t="s">
        <v>2135</v>
      </c>
      <c r="E117" s="3052" t="s">
        <v>2136</v>
      </c>
      <c r="F117" s="3052" t="s">
        <v>2135</v>
      </c>
      <c r="G117" s="3052" t="s">
        <v>2137</v>
      </c>
      <c r="H117" s="3052" t="s">
        <v>2135</v>
      </c>
      <c r="I117" s="3052" t="s">
        <v>2137</v>
      </c>
    </row>
    <row r="118" spans="1:27" ht="24.75" customHeight="1">
      <c r="A118" s="2827" t="str">
        <f>项目基本情况!S2</f>
        <v>北京市房地产</v>
      </c>
      <c r="B118" s="3052">
        <f>M18</f>
        <v>31986.760000000002</v>
      </c>
      <c r="C118" s="3052">
        <f>M19</f>
        <v>0</v>
      </c>
      <c r="D118" s="3052" t="e">
        <f ca="1">ROUND(IF(D32="总价",C34,E118*B118/10000),0)</f>
        <v>#REF!</v>
      </c>
      <c r="E118" s="3052" t="e">
        <f ca="1">ROUND(IF(C33="自定义",IF(D32="楼面单价",C34,D118*10000/B118),I118-G118),0)</f>
        <v>#REF!</v>
      </c>
      <c r="F118" s="3052" t="e">
        <f ca="1">ROUND(IF(D32="总价",C35,G118*B118/10000),0)</f>
        <v>#REF!</v>
      </c>
      <c r="G118" s="3052" t="e">
        <f ca="1">ROUND(IF(D32="楼面单价",C35,F118*10000/B118),0)</f>
        <v>#REF!</v>
      </c>
      <c r="H118" s="3052">
        <f ca="1">ROUND(IF(D32="总价",C32,I118*B118/10000),0)</f>
        <v>52806</v>
      </c>
      <c r="I118" s="3052">
        <f ca="1">ROUND(IF(D32="楼面单价",C32,H118*10000/B118),0)</f>
        <v>16509</v>
      </c>
    </row>
    <row r="119" spans="1:27" ht="18.75" customHeight="1">
      <c r="A119" s="3198" t="s">
        <v>2138</v>
      </c>
      <c r="B119" s="3198"/>
      <c r="C119" s="3198"/>
      <c r="D119" s="3204" t="e">
        <f ca="1">NUMBERSTRING(INT(D118*10000),2)&amp;"元整"</f>
        <v>#REF!</v>
      </c>
      <c r="E119" s="3205"/>
      <c r="F119" s="3204" t="e">
        <f ca="1">NUMBERSTRING(INT(F118*10000),2)&amp;"元整"</f>
        <v>#REF!</v>
      </c>
      <c r="G119" s="3205"/>
      <c r="H119" s="3204" t="str">
        <f ca="1">NUMBERSTRING(INT(H118*10000),2)&amp;"元整"</f>
        <v>伍亿贰仟捌佰零陆万元整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1" t="s">
        <v>2138</v>
      </c>
      <c r="B121" s="3242"/>
      <c r="C121" s="3243"/>
      <c r="D121" s="3204" t="str">
        <f>IF(D120=0,"零元整",NUMBERSTRING(INT(D120*10000),2)&amp;"元整")</f>
        <v>零元整</v>
      </c>
      <c r="E121" s="3206"/>
      <c r="F121" s="3206"/>
      <c r="G121" s="3206"/>
      <c r="H121" s="3206"/>
      <c r="I121" s="3205"/>
      <c r="AA121" s="734"/>
    </row>
    <row r="122" spans="1:27" ht="18.75" customHeight="1">
      <c r="A122" s="3210" t="str">
        <f>IF(项目基本情况!B9="房地产市场价值","",MID(E107,3,LEN(E107)-2))</f>
        <v>房地产抵押价值</v>
      </c>
      <c r="B122" s="3210"/>
      <c r="C122" s="3210"/>
      <c r="D122" s="3199">
        <f ca="1">H107</f>
        <v>52806</v>
      </c>
      <c r="E122" s="3200"/>
      <c r="F122" s="3200"/>
      <c r="G122" s="3200"/>
      <c r="H122" s="3200"/>
      <c r="I122" s="3201"/>
      <c r="AA122" s="734"/>
    </row>
    <row r="123" spans="1:27" ht="18.75" customHeight="1">
      <c r="A123" s="3198" t="s">
        <v>2138</v>
      </c>
      <c r="B123" s="3198"/>
      <c r="C123" s="3198"/>
      <c r="D123" s="3204" t="str">
        <f ca="1">NUMBERSTRING(INT(D122*10000),2)&amp;"元整"</f>
        <v>伍亿贰仟捌佰零陆万元整</v>
      </c>
      <c r="E123" s="3206"/>
      <c r="F123" s="3206"/>
      <c r="G123" s="3206"/>
      <c r="H123" s="3206"/>
      <c r="I123" s="3205"/>
      <c r="AA123" s="734"/>
    </row>
    <row r="124" spans="1:27" ht="18.75" customHeight="1">
      <c r="A124" s="3210" t="str">
        <f>IF(项目基本情况!B9="房地产市场价值","",MID(E109,3,LEN(E109)-2))</f>
        <v/>
      </c>
      <c r="B124" s="3210"/>
      <c r="C124" s="3210"/>
      <c r="D124" s="3199" t="str">
        <f>H109</f>
        <v>——</v>
      </c>
      <c r="E124" s="3200"/>
      <c r="F124" s="3200"/>
      <c r="G124" s="3200"/>
      <c r="H124" s="3200"/>
      <c r="I124" s="3201"/>
      <c r="AA124" s="734"/>
    </row>
    <row r="125" spans="1:27" ht="18.75" customHeight="1">
      <c r="A125" s="3198" t="s">
        <v>2138</v>
      </c>
      <c r="B125" s="3198"/>
      <c r="C125" s="3198"/>
      <c r="D125" s="3204" t="e">
        <f>NUMBERSTRING(INT(D124*10000),2)&amp;"元整"</f>
        <v>#VALUE!</v>
      </c>
      <c r="E125" s="3206"/>
      <c r="F125" s="3206"/>
      <c r="G125" s="3206"/>
      <c r="H125" s="3206"/>
      <c r="I125" s="3205"/>
      <c r="AA125" s="734"/>
    </row>
    <row r="126" spans="1:27" ht="18.75" customHeight="1">
      <c r="A126" s="3210" t="str">
        <f>IF(项目基本情况!B9="房地产市场价值","",MID(E111,3,LEN(E111)-2))</f>
        <v/>
      </c>
      <c r="B126" s="3210"/>
      <c r="C126" s="3210"/>
      <c r="D126" s="3199" t="str">
        <f>H111</f>
        <v>——</v>
      </c>
      <c r="E126" s="3200"/>
      <c r="F126" s="3200"/>
      <c r="G126" s="3200"/>
      <c r="H126" s="3200"/>
      <c r="I126" s="3201"/>
      <c r="AA126" s="734"/>
    </row>
    <row r="127" spans="1:27" ht="18.75" customHeight="1">
      <c r="A127" s="3198" t="s">
        <v>2138</v>
      </c>
      <c r="B127" s="3198"/>
      <c r="C127" s="3198"/>
      <c r="D127" s="3204" t="e">
        <f>NUMBERSTRING(INT(D126*10000),2)&amp;"元整"</f>
        <v>#VALUE!</v>
      </c>
      <c r="E127" s="3206"/>
      <c r="F127" s="3206"/>
      <c r="G127" s="3206"/>
      <c r="H127" s="3206"/>
      <c r="I127" s="3205"/>
      <c r="AA127" s="734"/>
    </row>
    <row r="128" spans="1:27" ht="21.75" customHeight="1">
      <c r="A128" s="3207" t="s">
        <v>2139</v>
      </c>
      <c r="B128" s="3207"/>
      <c r="C128" s="3207"/>
      <c r="D128" s="3207"/>
      <c r="E128" s="3207"/>
      <c r="F128" s="3207"/>
      <c r="G128" s="3207"/>
      <c r="H128" s="3207"/>
      <c r="I128" s="3207"/>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3113</v>
      </c>
      <c r="C1" s="204"/>
      <c r="D1" s="204"/>
      <c r="E1" s="204"/>
      <c r="F1" s="204"/>
      <c r="G1" s="1288">
        <f>MATCH(B1,'数据-取费表'!A6:A16,0)+5</f>
        <v>7</v>
      </c>
    </row>
    <row r="2" spans="1:9" s="206" customFormat="1" ht="18" customHeight="1">
      <c r="A2" s="207" t="s">
        <v>1359</v>
      </c>
      <c r="B2" s="208">
        <f ca="1">IF(D2="——",C52,C52-E2)</f>
        <v>50944</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f ca="1">ROUND(B2*10000/(IF(B1="",'数据-汇总表'!E3,INDIRECT("'数据-取费表'!k"&amp;$G$1))),0)</f>
        <v>15927</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22865</v>
      </c>
      <c r="D5" s="217" t="s">
        <v>2155</v>
      </c>
      <c r="E5" s="218" t="s">
        <v>2156</v>
      </c>
      <c r="F5" s="218" t="s">
        <v>2157</v>
      </c>
      <c r="G5" s="219"/>
    </row>
    <row r="6" spans="1:9" s="220" customFormat="1" ht="13.5" customHeight="1">
      <c r="A6" s="886" t="s">
        <v>791</v>
      </c>
      <c r="B6" s="221" t="s">
        <v>2159</v>
      </c>
      <c r="C6" s="222">
        <f ca="1">基准地价修正!E33+基准地价修正!E34</f>
        <v>21567</v>
      </c>
      <c r="D6" s="223"/>
      <c r="E6" s="224"/>
      <c r="F6" s="224"/>
      <c r="G6" s="225"/>
    </row>
    <row r="7" spans="1:9" s="220" customFormat="1" ht="13.5" customHeight="1">
      <c r="A7" s="886" t="s">
        <v>792</v>
      </c>
      <c r="B7" s="221" t="s">
        <v>2161</v>
      </c>
      <c r="C7" s="226">
        <f ca="1">ROUND(C6*F7,0)</f>
        <v>658</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640</v>
      </c>
      <c r="D8" s="228"/>
      <c r="E8" s="226"/>
      <c r="F8" s="227"/>
      <c r="G8" s="2043" t="s">
        <v>3092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3090</v>
      </c>
      <c r="H9" s="1299"/>
      <c r="I9" s="2045" t="s">
        <v>2165</v>
      </c>
    </row>
    <row r="10" spans="1:9" s="220" customFormat="1" ht="13.5" customHeight="1">
      <c r="A10" s="887" t="s">
        <v>801</v>
      </c>
      <c r="B10" s="230" t="s">
        <v>2166</v>
      </c>
      <c r="C10" s="231">
        <f ca="1">ROUND(D10*E10/10000,0)</f>
        <v>640</v>
      </c>
      <c r="D10" s="954">
        <f ca="1">IF(B1="",'数据-汇总表'!E6,IF(INDIRECT("'数据-取费表'!c"&amp;$G$1)="住宅",INDIRECT("'数据-取费表'!s"&amp;$G$1),INDIRECT("'数据-取费表'!k"&amp;$G$1)+INDIRECT("'数据-取费表'!s"&amp;$G$1)))</f>
        <v>31986.760000000002</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31986.760000000002</v>
      </c>
      <c r="E19" s="217">
        <f>'数据-取费表'!B31</f>
        <v>200</v>
      </c>
      <c r="F19" s="237"/>
      <c r="G19" s="2043" t="s">
        <v>3091</v>
      </c>
    </row>
    <row r="20" spans="1:7" s="220" customFormat="1" ht="13.5" customHeight="1">
      <c r="A20" s="261" t="s">
        <v>2179</v>
      </c>
      <c r="B20" s="216" t="s">
        <v>2180</v>
      </c>
      <c r="C20" s="238">
        <f ca="1">ROUND((C5+C19)*F20,0)</f>
        <v>457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1812</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1794</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18</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4664</v>
      </c>
      <c r="D27" s="241">
        <f ca="1">C29</f>
        <v>4.0000000000000001E-3</v>
      </c>
      <c r="E27" s="242" t="s">
        <v>2184</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4664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32322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14011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12795</v>
      </c>
      <c r="D34" s="223"/>
      <c r="E34" s="226"/>
      <c r="F34" s="263">
        <f ca="1">IF('数据-取费表'!B24=0,1,IF(B1="",'数据-取费表'!N16,INDIRECT("'数据-取费表'!n"&amp;$G$1)))</f>
        <v>1</v>
      </c>
      <c r="G34" s="225" t="s">
        <v>2212</v>
      </c>
    </row>
    <row r="35" spans="1:7" ht="13.5" customHeight="1">
      <c r="A35" s="888" t="s">
        <v>796</v>
      </c>
      <c r="B35" s="221" t="s">
        <v>2213</v>
      </c>
      <c r="C35" s="226">
        <f ca="1">ROUND(C34*F35,0)</f>
        <v>384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640</v>
      </c>
      <c r="D37" s="223">
        <f ca="1">D19</f>
        <v>31986.760000000002</v>
      </c>
      <c r="E37" s="255">
        <f>'数据-取费表'!B35</f>
        <v>200</v>
      </c>
      <c r="F37" s="265"/>
      <c r="G37" s="267" t="s">
        <v>2218</v>
      </c>
    </row>
    <row r="38" spans="1:7" ht="13.5" customHeight="1">
      <c r="A38" s="888" t="s">
        <v>799</v>
      </c>
      <c r="B38" s="221" t="s">
        <v>2219</v>
      </c>
      <c r="C38" s="226">
        <f ca="1">ROUND(C34*F38,0)</f>
        <v>192</v>
      </c>
      <c r="D38" s="226"/>
      <c r="E38" s="226"/>
      <c r="F38" s="265">
        <f>'数据-取费表'!B36</f>
        <v>1.4999999999999999E-2</v>
      </c>
      <c r="G38" s="225" t="s">
        <v>2214</v>
      </c>
    </row>
    <row r="39" spans="1:7" s="220" customFormat="1" ht="13.5" customHeight="1">
      <c r="A39" s="261" t="s">
        <v>2177</v>
      </c>
      <c r="B39" s="216" t="s">
        <v>2180</v>
      </c>
      <c r="C39" s="238">
        <f ca="1">ROUND(C33*F20,0)</f>
        <v>280</v>
      </c>
      <c r="D39" s="238"/>
      <c r="E39" s="238"/>
      <c r="F39" s="2536">
        <f>F20</f>
        <v>0.02</v>
      </c>
      <c r="G39" s="240" t="s">
        <v>2222</v>
      </c>
    </row>
    <row r="40" spans="1:7" s="220" customFormat="1" ht="13.5" customHeight="1">
      <c r="A40" s="261" t="s">
        <v>2179</v>
      </c>
      <c r="B40" s="216" t="s">
        <v>2183</v>
      </c>
      <c r="C40" s="1496">
        <f>F21</f>
        <v>0.02</v>
      </c>
      <c r="D40" s="242" t="s">
        <v>2225</v>
      </c>
      <c r="E40" s="238"/>
      <c r="F40" s="2536">
        <f>F21</f>
        <v>0.02</v>
      </c>
      <c r="G40" s="240" t="s">
        <v>2226</v>
      </c>
    </row>
    <row r="41" spans="1:7" s="220" customFormat="1" ht="13.5" customHeight="1">
      <c r="A41" s="261" t="s">
        <v>2182</v>
      </c>
      <c r="B41" s="216" t="s">
        <v>2187</v>
      </c>
      <c r="C41" s="238">
        <f ca="1">ROUND(SUM(C42:C43),0)</f>
        <v>550</v>
      </c>
      <c r="D41" s="241">
        <f ca="1">C44</f>
        <v>8.0000000000000004E-4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539</v>
      </c>
      <c r="D42" s="244"/>
      <c r="E42" s="244"/>
      <c r="F42" s="245"/>
      <c r="G42" s="3306" t="s">
        <v>2230</v>
      </c>
    </row>
    <row r="43" spans="1:7" ht="13.5" customHeight="1">
      <c r="A43" s="888" t="s">
        <v>792</v>
      </c>
      <c r="B43" s="221" t="s">
        <v>2192</v>
      </c>
      <c r="C43" s="244">
        <f ca="1">ROUND(IF('数据-取费表'!B22&lt;=1,C39*F22*'数据-取费表'!B21/2,C39*(POWER((1+F22),'数据-取费表'!B21/2)-1)),0)</f>
        <v>11</v>
      </c>
      <c r="D43" s="244"/>
      <c r="E43" s="244"/>
      <c r="F43" s="245"/>
      <c r="G43" s="3307"/>
    </row>
    <row r="44" spans="1:7" ht="13.5" customHeight="1">
      <c r="A44" s="888" t="s">
        <v>793</v>
      </c>
      <c r="B44" s="221" t="s">
        <v>2195</v>
      </c>
      <c r="C44" s="244">
        <f ca="1">ROUND(IF('数据-取费表'!B22&lt;=1,C40*F22*'数据-取费表'!B21/2,C40*(POWER((1+F22),'数据-取费表'!B21/2)-1)),4)</f>
        <v>8.0000000000000004E-4</v>
      </c>
      <c r="D44" s="244"/>
      <c r="E44" s="244"/>
      <c r="F44" s="245"/>
      <c r="G44" s="3308"/>
    </row>
    <row r="45" spans="1:7" s="220" customFormat="1" ht="13.5" customHeight="1">
      <c r="A45" s="261" t="s">
        <v>2186</v>
      </c>
      <c r="B45" s="250" t="s">
        <v>2199</v>
      </c>
      <c r="C45" s="251">
        <f ca="1">C46</f>
        <v>2858</v>
      </c>
      <c r="D45" s="241">
        <f ca="1">C47</f>
        <v>4.0000000000000001E-3</v>
      </c>
      <c r="E45" s="242" t="s">
        <v>2225</v>
      </c>
      <c r="F45" s="2538">
        <f ca="1">F27</f>
        <v>0.2</v>
      </c>
      <c r="G45" s="253" t="s">
        <v>2234</v>
      </c>
    </row>
    <row r="46" spans="1:7" s="220" customFormat="1" ht="13.5" customHeight="1">
      <c r="A46" s="888" t="s">
        <v>791</v>
      </c>
      <c r="B46" s="254" t="s">
        <v>2235</v>
      </c>
      <c r="C46" s="255">
        <f ca="1">ROUND((C33+C39)*F27,0)</f>
        <v>2858</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19198</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18622</v>
      </c>
      <c r="D51" s="238"/>
      <c r="E51" s="238"/>
      <c r="F51" s="270"/>
      <c r="G51" s="240" t="s">
        <v>2246</v>
      </c>
    </row>
    <row r="52" spans="1:7" s="214" customFormat="1" ht="16.5" thickBot="1">
      <c r="A52" s="271" t="s">
        <v>2247</v>
      </c>
      <c r="B52" s="272"/>
      <c r="C52" s="273">
        <f ca="1">C31+C51</f>
        <v>50944</v>
      </c>
      <c r="D52" s="272"/>
      <c r="E52" s="272"/>
      <c r="F52" s="272"/>
      <c r="G52" s="274"/>
    </row>
    <row r="55" spans="1:7" ht="15">
      <c r="B55" s="276" t="s">
        <v>2248</v>
      </c>
      <c r="C55" s="277"/>
    </row>
    <row r="56" spans="1:7">
      <c r="B56" s="279" t="s">
        <v>1478</v>
      </c>
      <c r="C56" s="281">
        <f ca="1">1-C57</f>
        <v>0.63400000000000001</v>
      </c>
    </row>
    <row r="57" spans="1:7">
      <c r="B57" s="279" t="s">
        <v>1479</v>
      </c>
      <c r="C57" s="280">
        <f ca="1">ROUND(C51/C52,3)</f>
        <v>0.36599999999999999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3113</v>
      </c>
      <c r="D1" s="1547" t="s">
        <v>70</v>
      </c>
      <c r="E1" s="1548" t="s">
        <v>1352</v>
      </c>
      <c r="F1" s="1193">
        <f ca="1">J53</f>
        <v>29.86</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54667</v>
      </c>
      <c r="C2" s="1572" t="s">
        <v>1481</v>
      </c>
      <c r="D2" s="1572"/>
      <c r="E2" s="1573"/>
      <c r="F2" s="1574"/>
      <c r="G2" s="2936"/>
      <c r="H2" s="2925"/>
      <c r="I2" s="2925"/>
      <c r="J2" s="2925"/>
      <c r="K2" s="2926"/>
      <c r="L2" s="2925"/>
      <c r="M2" s="2925"/>
    </row>
    <row r="3" spans="1:37" ht="18" customHeight="1" thickBot="1">
      <c r="A3" s="1575" t="s">
        <v>1482</v>
      </c>
      <c r="B3" s="1576">
        <f ca="1">IF(ISERROR(B2*10000/F43),0,ROUND(B2*10000/F43,0))</f>
        <v>17091</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3851</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3846</v>
      </c>
      <c r="D6" s="160" t="s">
        <v>2849</v>
      </c>
      <c r="E6" s="308" t="s">
        <v>1370</v>
      </c>
      <c r="F6" s="309">
        <f ca="1">INDIRECT("'数据-取费表'!u"&amp;$G$1)</f>
        <v>3.66</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3051" t="s">
        <v>1371</v>
      </c>
      <c r="F7" s="309">
        <f ca="1">IF(INDIRECT("'数据-取费表'!ah"&amp;$G$1)="",INDIRECT("'数据-取费表'!k"&amp;$G$1),INDIRECT("'数据-取费表'!ah"&amp;$G$1))</f>
        <v>31986.760000000002</v>
      </c>
      <c r="G7" s="1569"/>
      <c r="H7" s="310"/>
      <c r="I7" s="3312"/>
      <c r="J7" s="312"/>
      <c r="K7" s="313"/>
      <c r="L7" s="308" t="s">
        <v>1371</v>
      </c>
      <c r="M7" s="309">
        <f ca="1">F7</f>
        <v>31986.760000000002</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5</v>
      </c>
      <c r="D10" s="1551" t="s">
        <v>2856</v>
      </c>
      <c r="E10" s="319" t="s">
        <v>1375</v>
      </c>
      <c r="F10" s="1276" t="s">
        <v>3118</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18622</v>
      </c>
      <c r="D13" s="3045" t="s">
        <v>1380</v>
      </c>
      <c r="E13" s="3045" t="s">
        <v>1381</v>
      </c>
      <c r="F13" s="1242">
        <f ca="1">INDIRECT("'数据-取费表'!y"&amp;$G$1)</f>
        <v>0.97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12795</v>
      </c>
      <c r="D14" s="3061" t="s">
        <v>1383</v>
      </c>
      <c r="E14" s="3060"/>
      <c r="F14" s="325"/>
      <c r="G14" s="1569"/>
      <c r="H14" s="1113" t="s">
        <v>1003</v>
      </c>
      <c r="I14" s="308" t="s">
        <v>1384</v>
      </c>
      <c r="J14" s="24">
        <f ca="1">C29</f>
        <v>19198</v>
      </c>
      <c r="K14" s="3049"/>
      <c r="L14" s="916"/>
      <c r="M14" s="917"/>
    </row>
    <row r="15" spans="1:37" s="1582" customFormat="1" ht="18" customHeight="1" thickBot="1">
      <c r="A15" s="1113" t="s">
        <v>1004</v>
      </c>
      <c r="B15" s="308" t="s">
        <v>1385</v>
      </c>
      <c r="C15" s="24">
        <f ca="1">ROUND(C14*F15,0)</f>
        <v>384</v>
      </c>
      <c r="D15" s="3046" t="s">
        <v>1386</v>
      </c>
      <c r="E15" s="304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449</v>
      </c>
      <c r="K16" s="1247" t="s">
        <v>1390</v>
      </c>
      <c r="L16" s="3065"/>
      <c r="M16" s="1204"/>
    </row>
    <row r="17" spans="1:37" s="1582" customFormat="1" ht="18" customHeight="1">
      <c r="A17" s="1113" t="s">
        <v>1355</v>
      </c>
      <c r="B17" s="308" t="s">
        <v>1391</v>
      </c>
      <c r="C17" s="24">
        <f ca="1">ROUND(F17*(F43+INDIRECT("'数据-取费表'!S"&amp;$G$1))/10000,0)</f>
        <v>640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161</v>
      </c>
      <c r="K17" s="3061" t="s">
        <v>1395</v>
      </c>
      <c r="L17" s="3064"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192</v>
      </c>
      <c r="D18" s="308" t="s">
        <v>1386</v>
      </c>
      <c r="E18" s="308" t="s">
        <v>1387</v>
      </c>
      <c r="F18" s="328">
        <f>'数据-取费表'!B36</f>
        <v>1.4999999999999999E-2</v>
      </c>
      <c r="G18" s="1581"/>
      <c r="H18" s="1113" t="s">
        <v>1002</v>
      </c>
      <c r="I18" s="308" t="s">
        <v>1398</v>
      </c>
      <c r="J18" s="24">
        <f ca="1">ROUND(J6*M18/(1+'数据-取费表'!C42),2)</f>
        <v>0</v>
      </c>
      <c r="K18" s="3064"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14011</v>
      </c>
      <c r="D19" s="136" t="s">
        <v>1401</v>
      </c>
      <c r="E19" s="3068"/>
      <c r="F19" s="26"/>
      <c r="G19" s="1569"/>
      <c r="H19" s="1113" t="s">
        <v>1004</v>
      </c>
      <c r="I19" s="308" t="s">
        <v>1402</v>
      </c>
      <c r="J19" s="24">
        <f ca="1">IF(K19="按租金收入计税",ROUND(J6*M19/(1+'数据-取费表'!C42),2),ROUND(C29*M19*0.7,2))</f>
        <v>161.26</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280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9"/>
      <c r="H22" s="1113" t="s">
        <v>1007</v>
      </c>
      <c r="I22" s="308" t="s">
        <v>1414</v>
      </c>
      <c r="J22" s="24">
        <f ca="1">ROUND(J14*M22,1)</f>
        <v>288</v>
      </c>
      <c r="K22" s="3064"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550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64"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68"/>
      <c r="F25" s="26"/>
      <c r="G25" s="1569"/>
      <c r="H25" s="1239" t="s">
        <v>999</v>
      </c>
      <c r="I25" s="1254" t="s">
        <v>1428</v>
      </c>
      <c r="J25" s="316">
        <f ca="1">J5-J16</f>
        <v>-449</v>
      </c>
      <c r="K25" s="1255" t="s">
        <v>1429</v>
      </c>
      <c r="L25" s="1256"/>
      <c r="M25" s="1257"/>
    </row>
    <row r="26" spans="1:37">
      <c r="A26" s="1113" t="s">
        <v>1002</v>
      </c>
      <c r="B26" s="308" t="s">
        <v>1430</v>
      </c>
      <c r="C26" s="24">
        <f ca="1">ROUND((C19+C20)*F26,0)</f>
        <v>2858</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04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19198</v>
      </c>
      <c r="D29" s="1252"/>
      <c r="E29" s="1250"/>
      <c r="F29" s="1253"/>
      <c r="G29" s="1581"/>
      <c r="H29" s="340" t="s">
        <v>1001</v>
      </c>
      <c r="I29" s="341" t="s">
        <v>1444</v>
      </c>
      <c r="J29" s="342">
        <f ca="1">ROUND(J26/(1+F40)^F41,0)</f>
        <v>0</v>
      </c>
      <c r="K29" s="343" t="s">
        <v>1445</v>
      </c>
      <c r="L29" s="344"/>
      <c r="M29" s="345">
        <f ca="1">INDIRECT("'数据-取费表'!k"&amp;$G$1)</f>
        <v>31986.760000000002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1038</v>
      </c>
      <c r="D30" s="1247" t="s">
        <v>1390</v>
      </c>
      <c r="E30" s="3065"/>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645</v>
      </c>
      <c r="D31" s="3061" t="s">
        <v>1395</v>
      </c>
      <c r="E31" s="3064"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205.12</v>
      </c>
      <c r="D32" s="3064"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439.54</v>
      </c>
      <c r="D33" s="1555" t="s">
        <v>3119</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288</v>
      </c>
      <c r="D36" s="3064"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27.9</v>
      </c>
      <c r="D37" s="3064" t="s">
        <v>1419</v>
      </c>
      <c r="E37" s="308" t="s">
        <v>1387</v>
      </c>
      <c r="F37" s="336">
        <f ca="1">INDIRECT("'数据-取费表'!Al"&amp;$G$1)</f>
        <v>1.5E-3</v>
      </c>
      <c r="G37" s="1569"/>
      <c r="H37" s="2930"/>
      <c r="I37" s="1583"/>
      <c r="J37" s="1584"/>
      <c r="K37" s="2771"/>
      <c r="L37" s="2930"/>
      <c r="M37" s="2930"/>
    </row>
    <row r="38" spans="1:18" ht="18" customHeight="1" thickBot="1">
      <c r="A38" s="1249" t="s">
        <v>1357</v>
      </c>
      <c r="B38" s="1250" t="s">
        <v>1404</v>
      </c>
      <c r="C38" s="1251">
        <f ca="1">ROUND(C5*F38,1)</f>
        <v>77</v>
      </c>
      <c r="D38" s="1252" t="s">
        <v>1424</v>
      </c>
      <c r="E38" s="1250" t="s">
        <v>1387</v>
      </c>
      <c r="F38" s="1246">
        <f ca="1">INDIRECT("'数据-取费表'!Am"&amp;$G$1)</f>
        <v>0.02</v>
      </c>
      <c r="G38" s="1569"/>
      <c r="H38" s="2930"/>
      <c r="I38" s="1583"/>
      <c r="J38" s="1584"/>
      <c r="K38" s="2934"/>
      <c r="L38" s="2930"/>
      <c r="M38" s="2930"/>
    </row>
    <row r="39" spans="1:18" ht="24.6" customHeight="1" thickTop="1">
      <c r="A39" s="1239" t="s">
        <v>999</v>
      </c>
      <c r="B39" s="1254" t="s">
        <v>1428</v>
      </c>
      <c r="C39" s="316">
        <f ca="1">C5-C30</f>
        <v>2813</v>
      </c>
      <c r="D39" s="1255" t="s">
        <v>1429</v>
      </c>
      <c r="E39" s="1256"/>
      <c r="F39" s="1257"/>
      <c r="G39" s="1569"/>
      <c r="H39" s="2930"/>
      <c r="I39" s="1583"/>
      <c r="J39" s="1584"/>
      <c r="K39" s="2934"/>
      <c r="L39" s="2930"/>
      <c r="M39" s="2930"/>
    </row>
    <row r="40" spans="1:18" ht="18" customHeight="1">
      <c r="A40" s="305" t="s">
        <v>1000</v>
      </c>
      <c r="B40" s="306" t="s">
        <v>1450</v>
      </c>
      <c r="C40" s="307">
        <f ca="1">ROUND(C39*(1-((1+F42)/(1+F40))^F41)/(F40-F42),0)</f>
        <v>53980</v>
      </c>
      <c r="D40" s="330" t="s">
        <v>1434</v>
      </c>
      <c r="E40" s="308" t="s">
        <v>1435</v>
      </c>
      <c r="F40" s="318">
        <f ca="1">INDIRECT("'数据-取费表'!I"&amp;$G$1)</f>
        <v>0.06</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29.86</v>
      </c>
      <c r="G41" s="1569"/>
      <c r="H41" s="1353"/>
      <c r="I41" s="1583"/>
      <c r="J41" s="1584"/>
      <c r="K41" s="2771"/>
      <c r="L41" s="1353"/>
      <c r="M41" s="1353"/>
    </row>
    <row r="42" spans="1:18" ht="18" customHeight="1">
      <c r="A42" s="314"/>
      <c r="B42" s="315"/>
      <c r="C42" s="316"/>
      <c r="D42" s="333"/>
      <c r="E42" s="308" t="s">
        <v>1442</v>
      </c>
      <c r="F42" s="318">
        <f ca="1">INDIRECT("'数据-取费表'!v"&amp;$G$1)</f>
        <v>0.03</v>
      </c>
      <c r="G42" s="1569"/>
      <c r="H42" s="1353"/>
      <c r="I42" s="1583"/>
      <c r="J42" s="1584"/>
      <c r="K42" s="2771"/>
      <c r="L42" s="1353"/>
      <c r="M42" s="1353"/>
    </row>
    <row r="43" spans="1:18" ht="18" customHeight="1" thickBot="1">
      <c r="A43" s="340" t="s">
        <v>1001</v>
      </c>
      <c r="B43" s="341" t="s">
        <v>1452</v>
      </c>
      <c r="C43" s="342">
        <f ca="1">ROUND(C40*10000/F43,0)</f>
        <v>16876</v>
      </c>
      <c r="D43" s="343" t="s">
        <v>1453</v>
      </c>
      <c r="E43" s="344" t="s">
        <v>1454</v>
      </c>
      <c r="F43" s="345">
        <f ca="1">INDIRECT("'数据-取费表'!k"&amp;$G$1)</f>
        <v>31986.760000000002</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-80487</v>
      </c>
      <c r="D46" s="1591" t="str">
        <f>C2</f>
        <v>万元</v>
      </c>
      <c r="E46" s="1585"/>
      <c r="F46" s="1585"/>
      <c r="I46" s="1592" t="s">
        <v>1486</v>
      </c>
      <c r="J46" s="1593"/>
      <c r="K46" s="1594"/>
      <c r="L46" s="1595">
        <f ca="1">IF(M47="住宅",0,IF(L48&gt;J51,L60,J60))</f>
        <v>687</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3115</v>
      </c>
      <c r="K47" s="1601" t="s">
        <v>1492</v>
      </c>
      <c r="L47" s="1602">
        <f ca="1">INDIRECT("'数据-取费表'!d"&amp;$G$1)</f>
        <v>40</v>
      </c>
      <c r="M47" s="1565" t="str">
        <f>IF(ISNUMBER(FIND("住宅",C1)),"住宅","非住宅")</f>
        <v>非住宅</v>
      </c>
      <c r="O47" s="1603" t="s">
        <v>1008</v>
      </c>
      <c r="P47" s="1604" t="s">
        <v>1493</v>
      </c>
      <c r="Q47" s="1605">
        <f ca="1">C40+J29</f>
        <v>53980</v>
      </c>
      <c r="R47" s="1605" t="s">
        <v>1494</v>
      </c>
    </row>
    <row r="48" spans="1:18" s="1569" customFormat="1" ht="28.5" thickBot="1">
      <c r="A48" s="1270" t="s">
        <v>1103</v>
      </c>
      <c r="B48" s="306" t="s">
        <v>1366</v>
      </c>
      <c r="C48" s="3067">
        <f ca="1">C49+C53+C55</f>
        <v>0</v>
      </c>
      <c r="D48" s="1272"/>
      <c r="E48" s="1273"/>
      <c r="F48" s="1093"/>
      <c r="G48" s="731"/>
      <c r="H48" s="732"/>
      <c r="I48" s="1606" t="s">
        <v>1495</v>
      </c>
      <c r="J48" s="1607" t="s">
        <v>3116</v>
      </c>
      <c r="K48" s="1608" t="s">
        <v>1496</v>
      </c>
      <c r="L48" s="1609">
        <f ca="1">INDIRECT("'数据-取费表'!f"&amp;$G$1)</f>
        <v>29.86</v>
      </c>
      <c r="O48" s="1603" t="s">
        <v>1009</v>
      </c>
      <c r="P48" s="1604" t="s">
        <v>1497</v>
      </c>
      <c r="Q48" s="1605">
        <f ca="1">J60</f>
        <v>687</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2019</v>
      </c>
      <c r="K49" s="1608" t="s">
        <v>1500</v>
      </c>
      <c r="L49" s="1612"/>
      <c r="O49" s="1613" t="s">
        <v>1010</v>
      </c>
      <c r="P49" s="1604" t="s">
        <v>1501</v>
      </c>
      <c r="Q49" s="1605">
        <f ca="1">C29</f>
        <v>19198</v>
      </c>
      <c r="R49" s="1605" t="s">
        <v>1494</v>
      </c>
    </row>
    <row r="50" spans="1:18" s="1569" customFormat="1" ht="13.5" thickBot="1">
      <c r="A50" s="1107"/>
      <c r="B50" s="1110"/>
      <c r="C50" s="1278"/>
      <c r="D50" s="1084"/>
      <c r="E50" s="1187" t="s">
        <v>1371</v>
      </c>
      <c r="F50" s="1188">
        <f ca="1">F7</f>
        <v>31986.760000000002</v>
      </c>
      <c r="H50" s="732"/>
      <c r="I50" s="1606" t="s">
        <v>1502</v>
      </c>
      <c r="J50" s="1614">
        <f>SUMPRODUCT((I63:I65=J47)*(J62:L62=J48)*(J63:L65))</f>
        <v>60</v>
      </c>
      <c r="K50" s="1608" t="s">
        <v>1503</v>
      </c>
      <c r="L50" s="1612"/>
      <c r="M50" s="1615"/>
      <c r="O50" s="1613" t="s">
        <v>1011</v>
      </c>
      <c r="P50" s="1604" t="s">
        <v>1504</v>
      </c>
      <c r="Q50" s="1616">
        <f ca="1">J58</f>
        <v>0.46899999999999997</v>
      </c>
      <c r="R50" s="1605"/>
    </row>
    <row r="51" spans="1:18" s="1569" customFormat="1" ht="13.5" thickBot="1">
      <c r="A51" s="1108"/>
      <c r="B51" s="1110"/>
      <c r="C51" s="1111"/>
      <c r="D51" s="1084"/>
      <c r="E51" s="1112" t="s">
        <v>1372</v>
      </c>
      <c r="F51" s="309">
        <f ca="1">F8</f>
        <v>365</v>
      </c>
      <c r="I51" s="1617" t="s">
        <v>1505</v>
      </c>
      <c r="J51" s="1618">
        <f>IF(J49="",J50,J49+J50-YEAR('数据-取费表'!B2))</f>
        <v>58</v>
      </c>
      <c r="K51" s="1619" t="s">
        <v>1506</v>
      </c>
      <c r="L51" s="1620">
        <f ca="1">ROUND(-PV(INDIRECT("'数据-取费表'!h"&amp;$G$1),J51,(C39-C13*C76),0),0)</f>
        <v>21364</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29.86</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29.86</v>
      </c>
      <c r="K53" s="3309" t="s">
        <v>1513</v>
      </c>
      <c r="L53" s="3310"/>
      <c r="O53" s="1603" t="s">
        <v>1014</v>
      </c>
      <c r="P53" s="1604" t="s">
        <v>1514</v>
      </c>
      <c r="Q53" s="1605">
        <f ca="1">Q47+Q48</f>
        <v>54667</v>
      </c>
      <c r="R53" s="1605" t="s">
        <v>1015</v>
      </c>
    </row>
    <row r="54" spans="1:18" s="1569" customFormat="1" ht="13.5" thickBot="1">
      <c r="A54" s="1315"/>
      <c r="B54" s="1552" t="s">
        <v>1353</v>
      </c>
      <c r="C54" s="1090"/>
      <c r="D54" s="1551"/>
      <c r="E54" s="3053"/>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53"/>
      <c r="F55" s="1625"/>
      <c r="I55" s="1628" t="s">
        <v>1516</v>
      </c>
      <c r="J55" s="1629">
        <f ca="1">ROUND(IF(J47="钢混",J57/J50,1-(1-2%)*(J50-J57)/J50),3)</f>
        <v>0.46899999999999997</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18622</v>
      </c>
      <c r="D56" s="1632"/>
      <c r="E56" s="1633"/>
      <c r="F56" s="1625"/>
      <c r="I56" s="1634" t="s">
        <v>1519</v>
      </c>
      <c r="J56" s="1635" t="s">
        <v>3117</v>
      </c>
      <c r="K56" s="1606" t="s">
        <v>1520</v>
      </c>
      <c r="L56" s="1609" t="str">
        <f ca="1">IF(L48&lt;J51,"——",L48-J53)</f>
        <v>——</v>
      </c>
      <c r="O56" s="1603" t="s">
        <v>1008</v>
      </c>
      <c r="P56" s="1604" t="s">
        <v>1493</v>
      </c>
      <c r="Q56" s="1605">
        <f ca="1">C40+J29</f>
        <v>53980</v>
      </c>
      <c r="R56" s="1605" t="s">
        <v>1494</v>
      </c>
    </row>
    <row r="57" spans="1:18" s="1569" customFormat="1" ht="24.75" thickBot="1">
      <c r="A57" s="1636"/>
      <c r="B57" s="1081" t="s">
        <v>1443</v>
      </c>
      <c r="C57" s="244">
        <f ca="1">C29</f>
        <v>19198</v>
      </c>
      <c r="D57" s="1637"/>
      <c r="E57" s="1638"/>
      <c r="F57" s="1639"/>
      <c r="I57" s="1640" t="s">
        <v>1521</v>
      </c>
      <c r="J57" s="1641">
        <f ca="1">IF(OR(M47="住宅",J51&lt;L48,J56="是"),"——",J51-L48)</f>
        <v>28.14</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1929</v>
      </c>
      <c r="D58" s="1091" t="s">
        <v>1390</v>
      </c>
      <c r="E58" s="1092"/>
      <c r="F58" s="1093"/>
      <c r="I58" s="1640" t="s">
        <v>1525</v>
      </c>
      <c r="J58" s="1642">
        <f ca="1">IF(J55&lt;0.4,0.4,J55)</f>
        <v>0.46899999999999997</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1613</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9004</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687</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1612.63</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53980</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288</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27.9</v>
      </c>
      <c r="D65" s="1095" t="s">
        <v>1419</v>
      </c>
      <c r="E65" s="1081" t="s">
        <v>1387</v>
      </c>
      <c r="F65" s="336">
        <f t="shared" ca="1" si="0"/>
        <v>1.5E-3</v>
      </c>
      <c r="I65" s="1647" t="s">
        <v>1544</v>
      </c>
      <c r="J65" s="1648">
        <v>40</v>
      </c>
      <c r="K65" s="1648">
        <v>30</v>
      </c>
      <c r="L65" s="1648">
        <v>50</v>
      </c>
      <c r="M65" s="1650">
        <v>0.02</v>
      </c>
      <c r="O65" s="1603" t="s">
        <v>1008</v>
      </c>
      <c r="P65" s="1604" t="s">
        <v>1493</v>
      </c>
      <c r="Q65" s="1605">
        <f ca="1">C40+J29</f>
        <v>53980</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-1929</v>
      </c>
      <c r="D67" s="1094" t="s">
        <v>1429</v>
      </c>
      <c r="E67" s="1099"/>
      <c r="F67" s="1100"/>
      <c r="O67" s="1613" t="s">
        <v>1010</v>
      </c>
      <c r="P67" s="1604" t="s">
        <v>1527</v>
      </c>
      <c r="Q67" s="1651">
        <f ca="1">L51</f>
        <v>21364</v>
      </c>
      <c r="R67" s="1605" t="s">
        <v>1547</v>
      </c>
    </row>
    <row r="68" spans="1:18" s="1569" customFormat="1" ht="16.5" thickBot="1">
      <c r="A68" s="1078" t="s">
        <v>1000</v>
      </c>
      <c r="B68" s="1079" t="s">
        <v>1450</v>
      </c>
      <c r="C68" s="307">
        <f ca="1">ROUND(C67*(1-((1+F70)/(1+F68))^F69)/(F68-F70),0)</f>
        <v>-26507</v>
      </c>
      <c r="D68" s="1096" t="s">
        <v>1434</v>
      </c>
      <c r="E68" s="1081" t="s">
        <v>1435</v>
      </c>
      <c r="F68" s="318">
        <f ca="1">F40</f>
        <v>0.06</v>
      </c>
      <c r="O68" s="1613" t="s">
        <v>1011</v>
      </c>
      <c r="P68" s="1652" t="s">
        <v>1548</v>
      </c>
      <c r="Q68" s="1605">
        <f ca="1">ROUND(Q69-Q70*Q71,0)</f>
        <v>1230</v>
      </c>
      <c r="R68" s="1605" t="s">
        <v>1019</v>
      </c>
    </row>
    <row r="69" spans="1:18" s="1569" customFormat="1" ht="13.5" thickBot="1">
      <c r="A69" s="1082"/>
      <c r="B69" s="1083"/>
      <c r="C69" s="312"/>
      <c r="D69" s="1101" t="s">
        <v>1438</v>
      </c>
      <c r="E69" s="1081" t="s">
        <v>1439</v>
      </c>
      <c r="F69" s="339">
        <f ca="1">F41</f>
        <v>29.86</v>
      </c>
      <c r="O69" s="1613" t="s">
        <v>1016</v>
      </c>
      <c r="P69" s="1652" t="s">
        <v>1549</v>
      </c>
      <c r="Q69" s="1605">
        <f ca="1">C39</f>
        <v>2813</v>
      </c>
      <c r="R69" s="1605" t="s">
        <v>1494</v>
      </c>
    </row>
    <row r="70" spans="1:18" s="1569" customFormat="1" ht="13.5" thickBot="1">
      <c r="A70" s="1085"/>
      <c r="B70" s="1086"/>
      <c r="C70" s="316"/>
      <c r="D70" s="1097"/>
      <c r="E70" s="1081" t="s">
        <v>1442</v>
      </c>
      <c r="F70" s="1185"/>
      <c r="O70" s="1613" t="s">
        <v>1017</v>
      </c>
      <c r="P70" s="1652" t="s">
        <v>1550</v>
      </c>
      <c r="Q70" s="1605">
        <f ca="1">C13</f>
        <v>18622</v>
      </c>
      <c r="R70" s="1605" t="s">
        <v>1494</v>
      </c>
    </row>
    <row r="71" spans="1:18" s="1569" customFormat="1" ht="13.5" thickBot="1">
      <c r="A71" s="1102" t="s">
        <v>1001</v>
      </c>
      <c r="B71" s="1103" t="s">
        <v>1452</v>
      </c>
      <c r="C71" s="342">
        <f ca="1">ROUND(C68*10000/F71,0)</f>
        <v>-8287</v>
      </c>
      <c r="D71" s="1104" t="s">
        <v>1453</v>
      </c>
      <c r="E71" s="1105" t="s">
        <v>1454</v>
      </c>
      <c r="F71" s="345">
        <f ca="1">F43</f>
        <v>31986.760000000002</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1583</v>
      </c>
      <c r="D75" s="1569"/>
      <c r="E75" s="1569"/>
      <c r="F75" s="1569"/>
      <c r="K75" s="1587"/>
      <c r="L75" s="1569"/>
      <c r="O75" s="1603" t="s">
        <v>1014</v>
      </c>
      <c r="P75" s="1604" t="s">
        <v>1514</v>
      </c>
      <c r="Q75" s="1605">
        <f ca="1">Q65+Q66</f>
        <v>53980</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0.43700000000000006</v>
      </c>
    </row>
    <row r="80" spans="1:18">
      <c r="B80" s="346" t="s">
        <v>1476</v>
      </c>
      <c r="C80" s="280">
        <f ca="1">ROUND(C75/C39,3)</f>
        <v>0.56299999999999994</v>
      </c>
    </row>
    <row r="81" spans="2:3">
      <c r="B81" s="276" t="s">
        <v>1477</v>
      </c>
      <c r="C81" s="244"/>
    </row>
    <row r="82" spans="2:3">
      <c r="B82" s="279" t="s">
        <v>1478</v>
      </c>
      <c r="C82" s="281">
        <f ca="1">1-C83</f>
        <v>0.65500000000000003</v>
      </c>
    </row>
    <row r="83" spans="2:3">
      <c r="B83" s="279" t="s">
        <v>1479</v>
      </c>
      <c r="C83" s="280">
        <f ca="1">ROUND(C13/C40,3)</f>
        <v>0.34499999999999997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t="s">
        <v>3113</v>
      </c>
      <c r="E1" s="2544"/>
      <c r="F1" s="2066" t="s">
        <v>3137</v>
      </c>
      <c r="G1" s="1403" t="s">
        <v>2353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1359</v>
      </c>
      <c r="B2" s="1326">
        <f>IF(C2="——",ROUND(C49*D3/10000,0),ROUND(C49*D3/10000,0)-D2)</f>
        <v>79967</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1360</v>
      </c>
      <c r="B3" s="566">
        <f>IF(C2="——",C49,ROUND(B2*10000/D3,0))</f>
        <v>25000</v>
      </c>
      <c r="C3" s="360" t="s">
        <v>2355</v>
      </c>
      <c r="D3" s="359">
        <f>IF(D1="",'数据-汇总表'!E3,SUMIF('数据-汇总表'!$C19:$C33,D1,'数据-汇总表'!$E19:$E33))</f>
        <v>31986.760000000002</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2356</v>
      </c>
      <c r="B4" s="362"/>
      <c r="C4" s="3355" t="s">
        <v>2357</v>
      </c>
      <c r="D4" s="3356"/>
      <c r="E4" s="3357" t="s">
        <v>2358</v>
      </c>
      <c r="F4" s="3358"/>
      <c r="G4" s="3355" t="s">
        <v>2359</v>
      </c>
      <c r="H4" s="3356"/>
      <c r="I4" s="3355" t="s">
        <v>2360</v>
      </c>
      <c r="J4" s="3356"/>
      <c r="K4" s="567" t="s">
        <v>2361</v>
      </c>
      <c r="L4" s="2945"/>
      <c r="M4" s="2946"/>
      <c r="N4" s="2946"/>
      <c r="O4" s="2946"/>
      <c r="P4" s="3359" t="s">
        <v>2362</v>
      </c>
      <c r="Q4" s="3360"/>
      <c r="R4" s="3342" t="s">
        <v>2358</v>
      </c>
      <c r="S4" s="3343"/>
      <c r="T4" s="3342" t="s">
        <v>2359</v>
      </c>
      <c r="U4" s="3343"/>
      <c r="V4" s="3367" t="s">
        <v>2360</v>
      </c>
      <c r="W4" s="3367"/>
      <c r="X4" s="3085"/>
      <c r="Y4" s="3342" t="s">
        <v>2362</v>
      </c>
      <c r="Z4" s="3343"/>
      <c r="AA4" s="3337" t="s">
        <v>2358</v>
      </c>
      <c r="AB4" s="3367" t="s">
        <v>2359</v>
      </c>
      <c r="AC4" s="3337" t="s">
        <v>2360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3085"/>
      <c r="Y5" s="3344"/>
      <c r="Z5" s="3345"/>
      <c r="AA5" s="3338"/>
      <c r="AB5" s="3367"/>
      <c r="AC5" s="3338"/>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3085"/>
      <c r="Y6" s="3365"/>
      <c r="Z6" s="3366"/>
      <c r="AA6" s="3339"/>
      <c r="AB6" s="3367"/>
      <c r="AC6" s="3339"/>
    </row>
    <row r="7" spans="1:29" s="113" customFormat="1" ht="15.75" thickBot="1">
      <c r="A7" s="368" t="s">
        <v>2369</v>
      </c>
      <c r="B7" s="369"/>
      <c r="C7" s="370">
        <f>'数据-取费表'!B2</f>
        <v>44256</v>
      </c>
      <c r="D7" s="371">
        <v>100</v>
      </c>
      <c r="E7" s="372">
        <v>44256</v>
      </c>
      <c r="F7" s="373">
        <f>SUMIF(58:58,YEAR(E7)&amp;"-"&amp;MONTH(E7),59:59)</f>
        <v>100</v>
      </c>
      <c r="G7" s="372">
        <v>44256</v>
      </c>
      <c r="H7" s="371">
        <f>SUMIF(58:58,YEAR(G7)&amp;"-"&amp;MONTH(G7),59:59)</f>
        <v>100</v>
      </c>
      <c r="I7" s="372">
        <v>44256</v>
      </c>
      <c r="J7" s="371">
        <f>SUMIF(58:58,YEAR(I7)&amp;"-"&amp;MONTH(I7),59:59)</f>
        <v>100</v>
      </c>
      <c r="K7" s="568"/>
      <c r="L7" s="2947"/>
      <c r="M7" s="2948"/>
      <c r="N7" s="2948"/>
      <c r="O7" s="2948"/>
      <c r="P7" s="3340" t="s">
        <v>2370</v>
      </c>
      <c r="Q7" s="3368"/>
      <c r="R7" s="710" t="s">
        <v>17</v>
      </c>
      <c r="S7" s="711">
        <f t="shared" ref="S7:S15" si="0">F7</f>
        <v>100</v>
      </c>
      <c r="T7" s="710" t="s">
        <v>17</v>
      </c>
      <c r="U7" s="711">
        <f t="shared" ref="U7:U15" si="1">H7</f>
        <v>100</v>
      </c>
      <c r="V7" s="710" t="s">
        <v>17</v>
      </c>
      <c r="W7" s="711">
        <f t="shared" ref="W7:W15" si="2">J7</f>
        <v>100</v>
      </c>
      <c r="X7" s="712"/>
      <c r="Y7" s="3340" t="s">
        <v>2370</v>
      </c>
      <c r="Z7" s="3341"/>
      <c r="AA7" s="713">
        <f>D7/F7</f>
        <v>1</v>
      </c>
      <c r="AB7" s="713">
        <f>D7/H7</f>
        <v>1</v>
      </c>
      <c r="AC7" s="713">
        <f>D7/J7</f>
        <v>1</v>
      </c>
    </row>
    <row r="8" spans="1:29" s="113" customFormat="1" ht="15.75" thickBot="1">
      <c r="A8" s="368" t="s">
        <v>2371</v>
      </c>
      <c r="B8" s="369"/>
      <c r="C8" s="374" t="s">
        <v>2408</v>
      </c>
      <c r="D8" s="371">
        <v>100</v>
      </c>
      <c r="E8" s="3090" t="s">
        <v>3133</v>
      </c>
      <c r="F8" s="373">
        <f>SUMIF(61:61,E8,62:62)-SUMIF(61:61,C8,62:62)+100</f>
        <v>100</v>
      </c>
      <c r="G8" s="3090" t="s">
        <v>3133</v>
      </c>
      <c r="H8" s="371">
        <f>SUMIF(61:61,G8,62:62)-SUMIF(61:61,C8,62:62)+100</f>
        <v>100</v>
      </c>
      <c r="I8" s="3090" t="s">
        <v>3133</v>
      </c>
      <c r="J8" s="371">
        <f>SUMIF(61:61,I8,62:62)-SUMIF(61:61,C8,62:62)+100</f>
        <v>100</v>
      </c>
      <c r="K8" s="568"/>
      <c r="L8" s="2947"/>
      <c r="M8" s="2948"/>
      <c r="N8" s="2948"/>
      <c r="O8" s="2948"/>
      <c r="P8" s="3340" t="s">
        <v>2373</v>
      </c>
      <c r="Q8" s="3341"/>
      <c r="R8" s="710" t="s">
        <v>17</v>
      </c>
      <c r="S8" s="711">
        <f t="shared" si="0"/>
        <v>100</v>
      </c>
      <c r="T8" s="710" t="s">
        <v>17</v>
      </c>
      <c r="U8" s="711">
        <f t="shared" si="1"/>
        <v>100</v>
      </c>
      <c r="V8" s="710" t="s">
        <v>17</v>
      </c>
      <c r="W8" s="711">
        <f t="shared" si="2"/>
        <v>100</v>
      </c>
      <c r="X8" s="712"/>
      <c r="Y8" s="3340" t="s">
        <v>2373</v>
      </c>
      <c r="Z8" s="3341"/>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4" t="s">
        <v>2376</v>
      </c>
      <c r="Q9" s="3081" t="str">
        <f t="shared" ref="Q9:Q15" si="6">B9</f>
        <v>用途</v>
      </c>
      <c r="R9" s="710" t="s">
        <v>17</v>
      </c>
      <c r="S9" s="711">
        <f t="shared" si="0"/>
        <v>100</v>
      </c>
      <c r="T9" s="710" t="s">
        <v>17</v>
      </c>
      <c r="U9" s="711">
        <f t="shared" si="1"/>
        <v>100</v>
      </c>
      <c r="V9" s="710" t="s">
        <v>17</v>
      </c>
      <c r="W9" s="711">
        <f t="shared" si="2"/>
        <v>100</v>
      </c>
      <c r="X9" s="712"/>
      <c r="Y9" s="3256" t="s">
        <v>2377</v>
      </c>
      <c r="Z9" s="3080"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4"/>
      <c r="Q10" s="3081" t="str">
        <f t="shared" si="6"/>
        <v>土地使用年限（年）</v>
      </c>
      <c r="R10" s="710" t="s">
        <v>17</v>
      </c>
      <c r="S10" s="711">
        <f t="shared" si="0"/>
        <v>100</v>
      </c>
      <c r="T10" s="710" t="s">
        <v>17</v>
      </c>
      <c r="U10" s="711">
        <f t="shared" si="1"/>
        <v>100</v>
      </c>
      <c r="V10" s="710" t="s">
        <v>17</v>
      </c>
      <c r="W10" s="711">
        <f t="shared" si="2"/>
        <v>100</v>
      </c>
      <c r="X10" s="712"/>
      <c r="Y10" s="3256"/>
      <c r="Z10" s="3080"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354"/>
      <c r="Q11" s="3081" t="str">
        <f t="shared" si="6"/>
        <v>容积率</v>
      </c>
      <c r="R11" s="710" t="s">
        <v>17</v>
      </c>
      <c r="S11" s="711">
        <f t="shared" si="0"/>
        <v>100</v>
      </c>
      <c r="T11" s="710" t="s">
        <v>17</v>
      </c>
      <c r="U11" s="711">
        <f t="shared" si="1"/>
        <v>100</v>
      </c>
      <c r="V11" s="710" t="s">
        <v>17</v>
      </c>
      <c r="W11" s="711">
        <f t="shared" si="2"/>
        <v>100</v>
      </c>
      <c r="X11" s="712"/>
      <c r="Y11" s="3256"/>
      <c r="Z11" s="3080" t="str">
        <f t="shared" si="7"/>
        <v>容积率</v>
      </c>
      <c r="AA11" s="713">
        <f t="shared" si="3"/>
        <v>1</v>
      </c>
      <c r="AB11" s="713">
        <f t="shared" si="4"/>
        <v>1</v>
      </c>
      <c r="AC11" s="713">
        <f t="shared" si="5"/>
        <v>1</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4"/>
      <c r="Q12" s="3081">
        <f t="shared" si="6"/>
        <v>111</v>
      </c>
      <c r="R12" s="710" t="s">
        <v>17</v>
      </c>
      <c r="S12" s="711">
        <f t="shared" si="0"/>
        <v>100</v>
      </c>
      <c r="T12" s="710" t="s">
        <v>17</v>
      </c>
      <c r="U12" s="711">
        <f t="shared" si="1"/>
        <v>100</v>
      </c>
      <c r="V12" s="710" t="s">
        <v>17</v>
      </c>
      <c r="W12" s="711">
        <f t="shared" si="2"/>
        <v>100</v>
      </c>
      <c r="X12" s="712"/>
      <c r="Y12" s="3256"/>
      <c r="Z12" s="3080">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4"/>
      <c r="Q13" s="3081">
        <f t="shared" si="6"/>
        <v>111</v>
      </c>
      <c r="R13" s="710" t="s">
        <v>17</v>
      </c>
      <c r="S13" s="711">
        <f t="shared" si="0"/>
        <v>100</v>
      </c>
      <c r="T13" s="710" t="s">
        <v>17</v>
      </c>
      <c r="U13" s="711">
        <f t="shared" si="1"/>
        <v>100</v>
      </c>
      <c r="V13" s="710" t="s">
        <v>17</v>
      </c>
      <c r="W13" s="711">
        <f t="shared" si="2"/>
        <v>100</v>
      </c>
      <c r="X13" s="712"/>
      <c r="Y13" s="3256"/>
      <c r="Z13" s="3080">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4"/>
      <c r="Q14" s="3081">
        <f t="shared" si="6"/>
        <v>111</v>
      </c>
      <c r="R14" s="710" t="s">
        <v>17</v>
      </c>
      <c r="S14" s="711">
        <f t="shared" si="0"/>
        <v>100</v>
      </c>
      <c r="T14" s="710" t="s">
        <v>17</v>
      </c>
      <c r="U14" s="711">
        <f t="shared" si="1"/>
        <v>100</v>
      </c>
      <c r="V14" s="710" t="s">
        <v>17</v>
      </c>
      <c r="W14" s="711">
        <f t="shared" si="2"/>
        <v>100</v>
      </c>
      <c r="X14" s="712"/>
      <c r="Y14" s="3256"/>
      <c r="Z14" s="3080">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81" t="s">
        <v>2381</v>
      </c>
      <c r="Q15" s="3083" t="str">
        <f t="shared" si="6"/>
        <v>商业繁华度</v>
      </c>
      <c r="R15" s="714" t="s">
        <v>17</v>
      </c>
      <c r="S15" s="715">
        <f t="shared" si="0"/>
        <v>100</v>
      </c>
      <c r="T15" s="714" t="s">
        <v>17</v>
      </c>
      <c r="U15" s="715">
        <f t="shared" si="1"/>
        <v>100</v>
      </c>
      <c r="V15" s="714" t="s">
        <v>17</v>
      </c>
      <c r="W15" s="715">
        <f t="shared" si="2"/>
        <v>100</v>
      </c>
      <c r="X15" s="3085"/>
      <c r="Y15" s="3374" t="s">
        <v>2381</v>
      </c>
      <c r="Z15" s="3086" t="str">
        <f t="shared" si="7"/>
        <v>商业繁华度</v>
      </c>
      <c r="AA15" s="3084">
        <f t="shared" si="3"/>
        <v>1</v>
      </c>
      <c r="AB15" s="3084">
        <f t="shared" si="4"/>
        <v>1</v>
      </c>
      <c r="AC15" s="3084">
        <f t="shared" si="5"/>
        <v>1</v>
      </c>
    </row>
    <row r="16" spans="1:29" ht="15">
      <c r="A16" s="387"/>
      <c r="B16" s="405"/>
      <c r="C16" s="406"/>
      <c r="D16" s="407"/>
      <c r="E16" s="406"/>
      <c r="F16" s="408"/>
      <c r="G16" s="406"/>
      <c r="H16" s="409"/>
      <c r="I16" s="406"/>
      <c r="J16" s="407"/>
      <c r="K16" s="572"/>
      <c r="L16" s="2952"/>
      <c r="M16" s="2946"/>
      <c r="N16" s="2946"/>
      <c r="O16" s="2946"/>
      <c r="P16" s="3382"/>
      <c r="Q16" s="3083"/>
      <c r="R16" s="714"/>
      <c r="S16" s="715"/>
      <c r="T16" s="714"/>
      <c r="U16" s="715"/>
      <c r="V16" s="714"/>
      <c r="W16" s="715"/>
      <c r="X16" s="3085"/>
      <c r="Y16" s="3375"/>
      <c r="Z16" s="3086"/>
      <c r="AA16" s="3084">
        <v>1</v>
      </c>
      <c r="AB16" s="3084">
        <v>1</v>
      </c>
      <c r="AC16" s="3084">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82"/>
      <c r="Q17" s="3083" t="str">
        <f>B17</f>
        <v>交通便捷度</v>
      </c>
      <c r="R17" s="714" t="s">
        <v>17</v>
      </c>
      <c r="S17" s="715">
        <f>F17</f>
        <v>100</v>
      </c>
      <c r="T17" s="714" t="s">
        <v>17</v>
      </c>
      <c r="U17" s="715">
        <f>H17</f>
        <v>100</v>
      </c>
      <c r="V17" s="714" t="s">
        <v>17</v>
      </c>
      <c r="W17" s="715">
        <f>J17</f>
        <v>100</v>
      </c>
      <c r="X17" s="3085"/>
      <c r="Y17" s="3375"/>
      <c r="Z17" s="3086" t="str">
        <f>Q17</f>
        <v>交通便捷度</v>
      </c>
      <c r="AA17" s="3084">
        <f t="shared" si="3"/>
        <v>1</v>
      </c>
      <c r="AB17" s="3084">
        <f t="shared" si="4"/>
        <v>1</v>
      </c>
      <c r="AC17" s="3084">
        <f t="shared" si="5"/>
        <v>1</v>
      </c>
    </row>
    <row r="18" spans="1:29" ht="15">
      <c r="A18" s="387"/>
      <c r="B18" s="415"/>
      <c r="C18" s="2088"/>
      <c r="D18" s="409"/>
      <c r="E18" s="2090"/>
      <c r="F18" s="412"/>
      <c r="G18" s="2089"/>
      <c r="H18" s="407"/>
      <c r="I18" s="2090"/>
      <c r="J18" s="407"/>
      <c r="K18" s="572"/>
      <c r="L18" s="2952"/>
      <c r="M18" s="2946"/>
      <c r="N18" s="2946"/>
      <c r="O18" s="2946"/>
      <c r="P18" s="3382"/>
      <c r="Q18" s="3083"/>
      <c r="R18" s="714"/>
      <c r="S18" s="715"/>
      <c r="T18" s="714"/>
      <c r="U18" s="715"/>
      <c r="V18" s="714"/>
      <c r="W18" s="715"/>
      <c r="X18" s="3085"/>
      <c r="Y18" s="3375"/>
      <c r="Z18" s="3086"/>
      <c r="AA18" s="3084">
        <v>1</v>
      </c>
      <c r="AB18" s="3084">
        <v>1</v>
      </c>
      <c r="AC18" s="3084">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82"/>
      <c r="Q19" s="3083" t="str">
        <f>B19</f>
        <v>公共配套设施</v>
      </c>
      <c r="R19" s="714" t="s">
        <v>17</v>
      </c>
      <c r="S19" s="715">
        <f>F19</f>
        <v>100</v>
      </c>
      <c r="T19" s="714" t="s">
        <v>17</v>
      </c>
      <c r="U19" s="715">
        <f>H19</f>
        <v>100</v>
      </c>
      <c r="V19" s="714" t="s">
        <v>17</v>
      </c>
      <c r="W19" s="715">
        <f>J19</f>
        <v>100</v>
      </c>
      <c r="X19" s="3085"/>
      <c r="Y19" s="3375"/>
      <c r="Z19" s="3086" t="str">
        <f>Q19</f>
        <v>公共配套设施</v>
      </c>
      <c r="AA19" s="3084">
        <f t="shared" si="3"/>
        <v>1</v>
      </c>
      <c r="AB19" s="3084">
        <f t="shared" si="4"/>
        <v>1</v>
      </c>
      <c r="AC19" s="3084">
        <f t="shared" si="5"/>
        <v>1</v>
      </c>
    </row>
    <row r="20" spans="1:29" ht="15">
      <c r="A20" s="387"/>
      <c r="B20" s="415"/>
      <c r="C20" s="406"/>
      <c r="D20" s="407"/>
      <c r="E20" s="2085"/>
      <c r="F20" s="408"/>
      <c r="G20" s="2084"/>
      <c r="H20" s="407"/>
      <c r="I20" s="2085"/>
      <c r="J20" s="407"/>
      <c r="K20" s="572"/>
      <c r="L20" s="2952"/>
      <c r="M20" s="2946"/>
      <c r="N20" s="2946"/>
      <c r="O20" s="2946"/>
      <c r="P20" s="3382"/>
      <c r="Q20" s="3083"/>
      <c r="R20" s="714"/>
      <c r="S20" s="715"/>
      <c r="T20" s="714"/>
      <c r="U20" s="715"/>
      <c r="V20" s="714"/>
      <c r="W20" s="715"/>
      <c r="X20" s="3085"/>
      <c r="Y20" s="3375"/>
      <c r="Z20" s="3086"/>
      <c r="AA20" s="3084">
        <v>1</v>
      </c>
      <c r="AB20" s="3084">
        <v>1</v>
      </c>
      <c r="AC20" s="3084">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82"/>
      <c r="Q21" s="3083" t="str">
        <f>B21</f>
        <v>基础设施水平</v>
      </c>
      <c r="R21" s="714" t="s">
        <v>17</v>
      </c>
      <c r="S21" s="715">
        <f>F21</f>
        <v>100</v>
      </c>
      <c r="T21" s="714" t="s">
        <v>17</v>
      </c>
      <c r="U21" s="715">
        <f>H21</f>
        <v>100</v>
      </c>
      <c r="V21" s="714" t="s">
        <v>17</v>
      </c>
      <c r="W21" s="715">
        <f>J21</f>
        <v>100</v>
      </c>
      <c r="X21" s="3085"/>
      <c r="Y21" s="3375"/>
      <c r="Z21" s="3086" t="str">
        <f>Q21</f>
        <v>基础设施水平</v>
      </c>
      <c r="AA21" s="3084">
        <f t="shared" ref="AA21" si="8">D21/F21</f>
        <v>1</v>
      </c>
      <c r="AB21" s="3084">
        <f t="shared" ref="AB21" si="9">D21/H21</f>
        <v>1</v>
      </c>
      <c r="AC21" s="3084">
        <f t="shared" ref="AC21" si="10">D21/J21</f>
        <v>1</v>
      </c>
    </row>
    <row r="22" spans="1:29" ht="15">
      <c r="A22" s="387"/>
      <c r="B22" s="1293"/>
      <c r="C22" s="2088"/>
      <c r="D22" s="407"/>
      <c r="E22" s="406"/>
      <c r="F22" s="408"/>
      <c r="G22" s="406"/>
      <c r="H22" s="407"/>
      <c r="I22" s="406"/>
      <c r="J22" s="407"/>
      <c r="K22" s="1292"/>
      <c r="L22" s="2952"/>
      <c r="M22" s="2946"/>
      <c r="N22" s="2946"/>
      <c r="O22" s="2946"/>
      <c r="P22" s="3382"/>
      <c r="Q22" s="3083"/>
      <c r="R22" s="714"/>
      <c r="S22" s="715"/>
      <c r="T22" s="714"/>
      <c r="U22" s="715"/>
      <c r="V22" s="714"/>
      <c r="W22" s="715"/>
      <c r="X22" s="3085"/>
      <c r="Y22" s="3375"/>
      <c r="Z22" s="3086"/>
      <c r="AA22" s="3084">
        <v>1</v>
      </c>
      <c r="AB22" s="3084">
        <v>1</v>
      </c>
      <c r="AC22" s="3084">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82"/>
      <c r="Q23" s="3083" t="str">
        <f>B23</f>
        <v>自然及人文环境</v>
      </c>
      <c r="R23" s="714" t="s">
        <v>17</v>
      </c>
      <c r="S23" s="715">
        <f>F23</f>
        <v>100</v>
      </c>
      <c r="T23" s="714" t="s">
        <v>17</v>
      </c>
      <c r="U23" s="715">
        <f>H23</f>
        <v>100</v>
      </c>
      <c r="V23" s="714" t="s">
        <v>17</v>
      </c>
      <c r="W23" s="715">
        <f>J23</f>
        <v>100</v>
      </c>
      <c r="X23" s="3085"/>
      <c r="Y23" s="3375"/>
      <c r="Z23" s="3086" t="str">
        <f>Q23</f>
        <v>自然及人文环境</v>
      </c>
      <c r="AA23" s="3084">
        <f t="shared" si="3"/>
        <v>1</v>
      </c>
      <c r="AB23" s="3084">
        <f t="shared" si="4"/>
        <v>1</v>
      </c>
      <c r="AC23" s="3084">
        <f t="shared" si="5"/>
        <v>1</v>
      </c>
    </row>
    <row r="24" spans="1:29" ht="15">
      <c r="A24" s="387"/>
      <c r="B24" s="415"/>
      <c r="C24" s="406"/>
      <c r="D24" s="407"/>
      <c r="E24" s="2085"/>
      <c r="F24" s="408"/>
      <c r="G24" s="2084"/>
      <c r="H24" s="407"/>
      <c r="I24" s="2085"/>
      <c r="J24" s="407"/>
      <c r="K24" s="572"/>
      <c r="L24" s="2952"/>
      <c r="M24" s="2946"/>
      <c r="N24" s="2946"/>
      <c r="O24" s="2946"/>
      <c r="P24" s="3382"/>
      <c r="Q24" s="3083"/>
      <c r="R24" s="714"/>
      <c r="S24" s="715"/>
      <c r="T24" s="714"/>
      <c r="U24" s="715"/>
      <c r="V24" s="714"/>
      <c r="W24" s="715"/>
      <c r="X24" s="3085"/>
      <c r="Y24" s="3375"/>
      <c r="Z24" s="3086"/>
      <c r="AA24" s="3084">
        <v>1</v>
      </c>
      <c r="AB24" s="3084">
        <v>1</v>
      </c>
      <c r="AC24" s="308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82"/>
      <c r="Q25" s="3083" t="str">
        <f t="shared" ref="Q25:Q46" si="11">B25</f>
        <v>临街状况</v>
      </c>
      <c r="R25" s="714" t="s">
        <v>17</v>
      </c>
      <c r="S25" s="715">
        <f>F25</f>
        <v>100</v>
      </c>
      <c r="T25" s="714" t="s">
        <v>17</v>
      </c>
      <c r="U25" s="715">
        <f>H25</f>
        <v>100</v>
      </c>
      <c r="V25" s="714" t="s">
        <v>17</v>
      </c>
      <c r="W25" s="715">
        <f>J25</f>
        <v>100</v>
      </c>
      <c r="X25" s="3085"/>
      <c r="Y25" s="3375"/>
      <c r="Z25" s="3086" t="str">
        <f>Q25</f>
        <v>临街状况</v>
      </c>
      <c r="AA25" s="3084">
        <f t="shared" si="3"/>
        <v>1</v>
      </c>
      <c r="AB25" s="3084">
        <f t="shared" si="4"/>
        <v>1</v>
      </c>
      <c r="AC25" s="3084">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82"/>
      <c r="Q26" s="3083" t="str">
        <f t="shared" si="11"/>
        <v>平面位置/可视性</v>
      </c>
      <c r="R26" s="714" t="s">
        <v>17</v>
      </c>
      <c r="S26" s="715">
        <f>F26</f>
        <v>100</v>
      </c>
      <c r="T26" s="714" t="s">
        <v>17</v>
      </c>
      <c r="U26" s="715">
        <f>H26</f>
        <v>100</v>
      </c>
      <c r="V26" s="714" t="s">
        <v>17</v>
      </c>
      <c r="W26" s="715">
        <f>J26</f>
        <v>100</v>
      </c>
      <c r="X26" s="3085"/>
      <c r="Y26" s="3375"/>
      <c r="Z26" s="3086" t="str">
        <f>Q26</f>
        <v>平面位置/可视性</v>
      </c>
      <c r="AA26" s="3084">
        <f t="shared" si="3"/>
        <v>1</v>
      </c>
      <c r="AB26" s="3084">
        <f t="shared" si="4"/>
        <v>1</v>
      </c>
      <c r="AC26" s="3084">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82"/>
      <c r="Q27" s="3081" t="str">
        <f t="shared" si="11"/>
        <v>人流量</v>
      </c>
      <c r="R27" s="710" t="s">
        <v>17</v>
      </c>
      <c r="S27" s="711">
        <f>F27</f>
        <v>100</v>
      </c>
      <c r="T27" s="710" t="s">
        <v>17</v>
      </c>
      <c r="U27" s="711">
        <f>H27</f>
        <v>100</v>
      </c>
      <c r="V27" s="710" t="s">
        <v>17</v>
      </c>
      <c r="W27" s="711">
        <f>J27</f>
        <v>100</v>
      </c>
      <c r="X27" s="712"/>
      <c r="Y27" s="3375"/>
      <c r="Z27" s="3080" t="str">
        <f>Q27</f>
        <v>人流量</v>
      </c>
      <c r="AA27" s="3084">
        <f>D27/F27</f>
        <v>1</v>
      </c>
      <c r="AB27" s="3084">
        <f>D27/H27</f>
        <v>1</v>
      </c>
      <c r="AC27" s="308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82"/>
      <c r="Q28" s="3083" t="str">
        <f t="shared" si="11"/>
        <v>楼层</v>
      </c>
      <c r="R28" s="714" t="s">
        <v>17</v>
      </c>
      <c r="S28" s="715">
        <f t="shared" ref="S28:S46" si="12">F28</f>
        <v>100</v>
      </c>
      <c r="T28" s="714" t="s">
        <v>17</v>
      </c>
      <c r="U28" s="715">
        <f t="shared" ref="U28:U46" si="13">H28</f>
        <v>100</v>
      </c>
      <c r="V28" s="714" t="s">
        <v>17</v>
      </c>
      <c r="W28" s="715">
        <f t="shared" ref="W28:W46" si="14">J28</f>
        <v>100</v>
      </c>
      <c r="X28" s="3085"/>
      <c r="Y28" s="3375"/>
      <c r="Z28" s="3086" t="str">
        <f t="shared" ref="Z28:Z46" si="15">Q28</f>
        <v>楼层</v>
      </c>
      <c r="AA28" s="3084">
        <f t="shared" si="3"/>
        <v>1</v>
      </c>
      <c r="AB28" s="3084">
        <f t="shared" si="4"/>
        <v>1</v>
      </c>
      <c r="AC28" s="308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82"/>
      <c r="Q29" s="3083">
        <f t="shared" si="11"/>
        <v>111</v>
      </c>
      <c r="R29" s="714" t="s">
        <v>17</v>
      </c>
      <c r="S29" s="715">
        <f t="shared" si="12"/>
        <v>100</v>
      </c>
      <c r="T29" s="714" t="s">
        <v>17</v>
      </c>
      <c r="U29" s="715">
        <f t="shared" si="13"/>
        <v>100</v>
      </c>
      <c r="V29" s="714" t="s">
        <v>17</v>
      </c>
      <c r="W29" s="715">
        <f t="shared" si="14"/>
        <v>100</v>
      </c>
      <c r="X29" s="3085"/>
      <c r="Y29" s="3375"/>
      <c r="Z29" s="3086">
        <f t="shared" si="15"/>
        <v>111</v>
      </c>
      <c r="AA29" s="3084">
        <f t="shared" si="3"/>
        <v>1</v>
      </c>
      <c r="AB29" s="3084">
        <f t="shared" si="4"/>
        <v>1</v>
      </c>
      <c r="AC29" s="308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82"/>
      <c r="Q30" s="3083">
        <f t="shared" si="11"/>
        <v>111</v>
      </c>
      <c r="R30" s="714" t="s">
        <v>17</v>
      </c>
      <c r="S30" s="715">
        <f t="shared" si="12"/>
        <v>100</v>
      </c>
      <c r="T30" s="714" t="s">
        <v>17</v>
      </c>
      <c r="U30" s="715">
        <f t="shared" si="13"/>
        <v>100</v>
      </c>
      <c r="V30" s="714" t="s">
        <v>17</v>
      </c>
      <c r="W30" s="715">
        <f t="shared" si="14"/>
        <v>100</v>
      </c>
      <c r="X30" s="3085"/>
      <c r="Y30" s="3375"/>
      <c r="Z30" s="3086">
        <f t="shared" si="15"/>
        <v>111</v>
      </c>
      <c r="AA30" s="3084">
        <f t="shared" si="3"/>
        <v>1</v>
      </c>
      <c r="AB30" s="3084">
        <f t="shared" si="4"/>
        <v>1</v>
      </c>
      <c r="AC30" s="308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82"/>
      <c r="Q31" s="3083">
        <f t="shared" si="11"/>
        <v>111</v>
      </c>
      <c r="R31" s="714" t="s">
        <v>17</v>
      </c>
      <c r="S31" s="715">
        <f t="shared" si="12"/>
        <v>100</v>
      </c>
      <c r="T31" s="714" t="s">
        <v>17</v>
      </c>
      <c r="U31" s="715">
        <f t="shared" si="13"/>
        <v>100</v>
      </c>
      <c r="V31" s="714" t="s">
        <v>17</v>
      </c>
      <c r="W31" s="715">
        <f t="shared" si="14"/>
        <v>100</v>
      </c>
      <c r="X31" s="3085"/>
      <c r="Y31" s="3375"/>
      <c r="Z31" s="3086">
        <f t="shared" si="15"/>
        <v>111</v>
      </c>
      <c r="AA31" s="3084">
        <f t="shared" si="3"/>
        <v>1</v>
      </c>
      <c r="AB31" s="3084">
        <f t="shared" si="4"/>
        <v>1</v>
      </c>
      <c r="AC31" s="3084">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76" t="s">
        <v>2386</v>
      </c>
      <c r="Q32" s="3083" t="str">
        <f t="shared" si="11"/>
        <v>商业类型</v>
      </c>
      <c r="R32" s="714" t="s">
        <v>17</v>
      </c>
      <c r="S32" s="715">
        <f t="shared" si="12"/>
        <v>100</v>
      </c>
      <c r="T32" s="714" t="s">
        <v>17</v>
      </c>
      <c r="U32" s="715">
        <f t="shared" si="13"/>
        <v>100</v>
      </c>
      <c r="V32" s="714" t="s">
        <v>17</v>
      </c>
      <c r="W32" s="715">
        <f t="shared" si="14"/>
        <v>100</v>
      </c>
      <c r="X32" s="3085"/>
      <c r="Y32" s="3379" t="s">
        <v>2386</v>
      </c>
      <c r="Z32" s="3086" t="str">
        <f t="shared" si="15"/>
        <v>商业类型</v>
      </c>
      <c r="AA32" s="3084">
        <f t="shared" si="3"/>
        <v>1</v>
      </c>
      <c r="AB32" s="3084">
        <f t="shared" si="4"/>
        <v>1</v>
      </c>
      <c r="AC32" s="3084">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377"/>
      <c r="Q33" s="716" t="str">
        <f t="shared" si="11"/>
        <v>项目建筑规模</v>
      </c>
      <c r="R33" s="717" t="s">
        <v>17</v>
      </c>
      <c r="S33" s="718">
        <f t="shared" si="12"/>
        <v>100</v>
      </c>
      <c r="T33" s="717" t="s">
        <v>17</v>
      </c>
      <c r="U33" s="718">
        <f t="shared" si="13"/>
        <v>100</v>
      </c>
      <c r="V33" s="717" t="s">
        <v>17</v>
      </c>
      <c r="W33" s="718">
        <f t="shared" si="14"/>
        <v>100</v>
      </c>
      <c r="X33" s="719"/>
      <c r="Y33" s="3379"/>
      <c r="Z33" s="720" t="str">
        <f t="shared" si="15"/>
        <v>项目建筑规模</v>
      </c>
      <c r="AA33" s="3084">
        <f t="shared" si="3"/>
        <v>1</v>
      </c>
      <c r="AB33" s="3084">
        <f t="shared" si="4"/>
        <v>1</v>
      </c>
      <c r="AC33" s="3084">
        <f t="shared" si="5"/>
        <v>1</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77"/>
      <c r="Q34" s="3083" t="str">
        <f t="shared" si="11"/>
        <v>建筑结构</v>
      </c>
      <c r="R34" s="714" t="s">
        <v>17</v>
      </c>
      <c r="S34" s="715">
        <f t="shared" si="12"/>
        <v>100</v>
      </c>
      <c r="T34" s="714" t="s">
        <v>17</v>
      </c>
      <c r="U34" s="715">
        <f t="shared" si="13"/>
        <v>100</v>
      </c>
      <c r="V34" s="714" t="s">
        <v>17</v>
      </c>
      <c r="W34" s="715">
        <f t="shared" si="14"/>
        <v>100</v>
      </c>
      <c r="X34" s="3085"/>
      <c r="Y34" s="3379"/>
      <c r="Z34" s="3086" t="str">
        <f t="shared" si="15"/>
        <v>建筑结构</v>
      </c>
      <c r="AA34" s="3084">
        <f t="shared" si="3"/>
        <v>1</v>
      </c>
      <c r="AB34" s="3084">
        <f t="shared" si="4"/>
        <v>1</v>
      </c>
      <c r="AC34" s="3084">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77"/>
      <c r="Q35" s="3083" t="str">
        <f t="shared" si="11"/>
        <v>公共部分装修</v>
      </c>
      <c r="R35" s="714" t="s">
        <v>17</v>
      </c>
      <c r="S35" s="715">
        <f t="shared" si="12"/>
        <v>100</v>
      </c>
      <c r="T35" s="714" t="s">
        <v>17</v>
      </c>
      <c r="U35" s="715">
        <f t="shared" si="13"/>
        <v>100</v>
      </c>
      <c r="V35" s="714" t="s">
        <v>17</v>
      </c>
      <c r="W35" s="715">
        <f t="shared" si="14"/>
        <v>100</v>
      </c>
      <c r="X35" s="3085"/>
      <c r="Y35" s="3379"/>
      <c r="Z35" s="3086" t="str">
        <f t="shared" si="15"/>
        <v>公共部分装修</v>
      </c>
      <c r="AA35" s="3084">
        <f t="shared" si="3"/>
        <v>1</v>
      </c>
      <c r="AB35" s="3084">
        <f t="shared" si="4"/>
        <v>1</v>
      </c>
      <c r="AC35" s="3084">
        <f t="shared" si="5"/>
        <v>1</v>
      </c>
    </row>
    <row r="36" spans="1:29" ht="15">
      <c r="A36" s="431"/>
      <c r="B36" s="381" t="s">
        <v>2483</v>
      </c>
      <c r="C36" s="433">
        <v>0.97</v>
      </c>
      <c r="D36" s="394">
        <v>100</v>
      </c>
      <c r="E36" s="433">
        <v>0.97</v>
      </c>
      <c r="F36" s="420">
        <f>LOOKUP(E36,110:110,111:111)-LOOKUP(C36,110:110,111:111)+100</f>
        <v>100</v>
      </c>
      <c r="G36" s="433">
        <v>0.97</v>
      </c>
      <c r="H36" s="420">
        <f>LOOKUP(G36,110:110,111:111)-LOOKUP(C36,110:110,111:111)+100</f>
        <v>100</v>
      </c>
      <c r="I36" s="433">
        <v>0.97</v>
      </c>
      <c r="J36" s="394">
        <f>LOOKUP(I36,110:110,111:111)-LOOKUP(C36,110:110,111:111)+100</f>
        <v>100</v>
      </c>
      <c r="K36" s="569"/>
      <c r="L36" s="2952"/>
      <c r="M36" s="2946"/>
      <c r="N36" s="2946"/>
      <c r="O36" s="2946"/>
      <c r="P36" s="3377"/>
      <c r="Q36" s="3083" t="str">
        <f t="shared" si="11"/>
        <v>成新度</v>
      </c>
      <c r="R36" s="714" t="s">
        <v>17</v>
      </c>
      <c r="S36" s="715">
        <f t="shared" si="12"/>
        <v>100</v>
      </c>
      <c r="T36" s="714" t="s">
        <v>17</v>
      </c>
      <c r="U36" s="715">
        <f t="shared" si="13"/>
        <v>100</v>
      </c>
      <c r="V36" s="714" t="s">
        <v>17</v>
      </c>
      <c r="W36" s="715">
        <f t="shared" si="14"/>
        <v>100</v>
      </c>
      <c r="X36" s="3085"/>
      <c r="Y36" s="3379"/>
      <c r="Z36" s="3086" t="str">
        <f t="shared" si="15"/>
        <v>成新度</v>
      </c>
      <c r="AA36" s="3084">
        <f t="shared" si="3"/>
        <v>1</v>
      </c>
      <c r="AB36" s="3084">
        <f t="shared" si="4"/>
        <v>1</v>
      </c>
      <c r="AC36" s="3084">
        <f t="shared" si="5"/>
        <v>1</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77"/>
      <c r="Q37" s="3081" t="str">
        <f t="shared" si="11"/>
        <v>市政基础设施</v>
      </c>
      <c r="R37" s="710" t="s">
        <v>17</v>
      </c>
      <c r="S37" s="711">
        <f t="shared" si="12"/>
        <v>100</v>
      </c>
      <c r="T37" s="710" t="s">
        <v>17</v>
      </c>
      <c r="U37" s="711">
        <f t="shared" si="13"/>
        <v>100</v>
      </c>
      <c r="V37" s="710" t="s">
        <v>17</v>
      </c>
      <c r="W37" s="711">
        <f t="shared" si="14"/>
        <v>100</v>
      </c>
      <c r="X37" s="712"/>
      <c r="Y37" s="3379"/>
      <c r="Z37" s="3080"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77" t="s">
        <v>2386</v>
      </c>
      <c r="Q38" s="3083" t="str">
        <f t="shared" si="11"/>
        <v>业态</v>
      </c>
      <c r="R38" s="714" t="s">
        <v>17</v>
      </c>
      <c r="S38" s="715">
        <f t="shared" si="12"/>
        <v>100</v>
      </c>
      <c r="T38" s="714" t="s">
        <v>17</v>
      </c>
      <c r="U38" s="715">
        <f t="shared" si="13"/>
        <v>100</v>
      </c>
      <c r="V38" s="714" t="s">
        <v>17</v>
      </c>
      <c r="W38" s="715">
        <f t="shared" si="14"/>
        <v>100</v>
      </c>
      <c r="X38" s="3085"/>
      <c r="Y38" s="3379" t="s">
        <v>2386</v>
      </c>
      <c r="Z38" s="3086" t="str">
        <f t="shared" si="15"/>
        <v>业态</v>
      </c>
      <c r="AA38" s="3084">
        <f t="shared" si="3"/>
        <v>1</v>
      </c>
      <c r="AB38" s="3084">
        <f t="shared" si="4"/>
        <v>1</v>
      </c>
      <c r="AC38" s="3084">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77"/>
      <c r="Q39" s="3083" t="str">
        <f t="shared" si="11"/>
        <v>层高</v>
      </c>
      <c r="R39" s="714" t="s">
        <v>17</v>
      </c>
      <c r="S39" s="715">
        <f t="shared" si="12"/>
        <v>100</v>
      </c>
      <c r="T39" s="714" t="s">
        <v>17</v>
      </c>
      <c r="U39" s="715">
        <f t="shared" si="13"/>
        <v>100</v>
      </c>
      <c r="V39" s="714" t="s">
        <v>17</v>
      </c>
      <c r="W39" s="715">
        <f t="shared" si="14"/>
        <v>100</v>
      </c>
      <c r="X39" s="3085"/>
      <c r="Y39" s="3379"/>
      <c r="Z39" s="3086" t="str">
        <f t="shared" si="15"/>
        <v>层高</v>
      </c>
      <c r="AA39" s="3084">
        <f t="shared" si="3"/>
        <v>1</v>
      </c>
      <c r="AB39" s="3084">
        <f t="shared" si="4"/>
        <v>1</v>
      </c>
      <c r="AC39" s="308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77"/>
      <c r="Q40" s="3083" t="str">
        <f t="shared" si="11"/>
        <v>单套建筑面积</v>
      </c>
      <c r="R40" s="714" t="s">
        <v>17</v>
      </c>
      <c r="S40" s="715">
        <f t="shared" si="12"/>
        <v>100</v>
      </c>
      <c r="T40" s="714" t="s">
        <v>17</v>
      </c>
      <c r="U40" s="715">
        <f t="shared" si="13"/>
        <v>100</v>
      </c>
      <c r="V40" s="714" t="s">
        <v>17</v>
      </c>
      <c r="W40" s="715">
        <f t="shared" si="14"/>
        <v>100</v>
      </c>
      <c r="X40" s="3085"/>
      <c r="Y40" s="3379"/>
      <c r="Z40" s="3086" t="str">
        <f t="shared" si="15"/>
        <v>单套建筑面积</v>
      </c>
      <c r="AA40" s="3084">
        <f t="shared" si="3"/>
        <v>1</v>
      </c>
      <c r="AB40" s="3084">
        <f t="shared" si="4"/>
        <v>1</v>
      </c>
      <c r="AC40" s="3084">
        <f t="shared" si="5"/>
        <v>1</v>
      </c>
    </row>
    <row r="41" spans="1:29" s="430" customFormat="1" ht="15">
      <c r="A41" s="427"/>
      <c r="B41" s="308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77"/>
      <c r="Q41" s="716" t="str">
        <f t="shared" si="11"/>
        <v>进深比</v>
      </c>
      <c r="R41" s="717" t="s">
        <v>17</v>
      </c>
      <c r="S41" s="718">
        <f t="shared" si="12"/>
        <v>100</v>
      </c>
      <c r="T41" s="717" t="s">
        <v>17</v>
      </c>
      <c r="U41" s="718">
        <f t="shared" si="13"/>
        <v>100</v>
      </c>
      <c r="V41" s="717" t="s">
        <v>17</v>
      </c>
      <c r="W41" s="718">
        <f t="shared" si="14"/>
        <v>100</v>
      </c>
      <c r="X41" s="719"/>
      <c r="Y41" s="3379"/>
      <c r="Z41" s="720" t="str">
        <f t="shared" si="15"/>
        <v>进深比</v>
      </c>
      <c r="AA41" s="3084">
        <f t="shared" si="3"/>
        <v>1</v>
      </c>
      <c r="AB41" s="3084">
        <f t="shared" si="4"/>
        <v>1</v>
      </c>
      <c r="AC41" s="3084">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77"/>
      <c r="Q42" s="3083" t="str">
        <f t="shared" si="11"/>
        <v>内部装修</v>
      </c>
      <c r="R42" s="714" t="s">
        <v>17</v>
      </c>
      <c r="S42" s="715">
        <f t="shared" si="12"/>
        <v>100</v>
      </c>
      <c r="T42" s="714" t="s">
        <v>17</v>
      </c>
      <c r="U42" s="715">
        <f t="shared" si="13"/>
        <v>100</v>
      </c>
      <c r="V42" s="714" t="s">
        <v>17</v>
      </c>
      <c r="W42" s="715">
        <f t="shared" si="14"/>
        <v>100</v>
      </c>
      <c r="X42" s="3085"/>
      <c r="Y42" s="3379"/>
      <c r="Z42" s="3086" t="str">
        <f t="shared" si="15"/>
        <v>内部装修</v>
      </c>
      <c r="AA42" s="3084">
        <f t="shared" si="3"/>
        <v>1</v>
      </c>
      <c r="AB42" s="3084">
        <f t="shared" si="4"/>
        <v>1</v>
      </c>
      <c r="AC42" s="3084">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77"/>
      <c r="Q43" s="3083" t="str">
        <f t="shared" si="11"/>
        <v>内部装修维护情况</v>
      </c>
      <c r="R43" s="714" t="s">
        <v>17</v>
      </c>
      <c r="S43" s="715">
        <f t="shared" si="12"/>
        <v>100</v>
      </c>
      <c r="T43" s="714" t="s">
        <v>17</v>
      </c>
      <c r="U43" s="715">
        <f t="shared" si="13"/>
        <v>100</v>
      </c>
      <c r="V43" s="714" t="s">
        <v>17</v>
      </c>
      <c r="W43" s="715">
        <f t="shared" si="14"/>
        <v>100</v>
      </c>
      <c r="X43" s="3085"/>
      <c r="Y43" s="3379"/>
      <c r="Z43" s="3086" t="str">
        <f t="shared" si="15"/>
        <v>内部装修维护情况</v>
      </c>
      <c r="AA43" s="3084">
        <f t="shared" si="3"/>
        <v>1</v>
      </c>
      <c r="AB43" s="3084">
        <f t="shared" si="4"/>
        <v>1</v>
      </c>
      <c r="AC43" s="308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77"/>
      <c r="Q44" s="3081">
        <f t="shared" si="11"/>
        <v>111</v>
      </c>
      <c r="R44" s="710" t="s">
        <v>17</v>
      </c>
      <c r="S44" s="711">
        <f t="shared" si="12"/>
        <v>100</v>
      </c>
      <c r="T44" s="710" t="s">
        <v>17</v>
      </c>
      <c r="U44" s="711">
        <f t="shared" si="13"/>
        <v>100</v>
      </c>
      <c r="V44" s="710" t="s">
        <v>17</v>
      </c>
      <c r="W44" s="711">
        <f t="shared" si="14"/>
        <v>100</v>
      </c>
      <c r="X44" s="712"/>
      <c r="Y44" s="3379"/>
      <c r="Z44" s="3080">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77"/>
      <c r="Q45" s="3083">
        <f t="shared" si="11"/>
        <v>111</v>
      </c>
      <c r="R45" s="714" t="s">
        <v>17</v>
      </c>
      <c r="S45" s="715">
        <f t="shared" si="12"/>
        <v>100</v>
      </c>
      <c r="T45" s="714" t="s">
        <v>17</v>
      </c>
      <c r="U45" s="715">
        <f t="shared" si="13"/>
        <v>100</v>
      </c>
      <c r="V45" s="714" t="s">
        <v>17</v>
      </c>
      <c r="W45" s="715">
        <f t="shared" si="14"/>
        <v>100</v>
      </c>
      <c r="X45" s="3085"/>
      <c r="Y45" s="3379"/>
      <c r="Z45" s="3086">
        <f t="shared" si="15"/>
        <v>111</v>
      </c>
      <c r="AA45" s="3084">
        <f t="shared" si="3"/>
        <v>1</v>
      </c>
      <c r="AB45" s="3084">
        <f t="shared" si="4"/>
        <v>1</v>
      </c>
      <c r="AC45" s="3084">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8"/>
      <c r="Q46" s="3083">
        <f t="shared" si="11"/>
        <v>111</v>
      </c>
      <c r="R46" s="714" t="s">
        <v>17</v>
      </c>
      <c r="S46" s="715">
        <f t="shared" si="12"/>
        <v>100</v>
      </c>
      <c r="T46" s="714" t="s">
        <v>17</v>
      </c>
      <c r="U46" s="715">
        <f t="shared" si="13"/>
        <v>100</v>
      </c>
      <c r="V46" s="714" t="s">
        <v>17</v>
      </c>
      <c r="W46" s="715">
        <f t="shared" si="14"/>
        <v>100</v>
      </c>
      <c r="X46" s="3085"/>
      <c r="Y46" s="3380"/>
      <c r="Z46" s="3086">
        <f t="shared" si="15"/>
        <v>111</v>
      </c>
      <c r="AA46" s="3084">
        <f t="shared" si="3"/>
        <v>1</v>
      </c>
      <c r="AB46" s="3084">
        <f t="shared" si="4"/>
        <v>1</v>
      </c>
      <c r="AC46" s="3084">
        <f t="shared" si="5"/>
        <v>1</v>
      </c>
    </row>
    <row r="47" spans="1:29" ht="15">
      <c r="A47" s="438" t="s">
        <v>2398</v>
      </c>
      <c r="B47" s="439"/>
      <c r="C47" s="1316" t="s">
        <v>1</v>
      </c>
      <c r="D47" s="1317"/>
      <c r="E47" s="1318">
        <f>'数据-取费表'!W26*50000</f>
        <v>25000</v>
      </c>
      <c r="F47" s="1319"/>
      <c r="G47" s="1320">
        <f>'数据-取费表'!W26*50000</f>
        <v>25000</v>
      </c>
      <c r="H47" s="1321"/>
      <c r="I47" s="1318">
        <f>'数据-取费表'!W26*50000</f>
        <v>25000</v>
      </c>
      <c r="J47" s="1321"/>
      <c r="K47" s="723"/>
      <c r="L47" s="2954"/>
      <c r="M47" s="2955"/>
      <c r="N47" s="2946"/>
      <c r="O47" s="2955"/>
      <c r="P47" s="3372" t="str">
        <f>A47</f>
        <v>成交单价（元/平方米）</v>
      </c>
      <c r="Q47" s="3372"/>
      <c r="R47" s="3367">
        <f>E47</f>
        <v>25000</v>
      </c>
      <c r="S47" s="3367"/>
      <c r="T47" s="3367">
        <f>G47</f>
        <v>25000</v>
      </c>
      <c r="U47" s="3367"/>
      <c r="V47" s="3367">
        <f>I47</f>
        <v>25000</v>
      </c>
      <c r="W47" s="3367"/>
      <c r="X47" s="699"/>
      <c r="Y47" s="721"/>
      <c r="Z47" s="699"/>
      <c r="AA47" s="699"/>
      <c r="AB47" s="699"/>
      <c r="AC47" s="699"/>
    </row>
    <row r="48" spans="1:29" ht="15.75" thickBot="1">
      <c r="A48" s="445" t="s">
        <v>2399</v>
      </c>
      <c r="B48" s="446"/>
      <c r="C48" s="1322">
        <f>R49</f>
        <v>25000</v>
      </c>
      <c r="D48" s="2539" t="s">
        <v>2879</v>
      </c>
      <c r="E48" s="1323">
        <f>R48</f>
        <v>25000</v>
      </c>
      <c r="F48" s="2540"/>
      <c r="G48" s="1322">
        <f>T48</f>
        <v>25000</v>
      </c>
      <c r="H48" s="2540"/>
      <c r="I48" s="1323">
        <f>V48</f>
        <v>25000</v>
      </c>
      <c r="J48" s="2540"/>
      <c r="K48" s="2542">
        <f>F48+H48+J48</f>
        <v>0</v>
      </c>
      <c r="L48" s="2954"/>
      <c r="M48" s="2955"/>
      <c r="N48" s="2946"/>
      <c r="O48" s="2955"/>
      <c r="P48" s="3372" t="str">
        <f>A48</f>
        <v>比较价值（元/平方米）</v>
      </c>
      <c r="Q48" s="3372"/>
      <c r="R48" s="3373">
        <f>IF(F1="售价",ROUND(PRODUCT(R47,AA7:AA46),0),ROUND(PRODUCT(R47,AA7:AA46),1))</f>
        <v>25000</v>
      </c>
      <c r="S48" s="3373"/>
      <c r="T48" s="3373">
        <f>IF(F1="售价",ROUND(PRODUCT(T47,AB7:AB46),0),ROUND(PRODUCT(T47,AB7:AB46),1))</f>
        <v>25000</v>
      </c>
      <c r="U48" s="3373"/>
      <c r="V48" s="3373">
        <f>IF(F1="售价",ROUND(PRODUCT(V47,AC7:AC46),0),ROUND(PRODUCT(V47,AC7:AC46),1))</f>
        <v>25000</v>
      </c>
      <c r="W48" s="3373"/>
      <c r="X48" s="699"/>
      <c r="Y48" s="699"/>
      <c r="Z48" s="699"/>
      <c r="AA48" s="699"/>
      <c r="AB48" s="699"/>
      <c r="AC48" s="699"/>
    </row>
    <row r="49" spans="1:29" ht="15.75" thickBot="1">
      <c r="A49" s="449" t="s">
        <v>2400</v>
      </c>
      <c r="B49" s="450"/>
      <c r="C49" s="1325">
        <f>R49</f>
        <v>25000</v>
      </c>
      <c r="D49" s="1325"/>
      <c r="E49" s="1325"/>
      <c r="F49" s="1325"/>
      <c r="G49" s="1325"/>
      <c r="H49" s="1325"/>
      <c r="I49" s="1325"/>
      <c r="J49" s="1325"/>
      <c r="K49" s="724"/>
      <c r="L49" s="2954"/>
      <c r="M49" s="2955"/>
      <c r="N49" s="2946"/>
      <c r="O49" s="2955"/>
      <c r="P49" s="3369" t="str">
        <f>A49</f>
        <v>估价对象XX用房的比较价值（楼面单价，元/平方米）</v>
      </c>
      <c r="Q49" s="3370"/>
      <c r="R49" s="3371">
        <f>IF(F1="售价",ROUND(IF(D48="简单平均",AVERAGE(R48:V48),R48*F48+T48*H48+V48*J48),0),ROUND(IF(D48="简单平均",AVERAGE(R48:V48),R48*F48+T48*H48+V48*J48),1))</f>
        <v>25000</v>
      </c>
      <c r="S49" s="3371"/>
      <c r="T49" s="3371"/>
      <c r="U49" s="3371"/>
      <c r="V49" s="3371"/>
      <c r="W49" s="337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2401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2402</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2403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2404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2408</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v>0</v>
      </c>
      <c r="D68" s="506">
        <v>1</v>
      </c>
      <c r="E68" s="506">
        <v>2</v>
      </c>
      <c r="F68" s="506">
        <v>3</v>
      </c>
      <c r="G68" s="506">
        <v>4</v>
      </c>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0(含)-100</v>
      </c>
      <c r="D102" s="535" t="str">
        <f t="shared" ref="D102:L102" si="23">D103&amp;"(含)"&amp;"-"&amp;E103</f>
        <v>100(含)-200</v>
      </c>
      <c r="E102" s="535" t="str">
        <f t="shared" si="23"/>
        <v>200(含)-300</v>
      </c>
      <c r="F102" s="535" t="str">
        <f t="shared" si="23"/>
        <v>300(含)-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v>100</v>
      </c>
      <c r="E103" s="552">
        <v>200</v>
      </c>
      <c r="F103" s="552">
        <v>300</v>
      </c>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3" t="s">
        <v>1603</v>
      </c>
      <c r="E3" s="963" t="s">
        <v>1609</v>
      </c>
      <c r="F3" s="963" t="s">
        <v>1603</v>
      </c>
      <c r="G3" s="963" t="s">
        <v>1604</v>
      </c>
      <c r="H3" s="963" t="s">
        <v>1603</v>
      </c>
      <c r="I3" s="963" t="s">
        <v>1604</v>
      </c>
    </row>
    <row r="4" spans="1:9" ht="15">
      <c r="A4" s="1691" t="str">
        <f>项目基本情况!S2</f>
        <v>北京市房地产</v>
      </c>
      <c r="B4" s="963">
        <f>项目基本情况!C17</f>
        <v>99232.329999999987</v>
      </c>
      <c r="C4" s="963">
        <f>项目基本情况!C18</f>
        <v>0</v>
      </c>
      <c r="D4" s="963" t="e">
        <f ca="1">结果表!D118</f>
        <v>#REF!</v>
      </c>
      <c r="E4" s="963" t="e">
        <f ca="1">结果表!E118</f>
        <v>#REF!</v>
      </c>
      <c r="F4" s="963" t="e">
        <f ca="1">结果表!F118</f>
        <v>#REF!</v>
      </c>
      <c r="G4" s="963" t="e">
        <f ca="1">结果表!G118</f>
        <v>#REF!</v>
      </c>
      <c r="H4" s="963">
        <f ca="1">结果表!H118</f>
        <v>93883</v>
      </c>
      <c r="I4" s="963">
        <f ca="1">结果表!I118</f>
        <v>47343</v>
      </c>
    </row>
    <row r="5" spans="1:9" ht="30" customHeight="1">
      <c r="A5" s="3104" t="s">
        <v>1605</v>
      </c>
      <c r="B5" s="3104"/>
      <c r="C5" s="3104"/>
      <c r="D5" s="3105" t="e">
        <f ca="1">结果表!D119</f>
        <v>#REF!</v>
      </c>
      <c r="E5" s="3105"/>
      <c r="F5" s="3105" t="e">
        <f ca="1">结果表!F119</f>
        <v>#REF!</v>
      </c>
      <c r="G5" s="3105"/>
      <c r="H5" s="3105" t="str">
        <f ca="1">结果表!H119</f>
        <v>玖亿叁仟捌佰捌拾叁万元整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1605</v>
      </c>
      <c r="B7" s="3104"/>
      <c r="C7" s="3104"/>
      <c r="D7" s="3107" t="str">
        <f>结果表!D121</f>
        <v>零元整</v>
      </c>
      <c r="E7" s="3108"/>
      <c r="F7" s="3108"/>
      <c r="G7" s="3108"/>
      <c r="H7" s="3108"/>
      <c r="I7" s="3109"/>
    </row>
    <row r="8" spans="1:9" ht="15.75">
      <c r="A8" s="3106" t="str">
        <f>结果表!A122</f>
        <v>房地产抵押价值</v>
      </c>
      <c r="B8" s="3106"/>
      <c r="C8" s="3106"/>
      <c r="D8" s="3106">
        <f ca="1">结果表!D122</f>
        <v>93883</v>
      </c>
      <c r="E8" s="3106"/>
      <c r="F8" s="3106"/>
      <c r="G8" s="3106"/>
      <c r="H8" s="3106"/>
      <c r="I8" s="3106"/>
    </row>
    <row r="9" spans="1:9" ht="15">
      <c r="A9" s="3104" t="s">
        <v>1605</v>
      </c>
      <c r="B9" s="3104"/>
      <c r="C9" s="3104"/>
      <c r="D9" s="3105" t="str">
        <f ca="1">结果表!D123</f>
        <v>玖亿叁仟捌佰捌拾叁万元整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1605</v>
      </c>
      <c r="B11" s="3104"/>
      <c r="C11" s="3104"/>
      <c r="D11" s="3105" t="e">
        <f>结果表!D125</f>
        <v>#VALUE!</v>
      </c>
      <c r="E11" s="3105"/>
      <c r="F11" s="3105"/>
      <c r="G11" s="3105"/>
      <c r="H11" s="3105"/>
      <c r="I11" s="3105"/>
    </row>
    <row r="12" spans="1:9" ht="15.75">
      <c r="A12" s="3106" t="str">
        <f>结果表!A126</f>
        <v/>
      </c>
      <c r="B12" s="3106"/>
      <c r="C12" s="3106"/>
      <c r="D12" s="3106" t="str">
        <f>结果表!D126</f>
        <v>——</v>
      </c>
      <c r="E12" s="3106"/>
      <c r="F12" s="3106"/>
      <c r="G12" s="3106"/>
      <c r="H12" s="3106"/>
      <c r="I12" s="3106"/>
    </row>
    <row r="13" spans="1:9" ht="15.75" thickBot="1">
      <c r="A13" s="3110" t="s">
        <v>1605</v>
      </c>
      <c r="B13" s="3110"/>
      <c r="C13" s="3110"/>
      <c r="D13" s="3111" t="e">
        <f>结果表!D127</f>
        <v>#VALUE!</v>
      </c>
      <c r="E13" s="3111"/>
      <c r="F13" s="3111"/>
      <c r="G13" s="3111"/>
      <c r="H13" s="3111"/>
      <c r="I13" s="3111"/>
    </row>
    <row r="14" spans="1:9" ht="15" thickTop="1">
      <c r="A14" s="3112" t="s">
        <v>1610</v>
      </c>
      <c r="B14" s="3112"/>
      <c r="C14" s="3112"/>
      <c r="D14" s="3112"/>
      <c r="E14" s="3112"/>
      <c r="F14" s="3112"/>
      <c r="G14" s="3112"/>
      <c r="H14" s="3112"/>
      <c r="I14" s="311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3" t="s">
        <v>2824</v>
      </c>
      <c r="D1" s="3424"/>
      <c r="E1" s="3424"/>
      <c r="F1" s="3424"/>
      <c r="G1" s="3424"/>
      <c r="H1" s="3424"/>
      <c r="I1" s="3424"/>
      <c r="J1" s="3424"/>
      <c r="K1" s="3424"/>
      <c r="L1" s="3424"/>
      <c r="M1" s="3424"/>
      <c r="N1" s="3424"/>
      <c r="O1" s="3424"/>
      <c r="P1" s="3424"/>
      <c r="Q1" s="3424"/>
      <c r="R1" s="3424"/>
      <c r="S1" s="3425"/>
      <c r="T1" s="1114" t="s">
        <v>2698</v>
      </c>
    </row>
    <row r="2" spans="1:45" s="663" customFormat="1" ht="38.25">
      <c r="A2" s="1115"/>
      <c r="B2" s="659" t="s">
        <v>1751</v>
      </c>
      <c r="C2" s="660" t="str">
        <f t="shared" ref="C2:R2" si="0">C3&amp;"(含)"&amp;"-"&amp;D3</f>
        <v>0(含)-150000</v>
      </c>
      <c r="D2" s="661" t="str">
        <f t="shared" si="0"/>
        <v>150000(含)-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150000</v>
      </c>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102</v>
      </c>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1">D6-$T5</f>
        <v>100</v>
      </c>
      <c r="F6" s="1485">
        <f t="shared" si="1"/>
        <v>100</v>
      </c>
      <c r="G6" s="1485">
        <f t="shared" si="1"/>
        <v>100</v>
      </c>
      <c r="H6" s="1485">
        <f t="shared" si="1"/>
        <v>100</v>
      </c>
      <c r="I6" s="1485">
        <f t="shared" si="1"/>
        <v>100</v>
      </c>
      <c r="J6" s="1485">
        <f t="shared" si="1"/>
        <v>100</v>
      </c>
      <c r="K6" s="1485">
        <f t="shared" si="1"/>
        <v>100</v>
      </c>
      <c r="L6" s="1485">
        <f t="shared" si="1"/>
        <v>100</v>
      </c>
      <c r="M6" s="1485">
        <f t="shared" si="1"/>
        <v>100</v>
      </c>
      <c r="N6" s="1485">
        <f t="shared" si="1"/>
        <v>100</v>
      </c>
      <c r="O6" s="1485">
        <f t="shared" si="1"/>
        <v>100</v>
      </c>
      <c r="P6" s="1485">
        <f t="shared" si="1"/>
        <v>100</v>
      </c>
      <c r="Q6" s="1485">
        <f t="shared" si="1"/>
        <v>100</v>
      </c>
      <c r="R6" s="1485">
        <f t="shared" si="1"/>
        <v>100</v>
      </c>
      <c r="S6" s="1485">
        <f t="shared" si="1"/>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2">D8-$T7</f>
        <v>100</v>
      </c>
      <c r="F8" s="1485">
        <f t="shared" si="2"/>
        <v>100</v>
      </c>
      <c r="G8" s="1485">
        <f t="shared" si="2"/>
        <v>100</v>
      </c>
      <c r="H8" s="1485">
        <f t="shared" si="2"/>
        <v>100</v>
      </c>
      <c r="I8" s="1485">
        <f t="shared" si="2"/>
        <v>100</v>
      </c>
      <c r="J8" s="1485">
        <f t="shared" si="2"/>
        <v>100</v>
      </c>
      <c r="K8" s="1485">
        <f t="shared" si="2"/>
        <v>100</v>
      </c>
      <c r="L8" s="1485">
        <f t="shared" si="2"/>
        <v>100</v>
      </c>
      <c r="M8" s="1485">
        <f t="shared" si="2"/>
        <v>100</v>
      </c>
      <c r="N8" s="1485">
        <f t="shared" si="2"/>
        <v>100</v>
      </c>
      <c r="O8" s="1485">
        <f t="shared" si="2"/>
        <v>100</v>
      </c>
      <c r="P8" s="1485">
        <f t="shared" si="2"/>
        <v>100</v>
      </c>
      <c r="Q8" s="1485">
        <f t="shared" si="2"/>
        <v>100</v>
      </c>
      <c r="R8" s="1485">
        <f t="shared" si="2"/>
        <v>100</v>
      </c>
      <c r="S8" s="1485">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3">D10-$T9</f>
        <v>100</v>
      </c>
      <c r="F10" s="1495">
        <f t="shared" si="3"/>
        <v>100</v>
      </c>
      <c r="G10" s="1495">
        <f t="shared" si="3"/>
        <v>100</v>
      </c>
      <c r="H10" s="1495">
        <f t="shared" si="3"/>
        <v>100</v>
      </c>
      <c r="I10" s="1495">
        <f t="shared" si="3"/>
        <v>100</v>
      </c>
      <c r="J10" s="1495">
        <f t="shared" si="3"/>
        <v>100</v>
      </c>
      <c r="K10" s="1495">
        <f t="shared" si="3"/>
        <v>100</v>
      </c>
      <c r="L10" s="1495">
        <f t="shared" si="3"/>
        <v>100</v>
      </c>
      <c r="M10" s="1495">
        <f t="shared" si="3"/>
        <v>100</v>
      </c>
      <c r="N10" s="1495">
        <f t="shared" si="3"/>
        <v>100</v>
      </c>
      <c r="O10" s="1495">
        <f t="shared" si="3"/>
        <v>100</v>
      </c>
      <c r="P10" s="1495">
        <f t="shared" si="3"/>
        <v>100</v>
      </c>
      <c r="Q10" s="1495">
        <f t="shared" si="3"/>
        <v>100</v>
      </c>
      <c r="R10" s="1495">
        <f t="shared" si="3"/>
        <v>100</v>
      </c>
      <c r="S10" s="1495">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v>1</v>
      </c>
      <c r="D17" s="1142">
        <v>2</v>
      </c>
      <c r="E17" s="1142">
        <v>-1</v>
      </c>
      <c r="F17" s="1142">
        <v>-2</v>
      </c>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v>50</v>
      </c>
      <c r="F18" s="1154">
        <v>40</v>
      </c>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f>IF(D20="——",S22,S22-F20)</f>
        <v>72545</v>
      </c>
      <c r="C20" s="164"/>
      <c r="D20" s="2368" t="s">
        <v>70</v>
      </c>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f>ROUND(B20*10000/B22,0)</f>
        <v>22680</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31986.760000000002</v>
      </c>
      <c r="C22" s="3420" t="s">
        <v>33</v>
      </c>
      <c r="D22" s="3421"/>
      <c r="E22" s="3421"/>
      <c r="F22" s="3421"/>
      <c r="G22" s="3421"/>
      <c r="H22" s="3421"/>
      <c r="I22" s="3421"/>
      <c r="J22" s="3421"/>
      <c r="K22" s="3421"/>
      <c r="L22" s="3421"/>
      <c r="M22" s="3421"/>
      <c r="N22" s="3421"/>
      <c r="O22" s="3421"/>
      <c r="P22" s="3421"/>
      <c r="Q22" s="3422"/>
      <c r="R22" s="672">
        <f>ROUND(S22*10000/B22,0)</f>
        <v>22680</v>
      </c>
      <c r="S22" s="24">
        <f>SUM(S24:S10000)</f>
        <v>72545</v>
      </c>
    </row>
    <row r="23" spans="1:45" s="12" customFormat="1" ht="24">
      <c r="A23" s="3078" t="s">
        <v>2840</v>
      </c>
      <c r="B23" s="3078" t="s">
        <v>2841</v>
      </c>
      <c r="C23" s="3078" t="s">
        <v>2842</v>
      </c>
      <c r="D23" s="3078" t="str">
        <f>B5</f>
        <v>修正项2</v>
      </c>
      <c r="E23" s="3078" t="s">
        <v>2842</v>
      </c>
      <c r="F23" s="3078" t="str">
        <f>B7</f>
        <v>修正项3</v>
      </c>
      <c r="G23" s="3078" t="s">
        <v>2842</v>
      </c>
      <c r="H23" s="3078" t="str">
        <f>B9</f>
        <v>修正项4</v>
      </c>
      <c r="I23" s="3078" t="s">
        <v>2842</v>
      </c>
      <c r="J23" s="3078" t="str">
        <f>B11</f>
        <v>修正项5</v>
      </c>
      <c r="K23" s="3078" t="s">
        <v>2842</v>
      </c>
      <c r="L23" s="3078" t="str">
        <f>B13</f>
        <v>修正项6</v>
      </c>
      <c r="M23" s="3078" t="s">
        <v>2842</v>
      </c>
      <c r="N23" s="3078" t="str">
        <f>B15</f>
        <v>修正项7</v>
      </c>
      <c r="O23" s="3078" t="s">
        <v>2842</v>
      </c>
      <c r="P23" s="3078" t="str">
        <f>B17</f>
        <v>楼层</v>
      </c>
      <c r="Q23" s="3078" t="s">
        <v>2842</v>
      </c>
      <c r="R23" s="3079" t="s">
        <v>2843</v>
      </c>
      <c r="S23" s="3078"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f>Sheet1!E10</f>
        <v>2297.4300000000003</v>
      </c>
      <c r="C24" s="3042">
        <v>1</v>
      </c>
      <c r="D24" s="3043"/>
      <c r="E24" s="3042">
        <v>1</v>
      </c>
      <c r="F24" s="3043"/>
      <c r="G24" s="3042">
        <v>1</v>
      </c>
      <c r="H24" s="3043"/>
      <c r="I24" s="3042">
        <v>1</v>
      </c>
      <c r="J24" s="3043"/>
      <c r="K24" s="3042">
        <v>1</v>
      </c>
      <c r="L24" s="3043"/>
      <c r="M24" s="3042">
        <v>1</v>
      </c>
      <c r="N24" s="3043"/>
      <c r="O24" s="3042">
        <v>1</v>
      </c>
      <c r="P24" s="3043">
        <v>-1</v>
      </c>
      <c r="Q24" s="3042">
        <v>1</v>
      </c>
      <c r="R24" s="677">
        <f>'比较法-地下商业1'!C49</f>
        <v>25000</v>
      </c>
      <c r="S24" s="675">
        <f t="shared" ref="S24:S87" si="5">ROUND(R24*B24/10000,0)</f>
        <v>5744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Sheet1!E11</f>
        <v>29689.33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0.9</v>
      </c>
      <c r="R25" s="672">
        <f>IF(B25="",0,ROUND($R$24*C25*E25*G25*I25*K25*M25*O25*Q25,0))</f>
        <v>22500</v>
      </c>
      <c r="S25" s="322">
        <f t="shared" si="5"/>
        <v>66801</v>
      </c>
    </row>
    <row r="26" spans="1:45">
      <c r="A26" s="155"/>
      <c r="B26" s="57"/>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0.5</v>
      </c>
      <c r="R26" s="672">
        <f t="shared" ref="R26:R89" si="14">IF(B26="",0,ROUND($R$24*C26*E26*G26*I26*K26*M26*O26*Q26,0))</f>
        <v>0</v>
      </c>
      <c r="S26" s="322">
        <f t="shared" si="5"/>
        <v>0</v>
      </c>
    </row>
    <row r="27" spans="1:45">
      <c r="A27" s="155"/>
      <c r="B27" s="57"/>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0.5</v>
      </c>
      <c r="R27" s="672">
        <f t="shared" si="14"/>
        <v>0</v>
      </c>
      <c r="S27" s="322">
        <f t="shared" si="5"/>
        <v>0</v>
      </c>
    </row>
    <row r="28" spans="1:45">
      <c r="A28" s="155"/>
      <c r="B28" s="57"/>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0.5</v>
      </c>
      <c r="R28" s="672">
        <f t="shared" si="14"/>
        <v>0</v>
      </c>
      <c r="S28" s="322">
        <f t="shared" si="5"/>
        <v>0</v>
      </c>
    </row>
    <row r="29" spans="1:45">
      <c r="A29" s="155"/>
      <c r="B29" s="57"/>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0.5</v>
      </c>
      <c r="R29" s="672">
        <f t="shared" si="14"/>
        <v>0</v>
      </c>
      <c r="S29" s="322">
        <f t="shared" si="5"/>
        <v>0</v>
      </c>
    </row>
    <row r="30" spans="1:45">
      <c r="A30" s="155"/>
      <c r="B30" s="57"/>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0.5</v>
      </c>
      <c r="R30" s="672">
        <f t="shared" si="14"/>
        <v>0</v>
      </c>
      <c r="S30" s="322">
        <f t="shared" si="5"/>
        <v>0</v>
      </c>
    </row>
    <row r="31" spans="1:45">
      <c r="A31" s="155"/>
      <c r="B31" s="57"/>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0.5</v>
      </c>
      <c r="R31" s="672">
        <f t="shared" si="14"/>
        <v>0</v>
      </c>
      <c r="S31" s="322">
        <f t="shared" si="5"/>
        <v>0</v>
      </c>
    </row>
    <row r="32" spans="1:45">
      <c r="A32" s="155"/>
      <c r="B32" s="57"/>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0.5</v>
      </c>
      <c r="R32" s="672">
        <f t="shared" si="14"/>
        <v>0</v>
      </c>
      <c r="S32" s="322">
        <f t="shared" si="5"/>
        <v>0</v>
      </c>
    </row>
    <row r="33" spans="1:19">
      <c r="A33" s="155"/>
      <c r="B33" s="57"/>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0.5</v>
      </c>
      <c r="R33" s="672">
        <f t="shared" si="14"/>
        <v>0</v>
      </c>
      <c r="S33" s="322">
        <f t="shared" si="5"/>
        <v>0</v>
      </c>
    </row>
    <row r="34" spans="1:19">
      <c r="A34" s="155"/>
      <c r="B34" s="57"/>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0.5</v>
      </c>
      <c r="R34" s="672">
        <f t="shared" si="14"/>
        <v>0</v>
      </c>
      <c r="S34" s="322">
        <f t="shared" si="5"/>
        <v>0</v>
      </c>
    </row>
    <row r="35" spans="1:19">
      <c r="A35" s="155"/>
      <c r="B35" s="57"/>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0.5</v>
      </c>
      <c r="R35" s="672">
        <f t="shared" si="14"/>
        <v>0</v>
      </c>
      <c r="S35" s="322">
        <f t="shared" si="5"/>
        <v>0</v>
      </c>
    </row>
    <row r="36" spans="1:19">
      <c r="A36" s="155"/>
      <c r="B36" s="57"/>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0.5</v>
      </c>
      <c r="R36" s="672">
        <f t="shared" si="14"/>
        <v>0</v>
      </c>
      <c r="S36" s="322">
        <f t="shared" si="5"/>
        <v>0</v>
      </c>
    </row>
    <row r="37" spans="1:19">
      <c r="A37" s="155"/>
      <c r="B37" s="57"/>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0.5</v>
      </c>
      <c r="R37" s="672">
        <f t="shared" si="14"/>
        <v>0</v>
      </c>
      <c r="S37" s="322">
        <f t="shared" si="5"/>
        <v>0</v>
      </c>
    </row>
    <row r="38" spans="1:19">
      <c r="A38" s="155"/>
      <c r="B38" s="57"/>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0.5</v>
      </c>
      <c r="R38" s="672">
        <f t="shared" si="14"/>
        <v>0</v>
      </c>
      <c r="S38" s="322">
        <f t="shared" si="5"/>
        <v>0</v>
      </c>
    </row>
    <row r="39" spans="1:19">
      <c r="A39" s="155"/>
      <c r="B39" s="57"/>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0.5</v>
      </c>
      <c r="R39" s="672">
        <f t="shared" si="14"/>
        <v>0</v>
      </c>
      <c r="S39" s="322">
        <f t="shared" si="5"/>
        <v>0</v>
      </c>
    </row>
    <row r="40" spans="1:19">
      <c r="A40" s="155"/>
      <c r="B40" s="57"/>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0.5</v>
      </c>
      <c r="R40" s="672">
        <f t="shared" si="14"/>
        <v>0</v>
      </c>
      <c r="S40" s="322">
        <f t="shared" si="5"/>
        <v>0</v>
      </c>
    </row>
    <row r="41" spans="1:19">
      <c r="A41" s="155"/>
      <c r="B41" s="57"/>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0.5</v>
      </c>
      <c r="R41" s="672">
        <f t="shared" si="14"/>
        <v>0</v>
      </c>
      <c r="S41" s="322">
        <f t="shared" si="5"/>
        <v>0</v>
      </c>
    </row>
    <row r="42" spans="1:19">
      <c r="A42" s="155"/>
      <c r="B42" s="57"/>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0.5</v>
      </c>
      <c r="R42" s="672">
        <f t="shared" si="14"/>
        <v>0</v>
      </c>
      <c r="S42" s="322">
        <f t="shared" si="5"/>
        <v>0</v>
      </c>
    </row>
    <row r="43" spans="1:19">
      <c r="A43" s="155"/>
      <c r="B43" s="57"/>
      <c r="C43" s="24">
        <f t="shared" si="6"/>
        <v>1</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0.5</v>
      </c>
      <c r="R43" s="672">
        <f t="shared" si="14"/>
        <v>0</v>
      </c>
      <c r="S43" s="322">
        <f t="shared" si="5"/>
        <v>0</v>
      </c>
    </row>
    <row r="44" spans="1:19">
      <c r="A44" s="155"/>
      <c r="B44" s="57"/>
      <c r="C44" s="24">
        <f t="shared" si="6"/>
        <v>1</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0.5</v>
      </c>
      <c r="R44" s="672">
        <f t="shared" si="14"/>
        <v>0</v>
      </c>
      <c r="S44" s="322">
        <f t="shared" si="5"/>
        <v>0</v>
      </c>
    </row>
    <row r="45" spans="1:19">
      <c r="A45" s="155"/>
      <c r="B45" s="57"/>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0.5</v>
      </c>
      <c r="R45" s="672">
        <f t="shared" si="14"/>
        <v>0</v>
      </c>
      <c r="S45" s="322">
        <f t="shared" si="5"/>
        <v>0</v>
      </c>
    </row>
    <row r="46" spans="1:19">
      <c r="A46" s="155"/>
      <c r="B46" s="57"/>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0.5</v>
      </c>
      <c r="R46" s="672">
        <f t="shared" si="14"/>
        <v>0</v>
      </c>
      <c r="S46" s="322">
        <f t="shared" si="5"/>
        <v>0</v>
      </c>
    </row>
    <row r="47" spans="1:19">
      <c r="A47" s="155"/>
      <c r="B47" s="57"/>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0.5</v>
      </c>
      <c r="R47" s="672">
        <f t="shared" si="14"/>
        <v>0</v>
      </c>
      <c r="S47" s="322">
        <f t="shared" si="5"/>
        <v>0</v>
      </c>
    </row>
    <row r="48" spans="1:19">
      <c r="A48" s="155"/>
      <c r="B48" s="57"/>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0.5</v>
      </c>
      <c r="R48" s="672">
        <f t="shared" si="14"/>
        <v>0</v>
      </c>
      <c r="S48" s="322">
        <f t="shared" si="5"/>
        <v>0</v>
      </c>
    </row>
    <row r="49" spans="1:19">
      <c r="A49" s="155"/>
      <c r="B49" s="57"/>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0.5</v>
      </c>
      <c r="R49" s="672">
        <f t="shared" si="14"/>
        <v>0</v>
      </c>
      <c r="S49" s="322">
        <f t="shared" si="5"/>
        <v>0</v>
      </c>
    </row>
    <row r="50" spans="1:19">
      <c r="A50" s="155"/>
      <c r="B50" s="57"/>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0.5</v>
      </c>
      <c r="R50" s="672">
        <f t="shared" si="14"/>
        <v>0</v>
      </c>
      <c r="S50" s="322">
        <f t="shared" si="5"/>
        <v>0</v>
      </c>
    </row>
    <row r="51" spans="1:19">
      <c r="A51" s="155"/>
      <c r="B51" s="57"/>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0.5</v>
      </c>
      <c r="R51" s="672">
        <f t="shared" si="14"/>
        <v>0</v>
      </c>
      <c r="S51" s="322">
        <f t="shared" si="5"/>
        <v>0</v>
      </c>
    </row>
    <row r="52" spans="1:19">
      <c r="A52" s="155"/>
      <c r="B52" s="57"/>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0.5</v>
      </c>
      <c r="R52" s="672">
        <f t="shared" si="14"/>
        <v>0</v>
      </c>
      <c r="S52" s="322">
        <f t="shared" si="5"/>
        <v>0</v>
      </c>
    </row>
    <row r="53" spans="1:19">
      <c r="A53" s="155"/>
      <c r="B53" s="57"/>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0.5</v>
      </c>
      <c r="R53" s="672">
        <f t="shared" si="14"/>
        <v>0</v>
      </c>
      <c r="S53" s="322">
        <f t="shared" si="5"/>
        <v>0</v>
      </c>
    </row>
    <row r="54" spans="1:19">
      <c r="A54" s="155"/>
      <c r="B54" s="57"/>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0.5</v>
      </c>
      <c r="R54" s="672">
        <f t="shared" si="14"/>
        <v>0</v>
      </c>
      <c r="S54" s="322">
        <f t="shared" si="5"/>
        <v>0</v>
      </c>
    </row>
    <row r="55" spans="1:19">
      <c r="A55" s="155"/>
      <c r="B55" s="57"/>
      <c r="C55" s="24">
        <f t="shared" si="6"/>
        <v>1</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0.5</v>
      </c>
      <c r="R55" s="672">
        <f t="shared" si="14"/>
        <v>0</v>
      </c>
      <c r="S55" s="322">
        <f t="shared" si="5"/>
        <v>0</v>
      </c>
    </row>
    <row r="56" spans="1:19">
      <c r="A56" s="155"/>
      <c r="B56" s="57"/>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0.5</v>
      </c>
      <c r="R56" s="672">
        <f t="shared" si="14"/>
        <v>0</v>
      </c>
      <c r="S56" s="322">
        <f t="shared" si="5"/>
        <v>0</v>
      </c>
    </row>
    <row r="57" spans="1:19">
      <c r="A57" s="155"/>
      <c r="B57" s="57"/>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0.5</v>
      </c>
      <c r="R57" s="672">
        <f t="shared" si="14"/>
        <v>0</v>
      </c>
      <c r="S57" s="322">
        <f t="shared" si="5"/>
        <v>0</v>
      </c>
    </row>
    <row r="58" spans="1:19">
      <c r="A58" s="155"/>
      <c r="B58" s="57"/>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0.5</v>
      </c>
      <c r="R58" s="672">
        <f t="shared" si="14"/>
        <v>0</v>
      </c>
      <c r="S58" s="322">
        <f t="shared" si="5"/>
        <v>0</v>
      </c>
    </row>
    <row r="59" spans="1:19">
      <c r="A59" s="155"/>
      <c r="B59" s="57"/>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0.5</v>
      </c>
      <c r="R59" s="672">
        <f t="shared" si="14"/>
        <v>0</v>
      </c>
      <c r="S59" s="322">
        <f t="shared" si="5"/>
        <v>0</v>
      </c>
    </row>
    <row r="60" spans="1:19">
      <c r="A60" s="155"/>
      <c r="B60" s="57"/>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0.5</v>
      </c>
      <c r="R60" s="672">
        <f t="shared" si="14"/>
        <v>0</v>
      </c>
      <c r="S60" s="322">
        <f t="shared" si="5"/>
        <v>0</v>
      </c>
    </row>
    <row r="61" spans="1:19">
      <c r="A61" s="155"/>
      <c r="B61" s="57"/>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0.5</v>
      </c>
      <c r="R61" s="672">
        <f t="shared" si="14"/>
        <v>0</v>
      </c>
      <c r="S61" s="322">
        <f t="shared" si="5"/>
        <v>0</v>
      </c>
    </row>
    <row r="62" spans="1:19">
      <c r="A62" s="155"/>
      <c r="B62" s="57"/>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0.5</v>
      </c>
      <c r="R62" s="672">
        <f t="shared" si="14"/>
        <v>0</v>
      </c>
      <c r="S62" s="322">
        <f t="shared" si="5"/>
        <v>0</v>
      </c>
    </row>
    <row r="63" spans="1:19">
      <c r="A63" s="155"/>
      <c r="B63" s="57"/>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0.5</v>
      </c>
      <c r="R63" s="672">
        <f t="shared" si="14"/>
        <v>0</v>
      </c>
      <c r="S63" s="322">
        <f t="shared" si="5"/>
        <v>0</v>
      </c>
    </row>
    <row r="64" spans="1:19">
      <c r="A64" s="155"/>
      <c r="B64" s="57"/>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0.5</v>
      </c>
      <c r="R64" s="672">
        <f t="shared" si="14"/>
        <v>0</v>
      </c>
      <c r="S64" s="322">
        <f t="shared" si="5"/>
        <v>0</v>
      </c>
    </row>
    <row r="65" spans="1:19">
      <c r="A65" s="155"/>
      <c r="B65" s="57"/>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0.5</v>
      </c>
      <c r="R65" s="672">
        <f t="shared" si="14"/>
        <v>0</v>
      </c>
      <c r="S65" s="322">
        <f t="shared" si="5"/>
        <v>0</v>
      </c>
    </row>
    <row r="66" spans="1:19">
      <c r="A66" s="155"/>
      <c r="B66" s="57"/>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0.5</v>
      </c>
      <c r="R66" s="672">
        <f t="shared" si="14"/>
        <v>0</v>
      </c>
      <c r="S66" s="322">
        <f t="shared" si="5"/>
        <v>0</v>
      </c>
    </row>
    <row r="67" spans="1:19">
      <c r="A67" s="155"/>
      <c r="B67" s="57"/>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0.5</v>
      </c>
      <c r="R67" s="672">
        <f t="shared" si="14"/>
        <v>0</v>
      </c>
      <c r="S67" s="322">
        <f t="shared" si="5"/>
        <v>0</v>
      </c>
    </row>
    <row r="68" spans="1:19">
      <c r="A68" s="155"/>
      <c r="B68" s="57"/>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0.5</v>
      </c>
      <c r="R68" s="672">
        <f t="shared" si="14"/>
        <v>0</v>
      </c>
      <c r="S68" s="322">
        <f t="shared" si="5"/>
        <v>0</v>
      </c>
    </row>
    <row r="69" spans="1:19">
      <c r="A69" s="155"/>
      <c r="B69" s="57"/>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0.5</v>
      </c>
      <c r="R69" s="672">
        <f t="shared" si="14"/>
        <v>0</v>
      </c>
      <c r="S69" s="322">
        <f t="shared" si="5"/>
        <v>0</v>
      </c>
    </row>
    <row r="70" spans="1:19">
      <c r="A70" s="155"/>
      <c r="B70" s="57"/>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0.5</v>
      </c>
      <c r="R70" s="672">
        <f t="shared" si="14"/>
        <v>0</v>
      </c>
      <c r="S70" s="322">
        <f t="shared" si="5"/>
        <v>0</v>
      </c>
    </row>
    <row r="71" spans="1:19">
      <c r="A71" s="155"/>
      <c r="B71" s="57"/>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0.5</v>
      </c>
      <c r="R71" s="672">
        <f t="shared" si="14"/>
        <v>0</v>
      </c>
      <c r="S71" s="322">
        <f t="shared" si="5"/>
        <v>0</v>
      </c>
    </row>
    <row r="72" spans="1:19">
      <c r="A72" s="155"/>
      <c r="B72" s="57"/>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0.5</v>
      </c>
      <c r="R72" s="672">
        <f t="shared" si="14"/>
        <v>0</v>
      </c>
      <c r="S72" s="322">
        <f t="shared" si="5"/>
        <v>0</v>
      </c>
    </row>
    <row r="73" spans="1:19">
      <c r="A73" s="155"/>
      <c r="B73" s="57"/>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0.5</v>
      </c>
      <c r="R73" s="672">
        <f t="shared" si="14"/>
        <v>0</v>
      </c>
      <c r="S73" s="322">
        <f t="shared" si="5"/>
        <v>0</v>
      </c>
    </row>
    <row r="74" spans="1:19">
      <c r="A74" s="155"/>
      <c r="B74" s="57"/>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0.5</v>
      </c>
      <c r="R74" s="672">
        <f t="shared" si="14"/>
        <v>0</v>
      </c>
      <c r="S74" s="322">
        <f t="shared" si="5"/>
        <v>0</v>
      </c>
    </row>
    <row r="75" spans="1:19">
      <c r="A75" s="155"/>
      <c r="B75" s="57"/>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0.5</v>
      </c>
      <c r="R75" s="672">
        <f t="shared" si="14"/>
        <v>0</v>
      </c>
      <c r="S75" s="322">
        <f t="shared" si="5"/>
        <v>0</v>
      </c>
    </row>
    <row r="76" spans="1:19">
      <c r="A76" s="155"/>
      <c r="B76" s="57"/>
      <c r="C76" s="24">
        <f t="shared" si="6"/>
        <v>1</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0.5</v>
      </c>
      <c r="R76" s="672">
        <f t="shared" si="14"/>
        <v>0</v>
      </c>
      <c r="S76" s="322">
        <f t="shared" si="5"/>
        <v>0</v>
      </c>
    </row>
    <row r="77" spans="1:19">
      <c r="A77" s="155"/>
      <c r="B77" s="57"/>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0.5</v>
      </c>
      <c r="R77" s="672">
        <f t="shared" si="14"/>
        <v>0</v>
      </c>
      <c r="S77" s="322">
        <f t="shared" si="5"/>
        <v>0</v>
      </c>
    </row>
    <row r="78" spans="1:19">
      <c r="A78" s="155"/>
      <c r="B78" s="57"/>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0.5</v>
      </c>
      <c r="R78" s="672">
        <f t="shared" si="14"/>
        <v>0</v>
      </c>
      <c r="S78" s="322">
        <f t="shared" si="5"/>
        <v>0</v>
      </c>
    </row>
    <row r="79" spans="1:19">
      <c r="A79" s="155"/>
      <c r="B79" s="57"/>
      <c r="C79" s="24">
        <f t="shared" si="6"/>
        <v>1</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0.5</v>
      </c>
      <c r="R79" s="672">
        <f t="shared" si="14"/>
        <v>0</v>
      </c>
      <c r="S79" s="322">
        <f t="shared" si="5"/>
        <v>0</v>
      </c>
    </row>
    <row r="80" spans="1:19">
      <c r="A80" s="155"/>
      <c r="B80" s="57"/>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0.5</v>
      </c>
      <c r="R80" s="672">
        <f t="shared" si="14"/>
        <v>0</v>
      </c>
      <c r="S80" s="322">
        <f t="shared" si="5"/>
        <v>0</v>
      </c>
    </row>
    <row r="81" spans="1:19">
      <c r="A81" s="155"/>
      <c r="B81" s="57"/>
      <c r="C81" s="24">
        <f t="shared" si="6"/>
        <v>1</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0.5</v>
      </c>
      <c r="R81" s="672">
        <f t="shared" si="14"/>
        <v>0</v>
      </c>
      <c r="S81" s="322">
        <f t="shared" si="5"/>
        <v>0</v>
      </c>
    </row>
    <row r="82" spans="1:19">
      <c r="A82" s="155"/>
      <c r="B82" s="57"/>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0.5</v>
      </c>
      <c r="R82" s="672">
        <f t="shared" si="14"/>
        <v>0</v>
      </c>
      <c r="S82" s="322">
        <f t="shared" si="5"/>
        <v>0</v>
      </c>
    </row>
    <row r="83" spans="1:19">
      <c r="A83" s="155"/>
      <c r="B83" s="57"/>
      <c r="C83" s="24">
        <f t="shared" si="6"/>
        <v>1</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0.5</v>
      </c>
      <c r="R83" s="672">
        <f t="shared" si="14"/>
        <v>0</v>
      </c>
      <c r="S83" s="322">
        <f t="shared" si="5"/>
        <v>0</v>
      </c>
    </row>
    <row r="84" spans="1:19">
      <c r="A84" s="155"/>
      <c r="B84" s="57"/>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0.5</v>
      </c>
      <c r="R84" s="672">
        <f t="shared" si="14"/>
        <v>0</v>
      </c>
      <c r="S84" s="322">
        <f t="shared" si="5"/>
        <v>0</v>
      </c>
    </row>
    <row r="85" spans="1:19">
      <c r="A85" s="155"/>
      <c r="B85" s="57"/>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0.5</v>
      </c>
      <c r="R85" s="672">
        <f t="shared" si="14"/>
        <v>0</v>
      </c>
      <c r="S85" s="322">
        <f t="shared" si="5"/>
        <v>0</v>
      </c>
    </row>
    <row r="86" spans="1:19">
      <c r="A86" s="155"/>
      <c r="B86" s="57"/>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0.5</v>
      </c>
      <c r="R86" s="672">
        <f t="shared" si="14"/>
        <v>0</v>
      </c>
      <c r="S86" s="322">
        <f t="shared" si="5"/>
        <v>0</v>
      </c>
    </row>
    <row r="87" spans="1:19">
      <c r="A87" s="155"/>
      <c r="B87" s="57"/>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0.5</v>
      </c>
      <c r="R87" s="672">
        <f t="shared" si="14"/>
        <v>0</v>
      </c>
      <c r="S87" s="322">
        <f t="shared" si="5"/>
        <v>0</v>
      </c>
    </row>
    <row r="88" spans="1:19">
      <c r="A88" s="155"/>
      <c r="B88" s="57"/>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0.5</v>
      </c>
      <c r="R88" s="672">
        <f t="shared" si="14"/>
        <v>0</v>
      </c>
      <c r="S88" s="322">
        <f t="shared" ref="S88:S151" si="15">ROUND(R88*B88/10000,0)</f>
        <v>0</v>
      </c>
    </row>
    <row r="89" spans="1:19">
      <c r="A89" s="155"/>
      <c r="B89" s="57"/>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0.5</v>
      </c>
      <c r="R89" s="672">
        <f t="shared" si="14"/>
        <v>0</v>
      </c>
      <c r="S89" s="322">
        <f t="shared" si="15"/>
        <v>0</v>
      </c>
    </row>
    <row r="90" spans="1:19">
      <c r="A90" s="155"/>
      <c r="B90" s="57"/>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0.5</v>
      </c>
      <c r="R90" s="672">
        <f t="shared" ref="R90:R153" si="24">IF(B90="",0,ROUND($R$24*C90*E90*G90*I90*K90*M90*O90*Q90,0))</f>
        <v>0</v>
      </c>
      <c r="S90" s="322">
        <f t="shared" si="15"/>
        <v>0</v>
      </c>
    </row>
    <row r="91" spans="1:19">
      <c r="A91" s="155"/>
      <c r="B91" s="57"/>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0.5</v>
      </c>
      <c r="R91" s="672">
        <f t="shared" si="24"/>
        <v>0</v>
      </c>
      <c r="S91" s="322">
        <f t="shared" si="15"/>
        <v>0</v>
      </c>
    </row>
    <row r="92" spans="1:19">
      <c r="A92" s="155"/>
      <c r="B92" s="57"/>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0.5</v>
      </c>
      <c r="R92" s="672">
        <f t="shared" si="24"/>
        <v>0</v>
      </c>
      <c r="S92" s="322">
        <f t="shared" si="15"/>
        <v>0</v>
      </c>
    </row>
    <row r="93" spans="1:19">
      <c r="A93" s="155"/>
      <c r="B93" s="57"/>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0.5</v>
      </c>
      <c r="R93" s="672">
        <f t="shared" si="24"/>
        <v>0</v>
      </c>
      <c r="S93" s="322">
        <f t="shared" si="15"/>
        <v>0</v>
      </c>
    </row>
    <row r="94" spans="1:19">
      <c r="A94" s="155"/>
      <c r="B94" s="57"/>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0.5</v>
      </c>
      <c r="R94" s="672">
        <f t="shared" si="24"/>
        <v>0</v>
      </c>
      <c r="S94" s="322">
        <f t="shared" si="15"/>
        <v>0</v>
      </c>
    </row>
    <row r="95" spans="1:19">
      <c r="A95" s="155"/>
      <c r="B95" s="57"/>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0.5</v>
      </c>
      <c r="R95" s="672">
        <f t="shared" si="24"/>
        <v>0</v>
      </c>
      <c r="S95" s="322">
        <f t="shared" si="15"/>
        <v>0</v>
      </c>
    </row>
    <row r="96" spans="1:19">
      <c r="A96" s="155"/>
      <c r="B96" s="57"/>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0.5</v>
      </c>
      <c r="R96" s="672">
        <f t="shared" si="24"/>
        <v>0</v>
      </c>
      <c r="S96" s="322">
        <f t="shared" si="15"/>
        <v>0</v>
      </c>
    </row>
    <row r="97" spans="1:19">
      <c r="A97" s="155"/>
      <c r="B97" s="57"/>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0.5</v>
      </c>
      <c r="R97" s="672">
        <f t="shared" si="24"/>
        <v>0</v>
      </c>
      <c r="S97" s="322">
        <f t="shared" si="15"/>
        <v>0</v>
      </c>
    </row>
    <row r="98" spans="1:19">
      <c r="A98" s="155"/>
      <c r="B98" s="57"/>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0.5</v>
      </c>
      <c r="R98" s="672">
        <f t="shared" si="24"/>
        <v>0</v>
      </c>
      <c r="S98" s="322">
        <f t="shared" si="15"/>
        <v>0</v>
      </c>
    </row>
    <row r="99" spans="1:19">
      <c r="A99" s="155"/>
      <c r="B99" s="57"/>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0.5</v>
      </c>
      <c r="R99" s="672">
        <f t="shared" si="24"/>
        <v>0</v>
      </c>
      <c r="S99" s="322">
        <f t="shared" si="15"/>
        <v>0</v>
      </c>
    </row>
    <row r="100" spans="1:19">
      <c r="A100" s="155"/>
      <c r="B100" s="57"/>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0.5</v>
      </c>
      <c r="R100" s="672">
        <f t="shared" si="24"/>
        <v>0</v>
      </c>
      <c r="S100" s="322">
        <f t="shared" si="15"/>
        <v>0</v>
      </c>
    </row>
    <row r="101" spans="1:19">
      <c r="A101" s="155"/>
      <c r="B101" s="57"/>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0.5</v>
      </c>
      <c r="R101" s="672">
        <f t="shared" si="24"/>
        <v>0</v>
      </c>
      <c r="S101" s="322">
        <f t="shared" si="15"/>
        <v>0</v>
      </c>
    </row>
    <row r="102" spans="1:19">
      <c r="A102" s="155"/>
      <c r="B102" s="57"/>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0.5</v>
      </c>
      <c r="R102" s="672">
        <f t="shared" si="24"/>
        <v>0</v>
      </c>
      <c r="S102" s="322">
        <f t="shared" si="15"/>
        <v>0</v>
      </c>
    </row>
    <row r="103" spans="1:19">
      <c r="A103" s="155"/>
      <c r="B103" s="57"/>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0.5</v>
      </c>
      <c r="R103" s="672">
        <f t="shared" si="24"/>
        <v>0</v>
      </c>
      <c r="S103" s="322">
        <f t="shared" si="15"/>
        <v>0</v>
      </c>
    </row>
    <row r="104" spans="1:19">
      <c r="A104" s="155"/>
      <c r="B104" s="57"/>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0.5</v>
      </c>
      <c r="R104" s="672">
        <f t="shared" si="24"/>
        <v>0</v>
      </c>
      <c r="S104" s="322">
        <f t="shared" si="15"/>
        <v>0</v>
      </c>
    </row>
    <row r="105" spans="1:19">
      <c r="A105" s="155"/>
      <c r="B105" s="57"/>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0.5</v>
      </c>
      <c r="R105" s="672">
        <f t="shared" si="24"/>
        <v>0</v>
      </c>
      <c r="S105" s="322">
        <f t="shared" si="15"/>
        <v>0</v>
      </c>
    </row>
    <row r="106" spans="1:19">
      <c r="A106" s="155"/>
      <c r="B106" s="57"/>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0.5</v>
      </c>
      <c r="R106" s="672">
        <f t="shared" si="24"/>
        <v>0</v>
      </c>
      <c r="S106" s="322">
        <f t="shared" si="15"/>
        <v>0</v>
      </c>
    </row>
    <row r="107" spans="1:19">
      <c r="A107" s="155"/>
      <c r="B107" s="57"/>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0.5</v>
      </c>
      <c r="R107" s="672">
        <f t="shared" si="24"/>
        <v>0</v>
      </c>
      <c r="S107" s="322">
        <f t="shared" si="15"/>
        <v>0</v>
      </c>
    </row>
    <row r="108" spans="1:19">
      <c r="A108" s="155"/>
      <c r="B108" s="57"/>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0.5</v>
      </c>
      <c r="R108" s="672">
        <f t="shared" si="24"/>
        <v>0</v>
      </c>
      <c r="S108" s="322">
        <f t="shared" si="15"/>
        <v>0</v>
      </c>
    </row>
    <row r="109" spans="1:19">
      <c r="A109" s="155"/>
      <c r="B109" s="57"/>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0.5</v>
      </c>
      <c r="R109" s="672">
        <f t="shared" si="24"/>
        <v>0</v>
      </c>
      <c r="S109" s="322">
        <f t="shared" si="15"/>
        <v>0</v>
      </c>
    </row>
    <row r="110" spans="1:19">
      <c r="A110" s="155"/>
      <c r="B110" s="57"/>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0.5</v>
      </c>
      <c r="R110" s="672">
        <f t="shared" si="24"/>
        <v>0</v>
      </c>
      <c r="S110" s="322">
        <f t="shared" si="15"/>
        <v>0</v>
      </c>
    </row>
    <row r="111" spans="1:19">
      <c r="A111" s="155"/>
      <c r="B111" s="57"/>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0.5</v>
      </c>
      <c r="R111" s="672">
        <f t="shared" si="24"/>
        <v>0</v>
      </c>
      <c r="S111" s="322">
        <f t="shared" si="15"/>
        <v>0</v>
      </c>
    </row>
    <row r="112" spans="1:19">
      <c r="A112" s="155"/>
      <c r="B112" s="57"/>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0.5</v>
      </c>
      <c r="R112" s="672">
        <f t="shared" si="24"/>
        <v>0</v>
      </c>
      <c r="S112" s="322">
        <f t="shared" si="15"/>
        <v>0</v>
      </c>
    </row>
    <row r="113" spans="1:19">
      <c r="A113" s="155"/>
      <c r="B113" s="57"/>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0.5</v>
      </c>
      <c r="R113" s="672">
        <f t="shared" si="24"/>
        <v>0</v>
      </c>
      <c r="S113" s="322">
        <f t="shared" si="15"/>
        <v>0</v>
      </c>
    </row>
    <row r="114" spans="1:19">
      <c r="A114" s="155"/>
      <c r="B114" s="57"/>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0.5</v>
      </c>
      <c r="R114" s="672">
        <f t="shared" si="24"/>
        <v>0</v>
      </c>
      <c r="S114" s="322">
        <f t="shared" si="15"/>
        <v>0</v>
      </c>
    </row>
    <row r="115" spans="1:19">
      <c r="A115" s="155"/>
      <c r="B115" s="57"/>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0.5</v>
      </c>
      <c r="R115" s="672">
        <f t="shared" si="24"/>
        <v>0</v>
      </c>
      <c r="S115" s="322">
        <f t="shared" si="15"/>
        <v>0</v>
      </c>
    </row>
    <row r="116" spans="1:19">
      <c r="A116" s="155"/>
      <c r="B116" s="57"/>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0.5</v>
      </c>
      <c r="R116" s="672">
        <f t="shared" si="24"/>
        <v>0</v>
      </c>
      <c r="S116" s="322">
        <f t="shared" si="15"/>
        <v>0</v>
      </c>
    </row>
    <row r="117" spans="1:19">
      <c r="A117" s="155"/>
      <c r="B117" s="57"/>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0.5</v>
      </c>
      <c r="R117" s="672">
        <f t="shared" si="24"/>
        <v>0</v>
      </c>
      <c r="S117" s="322">
        <f t="shared" si="15"/>
        <v>0</v>
      </c>
    </row>
    <row r="118" spans="1:19">
      <c r="A118" s="155"/>
      <c r="B118" s="57"/>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0.5</v>
      </c>
      <c r="R118" s="672">
        <f t="shared" si="24"/>
        <v>0</v>
      </c>
      <c r="S118" s="322">
        <f t="shared" si="15"/>
        <v>0</v>
      </c>
    </row>
    <row r="119" spans="1:19">
      <c r="A119" s="155"/>
      <c r="B119" s="57"/>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0.5</v>
      </c>
      <c r="R119" s="672">
        <f t="shared" si="24"/>
        <v>0</v>
      </c>
      <c r="S119" s="322">
        <f t="shared" si="15"/>
        <v>0</v>
      </c>
    </row>
    <row r="120" spans="1:19">
      <c r="A120" s="155"/>
      <c r="B120" s="57"/>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0.5</v>
      </c>
      <c r="R120" s="672">
        <f t="shared" si="24"/>
        <v>0</v>
      </c>
      <c r="S120" s="322">
        <f t="shared" si="15"/>
        <v>0</v>
      </c>
    </row>
    <row r="121" spans="1:19">
      <c r="A121" s="155"/>
      <c r="B121" s="57"/>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0.5</v>
      </c>
      <c r="R121" s="672">
        <f t="shared" si="24"/>
        <v>0</v>
      </c>
      <c r="S121" s="322">
        <f t="shared" si="15"/>
        <v>0</v>
      </c>
    </row>
    <row r="122" spans="1:19">
      <c r="A122" s="155"/>
      <c r="B122" s="57"/>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0.5</v>
      </c>
      <c r="R122" s="672">
        <f t="shared" si="24"/>
        <v>0</v>
      </c>
      <c r="S122" s="322">
        <f t="shared" si="15"/>
        <v>0</v>
      </c>
    </row>
    <row r="123" spans="1:19">
      <c r="A123" s="155"/>
      <c r="B123" s="57"/>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0.5</v>
      </c>
      <c r="R123" s="672">
        <f t="shared" si="24"/>
        <v>0</v>
      </c>
      <c r="S123" s="322">
        <f t="shared" si="15"/>
        <v>0</v>
      </c>
    </row>
    <row r="124" spans="1:19">
      <c r="A124" s="155"/>
      <c r="B124" s="57"/>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0.5</v>
      </c>
      <c r="R124" s="672">
        <f t="shared" si="24"/>
        <v>0</v>
      </c>
      <c r="S124" s="322">
        <f t="shared" si="15"/>
        <v>0</v>
      </c>
    </row>
    <row r="125" spans="1:19">
      <c r="A125" s="155"/>
      <c r="B125" s="57"/>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0.5</v>
      </c>
      <c r="R125" s="672">
        <f t="shared" si="24"/>
        <v>0</v>
      </c>
      <c r="S125" s="322">
        <f t="shared" si="15"/>
        <v>0</v>
      </c>
    </row>
    <row r="126" spans="1:19">
      <c r="A126" s="155"/>
      <c r="B126" s="57"/>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0.5</v>
      </c>
      <c r="R126" s="672">
        <f t="shared" si="24"/>
        <v>0</v>
      </c>
      <c r="S126" s="322">
        <f t="shared" si="15"/>
        <v>0</v>
      </c>
    </row>
    <row r="127" spans="1:19">
      <c r="A127" s="155"/>
      <c r="B127" s="57"/>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0.5</v>
      </c>
      <c r="R127" s="672">
        <f t="shared" si="24"/>
        <v>0</v>
      </c>
      <c r="S127" s="322">
        <f t="shared" si="15"/>
        <v>0</v>
      </c>
    </row>
    <row r="128" spans="1:19">
      <c r="A128" s="155"/>
      <c r="B128" s="57"/>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0.5</v>
      </c>
      <c r="R128" s="672">
        <f t="shared" si="24"/>
        <v>0</v>
      </c>
      <c r="S128" s="322">
        <f t="shared" si="15"/>
        <v>0</v>
      </c>
    </row>
    <row r="129" spans="1:19">
      <c r="A129" s="155"/>
      <c r="B129" s="57"/>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0.5</v>
      </c>
      <c r="R129" s="672">
        <f t="shared" si="24"/>
        <v>0</v>
      </c>
      <c r="S129" s="322">
        <f t="shared" si="15"/>
        <v>0</v>
      </c>
    </row>
    <row r="130" spans="1:19">
      <c r="A130" s="155"/>
      <c r="B130" s="57"/>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0.5</v>
      </c>
      <c r="R130" s="672">
        <f t="shared" si="24"/>
        <v>0</v>
      </c>
      <c r="S130" s="322">
        <f t="shared" si="15"/>
        <v>0</v>
      </c>
    </row>
    <row r="131" spans="1:19">
      <c r="A131" s="155"/>
      <c r="B131" s="57"/>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0.5</v>
      </c>
      <c r="R131" s="672">
        <f t="shared" si="24"/>
        <v>0</v>
      </c>
      <c r="S131" s="322">
        <f t="shared" si="15"/>
        <v>0</v>
      </c>
    </row>
    <row r="132" spans="1:19">
      <c r="A132" s="155"/>
      <c r="B132" s="57"/>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0.5</v>
      </c>
      <c r="R132" s="672">
        <f t="shared" si="24"/>
        <v>0</v>
      </c>
      <c r="S132" s="322">
        <f t="shared" si="15"/>
        <v>0</v>
      </c>
    </row>
    <row r="133" spans="1:19">
      <c r="A133" s="155"/>
      <c r="B133" s="57"/>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0.5</v>
      </c>
      <c r="R133" s="672">
        <f t="shared" si="24"/>
        <v>0</v>
      </c>
      <c r="S133" s="322">
        <f t="shared" si="15"/>
        <v>0</v>
      </c>
    </row>
    <row r="134" spans="1:19">
      <c r="A134" s="155"/>
      <c r="B134" s="57"/>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0.5</v>
      </c>
      <c r="R134" s="672">
        <f t="shared" si="24"/>
        <v>0</v>
      </c>
      <c r="S134" s="322">
        <f t="shared" si="15"/>
        <v>0</v>
      </c>
    </row>
    <row r="135" spans="1:19">
      <c r="A135" s="155"/>
      <c r="B135" s="57"/>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0.5</v>
      </c>
      <c r="R135" s="672">
        <f t="shared" si="24"/>
        <v>0</v>
      </c>
      <c r="S135" s="322">
        <f t="shared" si="15"/>
        <v>0</v>
      </c>
    </row>
    <row r="136" spans="1:19">
      <c r="A136" s="155"/>
      <c r="B136" s="57"/>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0.5</v>
      </c>
      <c r="R136" s="672">
        <f t="shared" si="24"/>
        <v>0</v>
      </c>
      <c r="S136" s="322">
        <f t="shared" si="15"/>
        <v>0</v>
      </c>
    </row>
    <row r="137" spans="1:19">
      <c r="A137" s="155"/>
      <c r="B137" s="57"/>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0.5</v>
      </c>
      <c r="R137" s="672">
        <f t="shared" si="24"/>
        <v>0</v>
      </c>
      <c r="S137" s="322">
        <f t="shared" si="15"/>
        <v>0</v>
      </c>
    </row>
    <row r="138" spans="1:19">
      <c r="A138" s="155"/>
      <c r="B138" s="57"/>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0.5</v>
      </c>
      <c r="R138" s="672">
        <f t="shared" si="24"/>
        <v>0</v>
      </c>
      <c r="S138" s="322">
        <f t="shared" si="15"/>
        <v>0</v>
      </c>
    </row>
    <row r="139" spans="1:19">
      <c r="A139" s="155"/>
      <c r="B139" s="57"/>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0.5</v>
      </c>
      <c r="R139" s="672">
        <f t="shared" si="24"/>
        <v>0</v>
      </c>
      <c r="S139" s="322">
        <f t="shared" si="15"/>
        <v>0</v>
      </c>
    </row>
    <row r="140" spans="1:19">
      <c r="A140" s="155"/>
      <c r="B140" s="57"/>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0.5</v>
      </c>
      <c r="R140" s="672">
        <f t="shared" si="24"/>
        <v>0</v>
      </c>
      <c r="S140" s="322">
        <f t="shared" si="15"/>
        <v>0</v>
      </c>
    </row>
    <row r="141" spans="1:19">
      <c r="A141" s="155"/>
      <c r="B141" s="57"/>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0.5</v>
      </c>
      <c r="R141" s="672">
        <f t="shared" si="24"/>
        <v>0</v>
      </c>
      <c r="S141" s="322">
        <f t="shared" si="15"/>
        <v>0</v>
      </c>
    </row>
    <row r="142" spans="1:19">
      <c r="A142" s="155"/>
      <c r="B142" s="57"/>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0.5</v>
      </c>
      <c r="R142" s="672">
        <f t="shared" si="24"/>
        <v>0</v>
      </c>
      <c r="S142" s="322">
        <f t="shared" si="15"/>
        <v>0</v>
      </c>
    </row>
    <row r="143" spans="1:19">
      <c r="A143" s="155"/>
      <c r="B143" s="57"/>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0.5</v>
      </c>
      <c r="R143" s="672">
        <f t="shared" si="24"/>
        <v>0</v>
      </c>
      <c r="S143" s="322">
        <f t="shared" si="15"/>
        <v>0</v>
      </c>
    </row>
    <row r="144" spans="1:19">
      <c r="A144" s="155"/>
      <c r="B144" s="57"/>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0.5</v>
      </c>
      <c r="R144" s="672">
        <f t="shared" si="24"/>
        <v>0</v>
      </c>
      <c r="S144" s="322">
        <f t="shared" si="15"/>
        <v>0</v>
      </c>
    </row>
    <row r="145" spans="1:19">
      <c r="A145" s="155"/>
      <c r="B145" s="57"/>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0.5</v>
      </c>
      <c r="R145" s="672">
        <f t="shared" si="24"/>
        <v>0</v>
      </c>
      <c r="S145" s="322">
        <f t="shared" si="15"/>
        <v>0</v>
      </c>
    </row>
    <row r="146" spans="1:19">
      <c r="A146" s="155"/>
      <c r="B146" s="57"/>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0.5</v>
      </c>
      <c r="R146" s="672">
        <f t="shared" si="24"/>
        <v>0</v>
      </c>
      <c r="S146" s="322">
        <f t="shared" si="15"/>
        <v>0</v>
      </c>
    </row>
    <row r="147" spans="1:19">
      <c r="A147" s="155"/>
      <c r="B147" s="57"/>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0.5</v>
      </c>
      <c r="R147" s="672">
        <f t="shared" si="24"/>
        <v>0</v>
      </c>
      <c r="S147" s="322">
        <f t="shared" si="15"/>
        <v>0</v>
      </c>
    </row>
    <row r="148" spans="1:19">
      <c r="A148" s="155"/>
      <c r="B148" s="57"/>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0.5</v>
      </c>
      <c r="R148" s="672">
        <f t="shared" si="24"/>
        <v>0</v>
      </c>
      <c r="S148" s="322">
        <f t="shared" si="15"/>
        <v>0</v>
      </c>
    </row>
    <row r="149" spans="1:19">
      <c r="A149" s="155"/>
      <c r="B149" s="57"/>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0.5</v>
      </c>
      <c r="R149" s="672">
        <f t="shared" si="24"/>
        <v>0</v>
      </c>
      <c r="S149" s="322">
        <f t="shared" si="15"/>
        <v>0</v>
      </c>
    </row>
    <row r="150" spans="1:19">
      <c r="A150" s="155"/>
      <c r="B150" s="57"/>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0.5</v>
      </c>
      <c r="R150" s="672">
        <f t="shared" si="24"/>
        <v>0</v>
      </c>
      <c r="S150" s="322">
        <f t="shared" si="15"/>
        <v>0</v>
      </c>
    </row>
    <row r="151" spans="1:19">
      <c r="A151" s="155"/>
      <c r="B151" s="57"/>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0.5</v>
      </c>
      <c r="R151" s="672">
        <f t="shared" si="24"/>
        <v>0</v>
      </c>
      <c r="S151" s="322">
        <f t="shared" si="15"/>
        <v>0</v>
      </c>
    </row>
    <row r="152" spans="1:19">
      <c r="A152" s="155"/>
      <c r="B152" s="57"/>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0.5</v>
      </c>
      <c r="R152" s="672">
        <f t="shared" si="24"/>
        <v>0</v>
      </c>
      <c r="S152" s="322">
        <f t="shared" ref="S152:S215" si="25">ROUND(R152*B152/10000,0)</f>
        <v>0</v>
      </c>
    </row>
    <row r="153" spans="1:19">
      <c r="A153" s="155"/>
      <c r="B153" s="57"/>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0.5</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0.5</v>
      </c>
      <c r="R154" s="672">
        <f t="shared" ref="R154:R217" si="34">IF(B154="",0,ROUND($R$24*C154*E154*G154*I154*K154*M154*O154*Q154,0))</f>
        <v>0</v>
      </c>
      <c r="S154" s="322">
        <f t="shared" si="25"/>
        <v>0</v>
      </c>
    </row>
    <row r="155" spans="1:19">
      <c r="A155" s="155"/>
      <c r="B155" s="57"/>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0.5</v>
      </c>
      <c r="R155" s="672">
        <f t="shared" si="34"/>
        <v>0</v>
      </c>
      <c r="S155" s="322">
        <f t="shared" si="25"/>
        <v>0</v>
      </c>
    </row>
    <row r="156" spans="1:19">
      <c r="A156" s="155"/>
      <c r="B156" s="57"/>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0.5</v>
      </c>
      <c r="R156" s="672">
        <f t="shared" si="34"/>
        <v>0</v>
      </c>
      <c r="S156" s="322">
        <f t="shared" si="25"/>
        <v>0</v>
      </c>
    </row>
    <row r="157" spans="1:19">
      <c r="A157" s="155"/>
      <c r="B157" s="57"/>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0.5</v>
      </c>
      <c r="R157" s="672">
        <f t="shared" si="34"/>
        <v>0</v>
      </c>
      <c r="S157" s="322">
        <f t="shared" si="25"/>
        <v>0</v>
      </c>
    </row>
    <row r="158" spans="1:19">
      <c r="A158" s="155"/>
      <c r="B158" s="57"/>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0.5</v>
      </c>
      <c r="R158" s="672">
        <f t="shared" si="34"/>
        <v>0</v>
      </c>
      <c r="S158" s="322">
        <f t="shared" si="25"/>
        <v>0</v>
      </c>
    </row>
    <row r="159" spans="1:19">
      <c r="A159" s="155"/>
      <c r="B159" s="57"/>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0.5</v>
      </c>
      <c r="R159" s="672">
        <f t="shared" si="34"/>
        <v>0</v>
      </c>
      <c r="S159" s="322">
        <f t="shared" si="25"/>
        <v>0</v>
      </c>
    </row>
    <row r="160" spans="1:19">
      <c r="A160" s="155"/>
      <c r="B160" s="57"/>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0.5</v>
      </c>
      <c r="R160" s="672">
        <f t="shared" si="34"/>
        <v>0</v>
      </c>
      <c r="S160" s="322">
        <f t="shared" si="25"/>
        <v>0</v>
      </c>
    </row>
    <row r="161" spans="1:19">
      <c r="A161" s="155"/>
      <c r="B161" s="57"/>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0.5</v>
      </c>
      <c r="R161" s="672">
        <f t="shared" si="34"/>
        <v>0</v>
      </c>
      <c r="S161" s="322">
        <f t="shared" si="25"/>
        <v>0</v>
      </c>
    </row>
    <row r="162" spans="1:19">
      <c r="A162" s="155"/>
      <c r="B162" s="57"/>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0.5</v>
      </c>
      <c r="R162" s="672">
        <f t="shared" si="34"/>
        <v>0</v>
      </c>
      <c r="S162" s="322">
        <f t="shared" si="25"/>
        <v>0</v>
      </c>
    </row>
    <row r="163" spans="1:19">
      <c r="A163" s="155"/>
      <c r="B163" s="57"/>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0.5</v>
      </c>
      <c r="R163" s="672">
        <f t="shared" si="34"/>
        <v>0</v>
      </c>
      <c r="S163" s="322">
        <f t="shared" si="25"/>
        <v>0</v>
      </c>
    </row>
    <row r="164" spans="1:19">
      <c r="A164" s="155"/>
      <c r="B164" s="57"/>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0.5</v>
      </c>
      <c r="R164" s="672">
        <f t="shared" si="34"/>
        <v>0</v>
      </c>
      <c r="S164" s="322">
        <f t="shared" si="25"/>
        <v>0</v>
      </c>
    </row>
    <row r="165" spans="1:19">
      <c r="A165" s="155"/>
      <c r="B165" s="57"/>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0.5</v>
      </c>
      <c r="R165" s="672">
        <f t="shared" si="34"/>
        <v>0</v>
      </c>
      <c r="S165" s="322">
        <f t="shared" si="25"/>
        <v>0</v>
      </c>
    </row>
    <row r="166" spans="1:19">
      <c r="A166" s="155"/>
      <c r="B166" s="57"/>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0.5</v>
      </c>
      <c r="R166" s="672">
        <f t="shared" si="34"/>
        <v>0</v>
      </c>
      <c r="S166" s="322">
        <f t="shared" si="25"/>
        <v>0</v>
      </c>
    </row>
    <row r="167" spans="1:19">
      <c r="A167" s="155"/>
      <c r="B167" s="57"/>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0.5</v>
      </c>
      <c r="R167" s="672">
        <f t="shared" si="34"/>
        <v>0</v>
      </c>
      <c r="S167" s="322">
        <f t="shared" si="25"/>
        <v>0</v>
      </c>
    </row>
    <row r="168" spans="1:19">
      <c r="A168" s="155"/>
      <c r="B168" s="57"/>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0.5</v>
      </c>
      <c r="R168" s="672">
        <f t="shared" si="34"/>
        <v>0</v>
      </c>
      <c r="S168" s="322">
        <f t="shared" si="25"/>
        <v>0</v>
      </c>
    </row>
    <row r="169" spans="1:19">
      <c r="A169" s="155"/>
      <c r="B169" s="57"/>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0.5</v>
      </c>
      <c r="R169" s="672">
        <f t="shared" si="34"/>
        <v>0</v>
      </c>
      <c r="S169" s="322">
        <f t="shared" si="25"/>
        <v>0</v>
      </c>
    </row>
    <row r="170" spans="1:19">
      <c r="A170" s="155"/>
      <c r="B170" s="57"/>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0.5</v>
      </c>
      <c r="R170" s="672">
        <f t="shared" si="34"/>
        <v>0</v>
      </c>
      <c r="S170" s="322">
        <f t="shared" si="25"/>
        <v>0</v>
      </c>
    </row>
    <row r="171" spans="1:19">
      <c r="A171" s="155"/>
      <c r="B171" s="57"/>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0.5</v>
      </c>
      <c r="R171" s="672">
        <f t="shared" si="34"/>
        <v>0</v>
      </c>
      <c r="S171" s="322">
        <f t="shared" si="25"/>
        <v>0</v>
      </c>
    </row>
    <row r="172" spans="1:19">
      <c r="A172" s="155"/>
      <c r="B172" s="57"/>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0.5</v>
      </c>
      <c r="R172" s="672">
        <f t="shared" si="34"/>
        <v>0</v>
      </c>
      <c r="S172" s="322">
        <f t="shared" si="25"/>
        <v>0</v>
      </c>
    </row>
    <row r="173" spans="1:19">
      <c r="A173" s="155"/>
      <c r="B173" s="57"/>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0.5</v>
      </c>
      <c r="R173" s="672">
        <f t="shared" si="34"/>
        <v>0</v>
      </c>
      <c r="S173" s="322">
        <f t="shared" si="25"/>
        <v>0</v>
      </c>
    </row>
    <row r="174" spans="1:19">
      <c r="A174" s="155"/>
      <c r="B174" s="57"/>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0.5</v>
      </c>
      <c r="R174" s="672">
        <f t="shared" si="34"/>
        <v>0</v>
      </c>
      <c r="S174" s="322">
        <f t="shared" si="25"/>
        <v>0</v>
      </c>
    </row>
    <row r="175" spans="1:19">
      <c r="A175" s="155"/>
      <c r="B175" s="57"/>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0.5</v>
      </c>
      <c r="R175" s="672">
        <f t="shared" si="34"/>
        <v>0</v>
      </c>
      <c r="S175" s="322">
        <f t="shared" si="25"/>
        <v>0</v>
      </c>
    </row>
    <row r="176" spans="1:19">
      <c r="A176" s="155"/>
      <c r="B176" s="57"/>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0.5</v>
      </c>
      <c r="R176" s="672">
        <f t="shared" si="34"/>
        <v>0</v>
      </c>
      <c r="S176" s="322">
        <f t="shared" si="25"/>
        <v>0</v>
      </c>
    </row>
    <row r="177" spans="1:19">
      <c r="A177" s="155"/>
      <c r="B177" s="57"/>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0.5</v>
      </c>
      <c r="R177" s="672">
        <f t="shared" si="34"/>
        <v>0</v>
      </c>
      <c r="S177" s="322">
        <f t="shared" si="25"/>
        <v>0</v>
      </c>
    </row>
    <row r="178" spans="1:19">
      <c r="A178" s="155"/>
      <c r="B178" s="57"/>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0.5</v>
      </c>
      <c r="R178" s="672">
        <f t="shared" si="34"/>
        <v>0</v>
      </c>
      <c r="S178" s="322">
        <f t="shared" si="25"/>
        <v>0</v>
      </c>
    </row>
    <row r="179" spans="1:19">
      <c r="A179" s="155"/>
      <c r="B179" s="57"/>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0.5</v>
      </c>
      <c r="R179" s="672">
        <f t="shared" si="34"/>
        <v>0</v>
      </c>
      <c r="S179" s="322">
        <f t="shared" si="25"/>
        <v>0</v>
      </c>
    </row>
    <row r="180" spans="1:19">
      <c r="A180" s="155"/>
      <c r="B180" s="57"/>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0.5</v>
      </c>
      <c r="R180" s="672">
        <f t="shared" si="34"/>
        <v>0</v>
      </c>
      <c r="S180" s="322">
        <f t="shared" si="25"/>
        <v>0</v>
      </c>
    </row>
    <row r="181" spans="1:19">
      <c r="A181" s="155"/>
      <c r="B181" s="57"/>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0.5</v>
      </c>
      <c r="R181" s="672">
        <f t="shared" si="34"/>
        <v>0</v>
      </c>
      <c r="S181" s="322">
        <f t="shared" si="25"/>
        <v>0</v>
      </c>
    </row>
    <row r="182" spans="1:19">
      <c r="A182" s="155"/>
      <c r="B182" s="57"/>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0.5</v>
      </c>
      <c r="R182" s="672">
        <f t="shared" si="34"/>
        <v>0</v>
      </c>
      <c r="S182" s="322">
        <f t="shared" si="25"/>
        <v>0</v>
      </c>
    </row>
    <row r="183" spans="1:19">
      <c r="A183" s="155"/>
      <c r="B183" s="57"/>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0.5</v>
      </c>
      <c r="R183" s="672">
        <f t="shared" si="34"/>
        <v>0</v>
      </c>
      <c r="S183" s="322">
        <f t="shared" si="25"/>
        <v>0</v>
      </c>
    </row>
    <row r="184" spans="1:19">
      <c r="A184" s="155"/>
      <c r="B184" s="57"/>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0.5</v>
      </c>
      <c r="R184" s="672">
        <f t="shared" si="34"/>
        <v>0</v>
      </c>
      <c r="S184" s="322">
        <f t="shared" si="25"/>
        <v>0</v>
      </c>
    </row>
    <row r="185" spans="1:19">
      <c r="A185" s="155"/>
      <c r="B185" s="57"/>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0.5</v>
      </c>
      <c r="R185" s="672">
        <f t="shared" si="34"/>
        <v>0</v>
      </c>
      <c r="S185" s="322">
        <f t="shared" si="25"/>
        <v>0</v>
      </c>
    </row>
    <row r="186" spans="1:19">
      <c r="A186" s="155"/>
      <c r="B186" s="57"/>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0.5</v>
      </c>
      <c r="R186" s="672">
        <f t="shared" si="34"/>
        <v>0</v>
      </c>
      <c r="S186" s="322">
        <f t="shared" si="25"/>
        <v>0</v>
      </c>
    </row>
    <row r="187" spans="1:19">
      <c r="A187" s="155"/>
      <c r="B187" s="57"/>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0.5</v>
      </c>
      <c r="R187" s="672">
        <f t="shared" si="34"/>
        <v>0</v>
      </c>
      <c r="S187" s="322">
        <f t="shared" si="25"/>
        <v>0</v>
      </c>
    </row>
    <row r="188" spans="1:19">
      <c r="A188" s="155"/>
      <c r="B188" s="57"/>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0.5</v>
      </c>
      <c r="R188" s="672">
        <f t="shared" si="34"/>
        <v>0</v>
      </c>
      <c r="S188" s="322">
        <f t="shared" si="25"/>
        <v>0</v>
      </c>
    </row>
    <row r="189" spans="1:19">
      <c r="A189" s="155"/>
      <c r="B189" s="57"/>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0.5</v>
      </c>
      <c r="R189" s="672">
        <f t="shared" si="34"/>
        <v>0</v>
      </c>
      <c r="S189" s="322">
        <f t="shared" si="25"/>
        <v>0</v>
      </c>
    </row>
    <row r="190" spans="1:19">
      <c r="A190" s="155"/>
      <c r="B190" s="57"/>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0.5</v>
      </c>
      <c r="R190" s="672">
        <f t="shared" si="34"/>
        <v>0</v>
      </c>
      <c r="S190" s="322">
        <f t="shared" si="25"/>
        <v>0</v>
      </c>
    </row>
    <row r="191" spans="1:19">
      <c r="A191" s="155"/>
      <c r="B191" s="57"/>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0.5</v>
      </c>
      <c r="R191" s="672">
        <f t="shared" si="34"/>
        <v>0</v>
      </c>
      <c r="S191" s="322">
        <f t="shared" si="25"/>
        <v>0</v>
      </c>
    </row>
    <row r="192" spans="1:19">
      <c r="A192" s="155"/>
      <c r="B192" s="57"/>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0.5</v>
      </c>
      <c r="R192" s="672">
        <f t="shared" si="34"/>
        <v>0</v>
      </c>
      <c r="S192" s="322">
        <f t="shared" si="25"/>
        <v>0</v>
      </c>
    </row>
    <row r="193" spans="1:19">
      <c r="A193" s="155"/>
      <c r="B193" s="57"/>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0.5</v>
      </c>
      <c r="R193" s="672">
        <f t="shared" si="34"/>
        <v>0</v>
      </c>
      <c r="S193" s="322">
        <f t="shared" si="25"/>
        <v>0</v>
      </c>
    </row>
    <row r="194" spans="1:19">
      <c r="A194" s="155"/>
      <c r="B194" s="57"/>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0.5</v>
      </c>
      <c r="R194" s="672">
        <f t="shared" si="34"/>
        <v>0</v>
      </c>
      <c r="S194" s="322">
        <f t="shared" si="25"/>
        <v>0</v>
      </c>
    </row>
    <row r="195" spans="1:19">
      <c r="A195" s="155"/>
      <c r="B195" s="57"/>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0.5</v>
      </c>
      <c r="R195" s="672">
        <f t="shared" si="34"/>
        <v>0</v>
      </c>
      <c r="S195" s="322">
        <f t="shared" si="25"/>
        <v>0</v>
      </c>
    </row>
    <row r="196" spans="1:19">
      <c r="A196" s="155"/>
      <c r="B196" s="57"/>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0.5</v>
      </c>
      <c r="R196" s="672">
        <f t="shared" si="34"/>
        <v>0</v>
      </c>
      <c r="S196" s="322">
        <f t="shared" si="25"/>
        <v>0</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0.5</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0.5</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0.5</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0.5</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0.5</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0.5</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0.5</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0.5</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0.5</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0.5</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0.5</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0.5</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0.5</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0.5</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0.5</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0.5</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0.5</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0.5</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0.5</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0.5</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0.5</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0.5</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0.5</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0.5</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0.5</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0.5</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0.5</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0.5</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0.5</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0.5</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0.5</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0.5</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0.5</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0.5</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0.5</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0.5</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0.5</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0.5</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0.5</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0.5</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0.5</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0.5</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0.5</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0.5</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0.5</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0.5</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0.5</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0.5</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0.5</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0.5</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0.5</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0.5</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0.5</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0.5</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0.5</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0.5</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0.5</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0.5</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0.5</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0.5</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0.5</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0.5</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0.5</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0.5</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0.5</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0.5</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0.5</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0.5</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0.5</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0.5</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0.5</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0.5</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0.5</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0.5</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0.5</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0.5</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0.5</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0.5</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0.5</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0.5</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0.5</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0.5</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0.5</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0.5</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0.5</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0.5</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0.5</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0.5</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0.5</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0.5</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0.5</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0.5</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0.5</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0.5</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0.5</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0.5</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0.5</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0.5</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0.5</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0.5</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0.5</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0.5</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0.5</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0.5</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0.5</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0.5</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0.5</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0.5</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0.5</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0.5</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0.5</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0.5</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0.5</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0.5</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0.5</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0.5</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0.5</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0.5</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0.5</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0.5</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0.5</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0.5</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0.5</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0.5</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0.5</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0.5</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0.5</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0.5</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0.5</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0.5</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0.5</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0.5</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0.5</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0.5</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0.5</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0.5</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0.5</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0.5</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0.5</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0.5</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0.5</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0.5</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0.5</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0.5</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0.5</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0.5</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0.5</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0.5</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0.5</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0.5</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0.5</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0.5</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0.5</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0.5</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0.5</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0.5</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0.5</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0.5</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0.5</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0.5</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0.5</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0.5</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0.5</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0.5</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0.5</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0.5</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0.5</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0.5</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0.5</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0.5</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0.5</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0.5</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0.5</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0.5</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0.5</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0.5</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0.5</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0.5</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0.5</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0.5</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0.5</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0.5</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0.5</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0.5</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0.5</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0.5</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0.5</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0.5</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0.5</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0.5</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0.5</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0.5</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0.5</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0.5</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0.5</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0.5</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0.5</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0.5</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0.5</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0.5</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0.5</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0.5</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0.5</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0.5</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0.5</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0.5</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0.5</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0.5</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0.5</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0.5</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0.5</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0.5</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0.5</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0.5</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0.5</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0.5</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0.5</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0.5</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0.5</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0.5</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0.5</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0.5</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0.5</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0.5</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0.5</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0.5</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0.5</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0.5</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0.5</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0.5</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0.5</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0.5</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0.5</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0.5</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0.5</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0.5</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0.5</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0.5</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0.5</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0.5</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0.5</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0.5</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0.5</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0.5</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0.5</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0.5</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0.5</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0.5</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0.5</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0.5</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0.5</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0.5</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0.5</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0.5</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0.5</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0.5</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0.5</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0.5</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0.5</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0.5</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0.5</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0.5</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0.5</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0.5</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0.5</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0.5</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0.5</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0.5</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0.5</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0.5</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0.5</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0.5</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0.5</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0.5</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0.5</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0.5</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0.5</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0.5</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0.5</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0.5</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0.5</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0.5</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0.5</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0.5</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0.5</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0.5</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0.5</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0.5</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0.5</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0.5</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0.5</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0.5</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0.5</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0.5</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0.5</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0.5</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0.5</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0.5</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0.5</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0.5</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0.5</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0.5</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0.5</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0.5</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0.5</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0.5</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0.5</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0.5</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0.5</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0.5</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0.5</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0.5</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0.5</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0.5</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0.5</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0.5</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0.5</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0.5</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0.5</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0.5</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0.5</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0.5</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0.5</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0.5</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0.5</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0.5</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0.5</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0.5</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48</v>
      </c>
      <c r="D1" s="1934"/>
      <c r="E1" s="1934"/>
      <c r="F1" s="1936" t="s">
        <v>1949</v>
      </c>
      <c r="G1" s="1747"/>
      <c r="H1" s="1937" t="str">
        <f>IF(G1="现房","——","估价对象范围")</f>
        <v>估价对象范围</v>
      </c>
      <c r="I1" s="1938"/>
    </row>
    <row r="2" spans="1:12" ht="21.75" customHeight="1" thickBot="1">
      <c r="A2" s="3253" t="str">
        <f>项目基本情况!S2</f>
        <v>北京市房地产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1" t="s">
        <v>1951</v>
      </c>
      <c r="B4" s="1942" t="s">
        <v>1952</v>
      </c>
      <c r="C4" s="1943" t="s">
        <v>3110</v>
      </c>
      <c r="D4" s="1943" t="s">
        <v>3126</v>
      </c>
      <c r="E4" s="3262" t="s">
        <v>1953</v>
      </c>
      <c r="F4" s="3263"/>
      <c r="G4" s="3263"/>
      <c r="H4" s="3263"/>
      <c r="I4" s="3264"/>
      <c r="K4" s="151"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1"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98" t="s">
        <v>1954</v>
      </c>
      <c r="B5" s="3256">
        <v>25</v>
      </c>
      <c r="C5" s="3259"/>
      <c r="D5" s="3247"/>
      <c r="E5" s="136" t="s">
        <v>1955</v>
      </c>
      <c r="F5" s="1944"/>
      <c r="G5" s="1944"/>
      <c r="H5" s="1944"/>
      <c r="I5" s="1558"/>
    </row>
    <row r="6" spans="1:12" ht="12.75">
      <c r="A6" s="3198"/>
      <c r="B6" s="3256"/>
      <c r="C6" s="3261"/>
      <c r="D6" s="3247"/>
      <c r="E6" s="136" t="s">
        <v>1956</v>
      </c>
      <c r="F6" s="1944"/>
      <c r="G6" s="1944"/>
      <c r="H6" s="1944"/>
      <c r="I6" s="1558"/>
    </row>
    <row r="7" spans="1:12" ht="12.75">
      <c r="A7" s="3198"/>
      <c r="B7" s="3256"/>
      <c r="C7" s="3260"/>
      <c r="D7" s="3247"/>
      <c r="E7" s="136" t="s">
        <v>1957</v>
      </c>
      <c r="F7" s="1944"/>
      <c r="G7" s="1944"/>
      <c r="H7" s="1944"/>
      <c r="I7" s="1558"/>
    </row>
    <row r="8" spans="1:12" ht="12.75">
      <c r="A8" s="3198" t="s">
        <v>1958</v>
      </c>
      <c r="B8" s="3256">
        <v>15</v>
      </c>
      <c r="C8" s="3259"/>
      <c r="D8" s="3247"/>
      <c r="E8" s="136" t="s">
        <v>1959</v>
      </c>
      <c r="F8" s="1944"/>
      <c r="G8" s="1944"/>
      <c r="H8" s="1944"/>
      <c r="I8" s="1558"/>
    </row>
    <row r="9" spans="1:12" ht="12.75">
      <c r="A9" s="3198"/>
      <c r="B9" s="3256"/>
      <c r="C9" s="3260"/>
      <c r="D9" s="3247"/>
      <c r="E9" s="136" t="s">
        <v>1960</v>
      </c>
      <c r="F9" s="1944"/>
      <c r="G9" s="1944"/>
      <c r="H9" s="1944"/>
      <c r="I9" s="1558"/>
    </row>
    <row r="10" spans="1:12" ht="12.75">
      <c r="A10" s="3198" t="s">
        <v>1961</v>
      </c>
      <c r="B10" s="3256">
        <v>15</v>
      </c>
      <c r="C10" s="3259"/>
      <c r="D10" s="3247"/>
      <c r="E10" s="136" t="s">
        <v>1962</v>
      </c>
      <c r="F10" s="1944"/>
      <c r="G10" s="1944"/>
      <c r="H10" s="1944"/>
      <c r="I10" s="1558"/>
    </row>
    <row r="11" spans="1:12" ht="12.75">
      <c r="A11" s="3198"/>
      <c r="B11" s="3256"/>
      <c r="C11" s="3260"/>
      <c r="D11" s="3247"/>
      <c r="E11" s="136" t="s">
        <v>1963</v>
      </c>
      <c r="F11" s="1944"/>
      <c r="G11" s="1944"/>
      <c r="H11" s="1944"/>
      <c r="I11" s="1558"/>
    </row>
    <row r="12" spans="1:12" ht="12.75">
      <c r="A12" s="3198" t="s">
        <v>1964</v>
      </c>
      <c r="B12" s="3256">
        <v>15</v>
      </c>
      <c r="C12" s="3259"/>
      <c r="D12" s="3247"/>
      <c r="E12" s="136" t="s">
        <v>1965</v>
      </c>
      <c r="F12" s="1944"/>
      <c r="G12" s="1944"/>
      <c r="H12" s="1944"/>
      <c r="I12" s="1558"/>
    </row>
    <row r="13" spans="1:12" ht="12.75">
      <c r="A13" s="3198"/>
      <c r="B13" s="3256"/>
      <c r="C13" s="3260"/>
      <c r="D13" s="3247"/>
      <c r="E13" s="136" t="s">
        <v>1966</v>
      </c>
      <c r="F13" s="1944"/>
      <c r="G13" s="1944"/>
      <c r="H13" s="1944"/>
      <c r="I13" s="1558"/>
    </row>
    <row r="14" spans="1:12" ht="12.75">
      <c r="A14" s="3198" t="s">
        <v>1967</v>
      </c>
      <c r="B14" s="3256">
        <v>30</v>
      </c>
      <c r="C14" s="3259">
        <v>6</v>
      </c>
      <c r="D14" s="3247">
        <v>4</v>
      </c>
      <c r="E14" s="136" t="s">
        <v>1968</v>
      </c>
      <c r="F14" s="1944"/>
      <c r="G14" s="1944"/>
      <c r="H14" s="1944"/>
      <c r="I14" s="1558"/>
    </row>
    <row r="15" spans="1:12" ht="12.75">
      <c r="A15" s="3198"/>
      <c r="B15" s="3256"/>
      <c r="C15" s="3261"/>
      <c r="D15" s="3247"/>
      <c r="E15" s="136" t="s">
        <v>1969</v>
      </c>
      <c r="F15" s="1944"/>
      <c r="G15" s="1944"/>
      <c r="H15" s="1944"/>
      <c r="I15" s="1558"/>
    </row>
    <row r="16" spans="1:12" ht="12.75">
      <c r="A16" s="3198"/>
      <c r="B16" s="3256"/>
      <c r="C16" s="3260"/>
      <c r="D16" s="3247"/>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278" t="s">
        <v>2872</v>
      </c>
      <c r="F18" s="3279"/>
      <c r="G18" s="3279"/>
      <c r="H18" s="3279"/>
      <c r="I18" s="3279"/>
      <c r="K18" s="308" t="s">
        <v>1975</v>
      </c>
      <c r="L18" s="308">
        <f>IF(C1="",'数据-汇总表'!E3,SUMIF(项目类型,C1,'数据-汇总表'!E17:E26)+SUMIF(项目类型,C1,'数据-汇总表'!I17:I26))</f>
        <v>30659.07</v>
      </c>
      <c r="M18" s="308">
        <f>IF(C1="",'数据-汇总表'!E3,SUMIF(项目类型,C1,'数据-汇总表'!E17:E26))</f>
        <v>30659.07</v>
      </c>
    </row>
    <row r="19" spans="1:36" ht="15">
      <c r="A19" s="1948" t="s">
        <v>1976</v>
      </c>
      <c r="B19" s="1949" t="s">
        <v>1977</v>
      </c>
      <c r="C19" s="139">
        <f ca="1">SUMIF(INDIRECT("'"&amp;C4&amp;"'"&amp;"!A:A"),'结果表-地下车库'!B19,INDIRECT("'"&amp;C4&amp;"'"&amp;"!B:B"))</f>
        <v>30986</v>
      </c>
      <c r="D19" s="140">
        <f ca="1">SUMIF(INDIRECT("'"&amp;D4&amp;"'"&amp;"!A:A"),'结果表-地下车库'!B19,INDIRECT("'"&amp;D4&amp;"'"&amp;"!B:B"))</f>
        <v>13591</v>
      </c>
      <c r="E19" s="1948" t="s">
        <v>1978</v>
      </c>
      <c r="F19" s="1949" t="s">
        <v>1977</v>
      </c>
      <c r="G19" s="141">
        <f ca="1">ROUND(C19*$C$18+D19*$D$18,0)</f>
        <v>24028</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SUMIF(INDIRECT("'"&amp;C4&amp;"'"&amp;"!A:A"),'结果表-地下车库'!B20,INDIRECT("'"&amp;C4&amp;"'"&amp;"!B:B"))</f>
        <v>10107</v>
      </c>
      <c r="D20" s="143">
        <f ca="1">SUMIF(INDIRECT("'"&amp;D4&amp;"'"&amp;"!A:A"),'结果表-地下车库'!B20,INDIRECT("'"&amp;D4&amp;"'"&amp;"!B:B"))</f>
        <v>4433</v>
      </c>
      <c r="E20" s="1951"/>
      <c r="F20" s="1157" t="s">
        <v>1981</v>
      </c>
      <c r="G20" s="144">
        <f ca="1">ROUND(C20*$C$18+D20*$D$18,0)</f>
        <v>7837</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1.2798911044073282</v>
      </c>
      <c r="E22" s="134"/>
      <c r="F22" s="134"/>
      <c r="G22" s="134"/>
      <c r="H22" s="134"/>
      <c r="I22" s="134"/>
    </row>
    <row r="23" spans="1:36" ht="13.5" thickBot="1">
      <c r="A23" s="1934"/>
      <c r="B23" s="1934"/>
      <c r="C23" s="1934"/>
      <c r="D23" s="1934"/>
      <c r="E23" s="134"/>
      <c r="F23" s="134"/>
      <c r="G23" s="134"/>
      <c r="H23" s="134"/>
      <c r="I23" s="134"/>
    </row>
    <row r="24" spans="1:36" ht="14.25">
      <c r="A24" s="3271" t="s">
        <v>1985</v>
      </c>
      <c r="B24" s="1949" t="s">
        <v>1977</v>
      </c>
      <c r="C24" s="141">
        <f>IF(B30=0,0,D30)</f>
        <v>0</v>
      </c>
      <c r="D24" s="1956"/>
      <c r="E24" s="134"/>
      <c r="F24" s="134"/>
      <c r="G24" s="134"/>
      <c r="H24" s="134"/>
      <c r="I24" s="134"/>
    </row>
    <row r="25" spans="1:36" ht="14.25">
      <c r="A25" s="3272"/>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24028</v>
      </c>
      <c r="D32" s="1962" t="s">
        <v>3132</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8" t="s">
        <v>1998</v>
      </c>
      <c r="B36" s="1974" t="s">
        <v>1999</v>
      </c>
      <c r="C36" s="150"/>
      <c r="D36" s="1975"/>
      <c r="E36" s="1976"/>
      <c r="F36" s="1977"/>
      <c r="G36" s="134"/>
      <c r="H36" s="134"/>
      <c r="I36" s="134"/>
    </row>
    <row r="37" spans="1:15" ht="15.75" thickBot="1">
      <c r="A37" s="3249"/>
      <c r="B37" s="1861" t="s">
        <v>2000</v>
      </c>
      <c r="C37" s="152"/>
      <c r="D37" s="1301"/>
      <c r="E37" s="1301"/>
      <c r="F37" s="1977"/>
      <c r="G37" s="134"/>
      <c r="H37" s="134"/>
      <c r="I37" s="134"/>
    </row>
    <row r="38" spans="1:15" ht="15.75" thickBot="1">
      <c r="A38" s="3250"/>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8" t="s">
        <v>2012</v>
      </c>
      <c r="B45" s="3269"/>
      <c r="C45" s="3270"/>
      <c r="D45" s="160">
        <f ca="1">ROUND(H101*F45,0)</f>
        <v>24028</v>
      </c>
      <c r="E45" s="161" t="s">
        <v>2013</v>
      </c>
      <c r="F45" s="162">
        <v>1</v>
      </c>
      <c r="G45" s="163" t="s">
        <v>2014</v>
      </c>
      <c r="H45" s="134"/>
      <c r="I45" s="134"/>
      <c r="J45" s="3185" t="s">
        <v>2015</v>
      </c>
      <c r="K45" s="3185"/>
      <c r="L45" s="3185"/>
      <c r="M45" s="3185"/>
      <c r="N45" s="3185"/>
      <c r="O45" s="3185"/>
    </row>
    <row r="46" spans="1:15" ht="14.25" customHeight="1">
      <c r="A46" s="3265" t="s">
        <v>2016</v>
      </c>
      <c r="B46" s="3266"/>
      <c r="C46" s="3266"/>
      <c r="D46" s="3266"/>
      <c r="E46" s="3266"/>
      <c r="F46" s="3266"/>
      <c r="G46" s="3267"/>
      <c r="H46" s="1993"/>
      <c r="I46" s="164"/>
      <c r="J46" s="3054">
        <v>1</v>
      </c>
      <c r="K46" s="3186" t="s">
        <v>2017</v>
      </c>
      <c r="L46" s="3186"/>
      <c r="M46" s="3187"/>
      <c r="N46" s="3187"/>
      <c r="O46" s="3187"/>
    </row>
    <row r="47" spans="1:15" ht="12" customHeight="1">
      <c r="A47" s="165" t="s">
        <v>2018</v>
      </c>
      <c r="B47" s="166"/>
      <c r="C47" s="167"/>
      <c r="D47" s="1247" t="s">
        <v>2019</v>
      </c>
      <c r="E47" s="308" t="s">
        <v>2020</v>
      </c>
      <c r="F47" s="168" t="s">
        <v>2021</v>
      </c>
      <c r="G47" s="2773" t="s">
        <v>2022</v>
      </c>
      <c r="H47" s="2774"/>
      <c r="I47" s="164"/>
      <c r="J47" s="3054">
        <v>2</v>
      </c>
      <c r="K47" s="3186" t="s">
        <v>2023</v>
      </c>
      <c r="L47" s="3186"/>
      <c r="M47" s="3188">
        <f>'数据-取费表'!B2</f>
        <v>44256</v>
      </c>
      <c r="N47" s="3188"/>
      <c r="O47" s="3188"/>
    </row>
    <row r="48" spans="1:15" ht="25.5">
      <c r="A48" s="3251" t="s">
        <v>2024</v>
      </c>
      <c r="B48" s="3252"/>
      <c r="C48" s="3252"/>
      <c r="D48" s="3049" t="b">
        <f>IF(H48="情况1",0,IF(H48="情况2",D52,IF(H48="情况3",D53,IF(H48="情况4",D54))))</f>
        <v>0</v>
      </c>
      <c r="E48" s="3064" t="str">
        <f>IF(H48="情况4","(销售额-原购置价)×税（费）率","销售额×税（费）率")</f>
        <v>销售额×税（费）率</v>
      </c>
      <c r="F48" s="2775">
        <f>IF(H48="情况1","免征",'数据-取费表'!B41)</f>
        <v>5.6000000000000001E-2</v>
      </c>
      <c r="G48" s="2776" t="s">
        <v>2025</v>
      </c>
      <c r="H48" s="2777"/>
      <c r="I48" s="1993"/>
      <c r="J48" s="3054">
        <v>3</v>
      </c>
      <c r="K48" s="3186" t="s">
        <v>2026</v>
      </c>
      <c r="L48" s="3186"/>
      <c r="M48" s="3189">
        <f ca="1">H101</f>
        <v>24028</v>
      </c>
      <c r="N48" s="3189"/>
      <c r="O48" s="3189"/>
    </row>
    <row r="49" spans="1:35" ht="25.5" customHeight="1">
      <c r="A49" s="3063" t="s">
        <v>2027</v>
      </c>
      <c r="B49" s="3234" t="s">
        <v>2028</v>
      </c>
      <c r="C49" s="3234"/>
      <c r="D49" s="1776">
        <v>0</v>
      </c>
      <c r="E49" s="330" t="s">
        <v>2029</v>
      </c>
      <c r="F49" s="3047" t="s">
        <v>34</v>
      </c>
      <c r="G49" s="3217"/>
      <c r="H49" s="2529" t="s">
        <v>2875</v>
      </c>
      <c r="I49" s="2530"/>
      <c r="J49" s="3054">
        <v>4</v>
      </c>
      <c r="K49" s="3186" t="str">
        <f>IF(项目基本情况!E8="房地产抵押价值","房地产抵押价值","抵押担保权已注销时的房地产抵押价值")</f>
        <v>房地产抵押价值</v>
      </c>
      <c r="L49" s="3186"/>
      <c r="M49" s="3189">
        <f ca="1">IF(项目基本情况!E8="房地产抵押价值",H107,H109)</f>
        <v>24028</v>
      </c>
      <c r="N49" s="3189"/>
      <c r="O49" s="3189"/>
    </row>
    <row r="50" spans="1:35" ht="25.5" customHeight="1">
      <c r="A50" s="2778"/>
      <c r="B50" s="3234" t="s">
        <v>2030</v>
      </c>
      <c r="C50" s="3234"/>
      <c r="D50" s="2779"/>
      <c r="E50" s="338"/>
      <c r="F50" s="3047"/>
      <c r="G50" s="3218"/>
      <c r="H50" s="2531" t="s">
        <v>2876</v>
      </c>
      <c r="I50" s="2530"/>
      <c r="J50" s="3185" t="s">
        <v>2031</v>
      </c>
      <c r="K50" s="3185"/>
      <c r="L50" s="3185"/>
      <c r="M50" s="3185"/>
      <c r="N50" s="3185"/>
      <c r="O50" s="3185"/>
    </row>
    <row r="51" spans="1:35" ht="20.45" customHeight="1">
      <c r="A51" s="2780"/>
      <c r="B51" s="3234" t="s">
        <v>2032</v>
      </c>
      <c r="C51" s="3234"/>
      <c r="D51" s="1247"/>
      <c r="E51" s="333"/>
      <c r="F51" s="3047"/>
      <c r="G51" s="3219"/>
      <c r="H51" s="2531" t="s">
        <v>2877</v>
      </c>
      <c r="I51" s="2530"/>
      <c r="J51" s="3048" t="s">
        <v>2033</v>
      </c>
      <c r="K51" s="3186" t="s">
        <v>2034</v>
      </c>
      <c r="L51" s="3186"/>
      <c r="M51" s="3048" t="s">
        <v>2035</v>
      </c>
      <c r="N51" s="3048" t="s">
        <v>2036</v>
      </c>
      <c r="O51" s="3048" t="s">
        <v>2037</v>
      </c>
    </row>
    <row r="52" spans="1:35" ht="24" customHeight="1">
      <c r="A52" s="3066" t="s">
        <v>2038</v>
      </c>
      <c r="B52" s="3234" t="s">
        <v>2039</v>
      </c>
      <c r="C52" s="3234"/>
      <c r="D52" s="1247">
        <f ca="1">ROUND(D45*'数据-取费表'!B41/(1+'数据-取费表'!C42),0)</f>
        <v>1281</v>
      </c>
      <c r="E52" s="3064" t="s">
        <v>2040</v>
      </c>
      <c r="F52" s="2781">
        <f>'数据-取费表'!B41</f>
        <v>5.6000000000000001E-2</v>
      </c>
      <c r="G52" s="2782"/>
      <c r="H52" s="2771"/>
      <c r="I52" s="1994"/>
      <c r="J52" s="3054">
        <v>1</v>
      </c>
      <c r="K52" s="3211" t="s">
        <v>2041</v>
      </c>
      <c r="L52" s="3211"/>
      <c r="M52" s="2752" t="b">
        <f>D48</f>
        <v>0</v>
      </c>
      <c r="N52" s="3054" t="str">
        <f>E48</f>
        <v>销售额×税（费）率</v>
      </c>
      <c r="O52" s="2753">
        <f>F48</f>
        <v>5.6000000000000001E-2</v>
      </c>
    </row>
    <row r="53" spans="1:35" ht="12" customHeight="1">
      <c r="A53" s="3066" t="s">
        <v>2042</v>
      </c>
      <c r="B53" s="3235" t="s">
        <v>3036</v>
      </c>
      <c r="C53" s="3236"/>
      <c r="D53" s="1247">
        <f ca="1">ROUND(D45*'数据-取费表'!B41/(1+'数据-取费表'!C42),0)</f>
        <v>1281</v>
      </c>
      <c r="E53" s="3064" t="s">
        <v>2040</v>
      </c>
      <c r="F53" s="2781">
        <f>'数据-取费表'!B41</f>
        <v>5.6000000000000001E-2</v>
      </c>
      <c r="G53" s="2782"/>
      <c r="H53" s="2771"/>
      <c r="I53" s="1994"/>
      <c r="J53" s="3054">
        <v>2</v>
      </c>
      <c r="K53" s="3211" t="s">
        <v>2043</v>
      </c>
      <c r="L53" s="3211"/>
      <c r="M53" s="2752">
        <f t="shared" ref="M53:O54" ca="1" si="0">D55</f>
        <v>12</v>
      </c>
      <c r="N53" s="3054" t="str">
        <f t="shared" si="0"/>
        <v>销售额×税（费）率</v>
      </c>
      <c r="O53" s="2753" t="str">
        <f t="shared" si="0"/>
        <v>免征</v>
      </c>
    </row>
    <row r="54" spans="1:35" ht="12" customHeight="1">
      <c r="A54" s="3066" t="s">
        <v>2044</v>
      </c>
      <c r="B54" s="3235" t="s">
        <v>3037</v>
      </c>
      <c r="C54" s="3236"/>
      <c r="D54" s="1247">
        <f ca="1">C68</f>
        <v>1282</v>
      </c>
      <c r="E54" s="333" t="s">
        <v>2045</v>
      </c>
      <c r="F54" s="2781">
        <f>'数据-取费表'!B41</f>
        <v>5.6000000000000001E-2</v>
      </c>
      <c r="G54" s="2782"/>
      <c r="H54" s="2783"/>
      <c r="I54" s="1994"/>
      <c r="J54" s="3054">
        <v>3</v>
      </c>
      <c r="K54" s="3211" t="s">
        <v>2046</v>
      </c>
      <c r="L54" s="3211"/>
      <c r="M54" s="2752">
        <f t="shared" ca="1" si="0"/>
        <v>13600</v>
      </c>
      <c r="N54" s="3054" t="str">
        <f t="shared" si="0"/>
        <v>增值额×税（费）率</v>
      </c>
      <c r="O54" s="2754" t="str">
        <f t="shared" si="0"/>
        <v>免征</v>
      </c>
    </row>
    <row r="55" spans="1:35" ht="24" customHeight="1">
      <c r="A55" s="3274" t="s">
        <v>2047</v>
      </c>
      <c r="B55" s="3252"/>
      <c r="C55" s="3252"/>
      <c r="D55" s="3049">
        <f ca="1">IF(H55="个人住宅",0,ROUND(D45*I55,0))</f>
        <v>12</v>
      </c>
      <c r="E55" s="3064" t="s">
        <v>2048</v>
      </c>
      <c r="F55" s="2781" t="str">
        <f>IF(H55="正常",I55,"免征")</f>
        <v>免征</v>
      </c>
      <c r="G55" s="2782"/>
      <c r="H55" s="2777"/>
      <c r="I55" s="170">
        <f>'数据-取费表'!B49</f>
        <v>5.0000000000000001E-4</v>
      </c>
      <c r="J55" s="3054">
        <f>IF(H59="非个人房产","",4)</f>
        <v>4</v>
      </c>
      <c r="K55" s="3211" t="str">
        <f>IF(H59="非个人房产","——","个人所得税")</f>
        <v>个人所得税</v>
      </c>
      <c r="L55" s="3211"/>
      <c r="M55" s="2755">
        <f ca="1">D59</f>
        <v>229</v>
      </c>
      <c r="N55" s="3055" t="str">
        <f>E59</f>
        <v>差额计税</v>
      </c>
      <c r="O55" s="2756">
        <f>F59</f>
        <v>0.01</v>
      </c>
    </row>
    <row r="56" spans="1:35" ht="24.75">
      <c r="A56" s="3274" t="s">
        <v>2049</v>
      </c>
      <c r="B56" s="3252"/>
      <c r="C56" s="3252"/>
      <c r="D56" s="3049">
        <f ca="1">IF(H56="个人住宅",D57,D58)</f>
        <v>13600</v>
      </c>
      <c r="E56" s="3064" t="s">
        <v>2050</v>
      </c>
      <c r="F56" s="2781" t="str">
        <f>IF(H56="正常",F58,"免征")</f>
        <v>免征</v>
      </c>
      <c r="G56" s="2784" t="s">
        <v>2051</v>
      </c>
      <c r="H56" s="2785"/>
      <c r="I56" s="1995"/>
      <c r="J56" s="3054" t="str">
        <f>IF(项目基本情况!K6="上海银行",IF(J55="",4,J55+1),"")</f>
        <v/>
      </c>
      <c r="K56" s="3192" t="str">
        <f>IF(项目基本情况!K6="上海银行","其他处置费用","")</f>
        <v/>
      </c>
      <c r="L56" s="3193"/>
      <c r="M56" s="2752" t="str">
        <f>IF(项目基本情况!K6="上海银行",M69,"")</f>
        <v/>
      </c>
      <c r="N56" s="3192" t="str">
        <f>IF(项目基本情况!K6="上海银行","包含处置中涉及的律师、诉讼、拍卖、评估等费用","")</f>
        <v/>
      </c>
      <c r="O56" s="3195"/>
    </row>
    <row r="57" spans="1:35" ht="12.75">
      <c r="A57" s="3066" t="s">
        <v>2027</v>
      </c>
      <c r="B57" s="3235" t="s">
        <v>2052</v>
      </c>
      <c r="C57" s="3236"/>
      <c r="D57" s="1776">
        <v>0</v>
      </c>
      <c r="E57" s="330" t="s">
        <v>2029</v>
      </c>
      <c r="F57" s="308"/>
      <c r="G57" s="2782"/>
      <c r="H57" s="2786"/>
      <c r="I57" s="1995"/>
      <c r="J57" s="3211">
        <f>IF(AND(J55="",J56=""),4,IF(项目基本情况!K6="上海银行",'结果表-地下车库'!J56+1,'结果表-地下车库'!J55+1))</f>
        <v>5</v>
      </c>
      <c r="K57" s="3211" t="s">
        <v>2053</v>
      </c>
      <c r="L57" s="2757" t="s">
        <v>2054</v>
      </c>
      <c r="M57" s="2758"/>
      <c r="N57" s="2759">
        <f ca="1">SUMIF(M52:M56,"&lt;9e307")</f>
        <v>13841</v>
      </c>
      <c r="O57" s="2760"/>
      <c r="P57" s="2920">
        <f ca="1">N57/M49</f>
        <v>0.57603629099384057</v>
      </c>
    </row>
    <row r="58" spans="1:35" ht="24.75">
      <c r="A58" s="3066" t="s">
        <v>2038</v>
      </c>
      <c r="B58" s="3235" t="s">
        <v>2055</v>
      </c>
      <c r="C58" s="3234"/>
      <c r="D58" s="3049">
        <f ca="1">IF(H58="转让取得",C81,C97)</f>
        <v>13600</v>
      </c>
      <c r="E58" s="3064" t="s">
        <v>2050</v>
      </c>
      <c r="F58" s="308" t="s">
        <v>34</v>
      </c>
      <c r="G58" s="2782"/>
      <c r="H58" s="2785"/>
      <c r="I58" s="1995"/>
      <c r="J58" s="3211"/>
      <c r="K58" s="3211"/>
      <c r="L58" s="2757" t="s">
        <v>2056</v>
      </c>
      <c r="M58" s="2761"/>
      <c r="N58" s="2762" t="str">
        <f ca="1">NUMBERSTRING(INT(N57*10000),2)&amp;"元整"</f>
        <v>壹亿叁仟捌佰肆拾壹万元整</v>
      </c>
      <c r="O58" s="2763"/>
    </row>
    <row r="59" spans="1:35" ht="24.75" thickBot="1">
      <c r="A59" s="3215" t="s">
        <v>2057</v>
      </c>
      <c r="B59" s="3216"/>
      <c r="C59" s="3216"/>
      <c r="D59" s="2787">
        <f ca="1">IF(H59="非个人房产","——",IF(H59="个人住宅（满五唯一有凭证）",0,IF(H59="个人其他（无凭证）",ROUND(D45*F59,0),ROUND(C67*F59,0))))</f>
        <v>229</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13">
        <f>J57+1</f>
        <v>6</v>
      </c>
      <c r="K59" s="3211" t="s">
        <v>2058</v>
      </c>
      <c r="L59" s="3054" t="s">
        <v>2054</v>
      </c>
      <c r="M59" s="2764"/>
      <c r="N59" s="2765">
        <f ca="1">M49-N57</f>
        <v>10187</v>
      </c>
      <c r="O59" s="2766"/>
    </row>
    <row r="60" spans="1:35" ht="12" customHeight="1">
      <c r="A60" s="1996"/>
      <c r="B60" s="1934"/>
      <c r="C60" s="1934"/>
      <c r="D60" s="1934"/>
      <c r="E60" s="1764"/>
      <c r="F60" s="1995"/>
      <c r="G60" s="1995"/>
      <c r="H60" s="1997"/>
      <c r="I60" s="134"/>
      <c r="J60" s="3214"/>
      <c r="K60" s="3211"/>
      <c r="L60" s="2757" t="s">
        <v>2056</v>
      </c>
      <c r="M60" s="2761"/>
      <c r="N60" s="2762" t="str">
        <f ca="1">NUMBERSTRING(INT(N59*10000),2)&amp;"元整"</f>
        <v>壹亿零壹佰捌拾柒万元整</v>
      </c>
      <c r="O60" s="2763"/>
    </row>
    <row r="61" spans="1:35" ht="13.5" thickBot="1">
      <c r="A61" s="3273" t="s">
        <v>2059</v>
      </c>
      <c r="B61" s="3273"/>
      <c r="C61" s="3273"/>
      <c r="D61" s="3273"/>
      <c r="E61" s="3273"/>
      <c r="F61" s="1995"/>
      <c r="G61" s="1995"/>
      <c r="H61" s="1997"/>
      <c r="I61" s="134"/>
      <c r="J61" s="3054">
        <f>J59+1</f>
        <v>7</v>
      </c>
      <c r="K61" s="3211" t="s">
        <v>2060</v>
      </c>
      <c r="L61" s="3211"/>
      <c r="M61" s="2767"/>
      <c r="N61" s="2768">
        <f ca="1">ROUND(N59*10000/'数据-汇总表'!E3,0)</f>
        <v>1027</v>
      </c>
      <c r="O61" s="2769"/>
    </row>
    <row r="62" spans="1:35" ht="12.75">
      <c r="A62" s="3230" t="s">
        <v>2061</v>
      </c>
      <c r="B62" s="3231"/>
      <c r="C62" s="3059"/>
      <c r="D62" s="3059" t="s">
        <v>2062</v>
      </c>
      <c r="E62" s="171" t="s">
        <v>2063</v>
      </c>
      <c r="F62" s="1995"/>
      <c r="G62" s="1995"/>
      <c r="H62" s="1997"/>
      <c r="I62" s="134"/>
    </row>
    <row r="63" spans="1:35" ht="12.75">
      <c r="A63" s="178" t="s">
        <v>775</v>
      </c>
      <c r="B63" s="172" t="s">
        <v>2064</v>
      </c>
      <c r="C63" s="2791">
        <f ca="1">ROUND((C64+C65)/(1+'数据-取费表'!C42),0)</f>
        <v>22884</v>
      </c>
      <c r="D63" s="172"/>
      <c r="E63" s="173"/>
      <c r="F63" s="1995"/>
      <c r="G63" s="1995"/>
      <c r="H63" s="1997"/>
      <c r="I63" s="134"/>
      <c r="J63" s="3194" t="s">
        <v>2065</v>
      </c>
      <c r="K63" s="3050" t="s">
        <v>2066</v>
      </c>
      <c r="L63" s="3050">
        <f ca="1">IF(M49&gt;10000,M49*0.5%,IF(AND(M49&gt;1000,M49&lt;=10000),M49*1%,IF(AND(M49&gt;100,M49&lt;=1000),M49*3%,IF(AND(M49&gt;10,M49&lt;=100),M49*5%,M49*8%))))</f>
        <v>120.14</v>
      </c>
      <c r="M63" s="308">
        <f ca="1">ROUND(L63,1)</f>
        <v>120.1</v>
      </c>
      <c r="N63" s="2770"/>
      <c r="Z63" s="1939"/>
      <c r="AI63" s="1940"/>
    </row>
    <row r="64" spans="1:35" ht="14.25" customHeight="1">
      <c r="A64" s="174" t="s">
        <v>770</v>
      </c>
      <c r="B64" s="175" t="s">
        <v>2067</v>
      </c>
      <c r="C64" s="2792">
        <f ca="1">D45</f>
        <v>24028</v>
      </c>
      <c r="D64" s="175" t="s">
        <v>32</v>
      </c>
      <c r="E64" s="177"/>
      <c r="F64" s="1995"/>
      <c r="G64" s="1995"/>
      <c r="H64" s="1997"/>
      <c r="I64" s="134"/>
      <c r="J64" s="3194"/>
      <c r="K64" s="3050" t="s">
        <v>2068</v>
      </c>
      <c r="L64" s="3050">
        <f ca="1">IF(M49&gt;2000,M49*0.5%,IF(AND(M49&gt;1000,M49&lt;=2000),M49*0.6%,IF(AND(M49&gt;500,M49&lt;=1000),M49*0.7%,IF(AND(M49&gt;200,M49&lt;=500),M49*0.8%,IF(AND(M49&gt;100,M49&lt;=200),M49*0.9%,IF(AND(M49&gt;50,M49&lt;=100),M49*1%,IF(AND(M49&gt;20,M49&lt;=50),M49*1.5%,IF(AND(M49&gt;10,M49&lt;=20),M49*2%,IF(AND(M49&gt;1,M49&lt;=10),M49*2.5%)))))))))</f>
        <v>120.14</v>
      </c>
      <c r="M64" s="308">
        <f t="shared" ref="M64:M65" ca="1" si="1">ROUND(L64,1)</f>
        <v>120.1</v>
      </c>
      <c r="N64" s="2771" t="s">
        <v>2069</v>
      </c>
      <c r="Z64" s="1939"/>
      <c r="AI64" s="1940"/>
    </row>
    <row r="65" spans="1:35" ht="14.25" customHeight="1">
      <c r="A65" s="174" t="s">
        <v>771</v>
      </c>
      <c r="B65" s="175" t="s">
        <v>2070</v>
      </c>
      <c r="C65" s="2793"/>
      <c r="D65" s="175"/>
      <c r="E65" s="177"/>
      <c r="F65" s="1995"/>
      <c r="G65" s="1995"/>
      <c r="H65" s="1997"/>
      <c r="I65" s="134"/>
      <c r="J65" s="3194"/>
      <c r="K65" s="3050" t="s">
        <v>2071</v>
      </c>
      <c r="L65" s="3050">
        <f ca="1">IF(M49&gt;1000,M49*0.1%,IF(AND(M49&gt;500,M49&lt;=1000),M49*0.5%,IF(AND(M49&gt;50,M49&lt;=500),M49*1%,IF(AND(M49&gt;1,M49&lt;=50),M49*1.5%))))</f>
        <v>24.028000000000002</v>
      </c>
      <c r="M65" s="308">
        <f t="shared" ca="1" si="1"/>
        <v>24</v>
      </c>
      <c r="N65" s="2771" t="s">
        <v>2069</v>
      </c>
      <c r="Z65" s="1939"/>
      <c r="AI65" s="1940"/>
    </row>
    <row r="66" spans="1:35" ht="14.25" customHeight="1">
      <c r="A66" s="178" t="s">
        <v>772</v>
      </c>
      <c r="B66" s="179" t="s">
        <v>2072</v>
      </c>
      <c r="C66" s="2794"/>
      <c r="D66" s="179" t="s">
        <v>32</v>
      </c>
      <c r="E66" s="1510" t="s">
        <v>1337</v>
      </c>
      <c r="F66" s="1995"/>
      <c r="G66" s="1995"/>
      <c r="H66" s="1997"/>
      <c r="I66" s="134"/>
      <c r="J66" s="3194"/>
      <c r="K66" s="3050" t="s">
        <v>2073</v>
      </c>
      <c r="L66" s="3050">
        <f ca="1">M49*0.5%</f>
        <v>120.14</v>
      </c>
      <c r="M66" s="308">
        <f ca="1">IF(L66&gt;0.5,0.5,ROUND(L66,0))</f>
        <v>0.5</v>
      </c>
      <c r="N66" s="2771" t="s">
        <v>2074</v>
      </c>
      <c r="Z66" s="1939"/>
      <c r="AI66" s="1940"/>
    </row>
    <row r="67" spans="1:35" ht="14.25" customHeight="1">
      <c r="A67" s="178" t="s">
        <v>773</v>
      </c>
      <c r="B67" s="179" t="s">
        <v>2075</v>
      </c>
      <c r="C67" s="2795">
        <f ca="1">C63-C66</f>
        <v>22884</v>
      </c>
      <c r="D67" s="175" t="s">
        <v>32</v>
      </c>
      <c r="E67" s="177"/>
      <c r="F67" s="1995"/>
      <c r="G67" s="1995"/>
      <c r="H67" s="1997"/>
      <c r="I67" s="134"/>
      <c r="J67" s="3194"/>
      <c r="K67" s="3050" t="s">
        <v>2076</v>
      </c>
      <c r="L67" s="3050">
        <f ca="1">IF(M49&gt;=10000,(8.25+(M49-10000)*0.01%),IF(AND(M49&gt;=8000,M49&lt;10000),(7.85+(M49-8000)*0.02%),IF(AND(M49&gt;=5000,M49&lt;8000),(6.65+(M49-5000)*0.04%),IF(AND(M49&gt;=2000,M49&lt;5000),(4.25+(PM49-2000)*0.08%),IF(AND(M49&gt;=1000,M49&lt;2000),(2.75+(M49-1000)*0.15%),IF(AND(M49&gt;=100,M49&lt;1000),(0.5+(M49-100)*0.25%),IF(AND(M49&gt;0,M49&lt;100),M49*0.5%)))))))</f>
        <v>9.6527999999999992</v>
      </c>
      <c r="M67" s="308">
        <f ca="1">ROUND(L67*0.9,1)</f>
        <v>8.6999999999999993</v>
      </c>
      <c r="N67" s="2770"/>
      <c r="Z67" s="1939"/>
      <c r="AI67" s="1940"/>
    </row>
    <row r="68" spans="1:35" ht="14.25" customHeight="1" thickBot="1">
      <c r="A68" s="181" t="s">
        <v>774</v>
      </c>
      <c r="B68" s="182" t="s">
        <v>2077</v>
      </c>
      <c r="C68" s="2796">
        <f ca="1">IF(C67&lt;=0,0,ROUND(C67*D68,0))</f>
        <v>1282</v>
      </c>
      <c r="D68" s="2797">
        <f>'数据-取费表'!B41</f>
        <v>5.6000000000000001E-2</v>
      </c>
      <c r="E68" s="184"/>
      <c r="F68" s="1995"/>
      <c r="G68" s="1995"/>
      <c r="H68" s="1997"/>
      <c r="I68" s="134"/>
      <c r="J68" s="3194"/>
      <c r="K68" s="3050" t="s">
        <v>2078</v>
      </c>
      <c r="L68" s="3050">
        <f ca="1">IF(M49&gt;10000,M49*0.5%,IF(AND(M49&gt;5000,M49&lt;=10000),M49*1%,IF(AND(M49&gt;1000,M49&lt;=5000),M49*2%,IF(AND(M49&gt;200,M49&lt;=1000),M49*3%,M49*5%))))</f>
        <v>120.14</v>
      </c>
      <c r="M68" s="308">
        <f ca="1">ROUND(L68,1)</f>
        <v>120.1</v>
      </c>
      <c r="N68" s="2770"/>
      <c r="Z68" s="1939"/>
      <c r="AI68" s="1940"/>
    </row>
    <row r="69" spans="1:35" s="1959" customFormat="1" ht="16.5" customHeight="1">
      <c r="A69" s="1998"/>
      <c r="B69" s="1999"/>
      <c r="C69" s="2000"/>
      <c r="D69" s="2001"/>
      <c r="E69" s="2002"/>
      <c r="F69" s="1764"/>
      <c r="G69" s="1764"/>
      <c r="H69" s="1763"/>
      <c r="I69" s="1934"/>
      <c r="J69" s="3194"/>
      <c r="K69" s="3050" t="s">
        <v>2079</v>
      </c>
      <c r="L69" s="3050"/>
      <c r="M69" s="308">
        <f ca="1">ROUND(SUM(M63:M68),0)</f>
        <v>394</v>
      </c>
      <c r="N69" s="2772">
        <f ca="1">M69/M49</f>
        <v>1.6397536207757617E-2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8" t="s">
        <v>2080</v>
      </c>
      <c r="B70" s="3239"/>
      <c r="C70" s="3239"/>
      <c r="D70" s="3239"/>
      <c r="E70" s="3239"/>
      <c r="F70" s="3239"/>
      <c r="G70" s="3239"/>
      <c r="H70" s="3239"/>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0" t="s">
        <v>2061</v>
      </c>
      <c r="B71" s="3231"/>
      <c r="C71" s="3059"/>
      <c r="D71" s="3059"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22884</v>
      </c>
      <c r="D72" s="175" t="s">
        <v>32</v>
      </c>
      <c r="E72" s="3061"/>
      <c r="F72" s="3060"/>
      <c r="G72" s="3060"/>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137</v>
      </c>
      <c r="D73" s="175" t="s">
        <v>32</v>
      </c>
      <c r="E73" s="3061"/>
      <c r="F73" s="3060"/>
      <c r="G73" s="3060"/>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1"/>
      <c r="F74" s="3060"/>
      <c r="G74" s="3060"/>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35" t="s">
        <v>2088</v>
      </c>
      <c r="F76" s="3234"/>
      <c r="G76" s="3234"/>
      <c r="H76" s="323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49" t="s">
        <v>2090</v>
      </c>
      <c r="F77" s="192"/>
      <c r="G77" s="2009"/>
      <c r="H77" s="3062"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137</v>
      </c>
      <c r="D78" s="2804">
        <f>'数据-取费表'!B43</f>
        <v>6.000000000000001E-3</v>
      </c>
      <c r="E78" s="3227" t="s">
        <v>2092</v>
      </c>
      <c r="F78" s="3228"/>
      <c r="G78" s="3228"/>
      <c r="H78" s="322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22747</v>
      </c>
      <c r="D79" s="175" t="s">
        <v>32</v>
      </c>
      <c r="E79" s="3061"/>
      <c r="F79" s="3060"/>
      <c r="G79" s="3060"/>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166.03649635036496</v>
      </c>
      <c r="D80" s="175" t="s">
        <v>32</v>
      </c>
      <c r="E80" s="3049"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13600</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8" t="s">
        <v>2096</v>
      </c>
      <c r="B83" s="3239"/>
      <c r="C83" s="3239"/>
      <c r="D83" s="3239"/>
      <c r="E83" s="3239"/>
      <c r="F83" s="3239"/>
      <c r="G83" s="3239"/>
      <c r="H83" s="323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0" t="s">
        <v>2061</v>
      </c>
      <c r="B84" s="3231"/>
      <c r="C84" s="3059"/>
      <c r="D84" s="305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22884</v>
      </c>
      <c r="D85" s="175" t="s">
        <v>32</v>
      </c>
      <c r="E85" s="3061"/>
      <c r="F85" s="3060"/>
      <c r="G85" s="3060"/>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137</v>
      </c>
      <c r="D86" s="2808"/>
      <c r="E86" s="3061"/>
      <c r="F86" s="3060"/>
      <c r="G86" s="3060"/>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6"/>
      <c r="F87" s="3057"/>
      <c r="G87" s="3057"/>
      <c r="H87" s="3058"/>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57"/>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3057"/>
      <c r="G89" s="3057"/>
      <c r="H89" s="3058"/>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57"/>
      <c r="G90" s="3196" t="s">
        <v>2870</v>
      </c>
      <c r="H90" s="3197"/>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IF(H91="——",'成本法-地上商业'!C33,I91)</f>
        <v>0</v>
      </c>
      <c r="D91" s="2804"/>
      <c r="E91" s="3227" t="s">
        <v>2105</v>
      </c>
      <c r="F91" s="3228"/>
      <c r="G91" s="322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27" t="s">
        <v>2108</v>
      </c>
      <c r="F92" s="3228"/>
      <c r="G92" s="3228"/>
      <c r="H92" s="3229"/>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137</v>
      </c>
      <c r="D93" s="2804">
        <f>'数据-取费表'!B43</f>
        <v>6.000000000000001E-3</v>
      </c>
      <c r="E93" s="3227" t="s">
        <v>2092</v>
      </c>
      <c r="F93" s="3228"/>
      <c r="G93" s="3228"/>
      <c r="H93" s="322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75" t="s">
        <v>2112</v>
      </c>
      <c r="F94" s="3276"/>
      <c r="G94" s="3276"/>
      <c r="H94" s="327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22747</v>
      </c>
      <c r="D95" s="175" t="s">
        <v>32</v>
      </c>
      <c r="E95" s="3061"/>
      <c r="F95" s="3060"/>
      <c r="G95" s="3060"/>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166.03649635036496</v>
      </c>
      <c r="D96" s="175" t="s">
        <v>32</v>
      </c>
      <c r="E96" s="3049"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13600</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77" t="s">
        <v>2114</v>
      </c>
      <c r="B100" s="3178"/>
      <c r="C100" s="3178"/>
      <c r="D100" s="3212"/>
      <c r="E100" s="3178" t="s">
        <v>2115</v>
      </c>
      <c r="F100" s="3178"/>
      <c r="G100" s="3178"/>
      <c r="H100" s="3212"/>
      <c r="I100" s="134"/>
    </row>
    <row r="101" spans="1:35" ht="18.75" customHeight="1">
      <c r="A101" s="3220" t="s">
        <v>2116</v>
      </c>
      <c r="B101" s="3221"/>
      <c r="C101" s="2812" t="str">
        <f>C4</f>
        <v>成本法-地下车库</v>
      </c>
      <c r="D101" s="2813" t="str">
        <f>D4</f>
        <v>收益法-地下车库</v>
      </c>
      <c r="E101" s="3190" t="s">
        <v>2117</v>
      </c>
      <c r="F101" s="3191"/>
      <c r="G101" s="2014" t="s">
        <v>2118</v>
      </c>
      <c r="H101" s="2822">
        <f ca="1">H118</f>
        <v>24028</v>
      </c>
      <c r="I101" s="134"/>
    </row>
    <row r="102" spans="1:35" ht="18.75" customHeight="1">
      <c r="A102" s="3222" t="s">
        <v>2119</v>
      </c>
      <c r="B102" s="2811" t="s">
        <v>2118</v>
      </c>
      <c r="C102" s="2812">
        <f ca="1">C19</f>
        <v>30986</v>
      </c>
      <c r="D102" s="2813">
        <f ca="1">D19</f>
        <v>13591</v>
      </c>
      <c r="E102" s="3190"/>
      <c r="F102" s="3191"/>
      <c r="G102" s="2014" t="s">
        <v>2120</v>
      </c>
      <c r="H102" s="2782">
        <f ca="1">I118</f>
        <v>7837</v>
      </c>
      <c r="I102" s="134"/>
    </row>
    <row r="103" spans="1:35" ht="42.75" customHeight="1">
      <c r="A103" s="3222"/>
      <c r="B103" s="2811" t="s">
        <v>2120</v>
      </c>
      <c r="C103" s="2814">
        <f ca="1">C20</f>
        <v>10107</v>
      </c>
      <c r="D103" s="2815">
        <f ca="1">D20</f>
        <v>4433</v>
      </c>
      <c r="E103" s="3183" t="s">
        <v>2121</v>
      </c>
      <c r="F103" s="3184"/>
      <c r="G103" s="2015" t="s">
        <v>2122</v>
      </c>
      <c r="H103" s="2822">
        <f>IF(D36="正常操作",H104+H105+H106,H105+H106)</f>
        <v>0</v>
      </c>
      <c r="I103" s="134"/>
    </row>
    <row r="104" spans="1:35" ht="18.75" customHeight="1">
      <c r="A104" s="3222" t="s">
        <v>2123</v>
      </c>
      <c r="B104" s="2816" t="s">
        <v>2118</v>
      </c>
      <c r="C104" s="2817">
        <f ca="1">H118</f>
        <v>24028</v>
      </c>
      <c r="D104" s="2818"/>
      <c r="E104" s="1861" t="s">
        <v>2124</v>
      </c>
      <c r="F104" s="1852"/>
      <c r="G104" s="2015" t="s">
        <v>2122</v>
      </c>
      <c r="H104" s="2823">
        <f>IF(D36="同一抵押权人同一抵押物续贷",C36&amp;"（续贷，未扣减，详见特别提示）",C36)</f>
        <v>0</v>
      </c>
      <c r="I104" s="134"/>
    </row>
    <row r="105" spans="1:35" ht="18.75" customHeight="1" thickBot="1">
      <c r="A105" s="3232"/>
      <c r="B105" s="2819" t="s">
        <v>2120</v>
      </c>
      <c r="C105" s="2820">
        <f ca="1">I118</f>
        <v>7837</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23" t="str">
        <f>IF(项目基本情况!E8="已注销","——","3.房地产抵押价值")</f>
        <v>3.房地产抵押价值</v>
      </c>
      <c r="F107" s="3191"/>
      <c r="G107" s="2014" t="s">
        <v>2118</v>
      </c>
      <c r="H107" s="2822">
        <f ca="1">IF(E107="——","——",H101-H103)</f>
        <v>24028</v>
      </c>
      <c r="I107" s="134"/>
    </row>
    <row r="108" spans="1:35" ht="18.75" customHeight="1">
      <c r="A108" s="134"/>
      <c r="B108" s="134"/>
      <c r="C108" s="134"/>
      <c r="D108" s="134"/>
      <c r="E108" s="3223"/>
      <c r="F108" s="3191"/>
      <c r="G108" s="2014" t="s">
        <v>2120</v>
      </c>
      <c r="H108" s="2782">
        <f ca="1">ROUND(H107*10000/'数据-汇总表'!E3,0)</f>
        <v>2421</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191"/>
      <c r="G109" s="2014" t="s">
        <v>2118</v>
      </c>
      <c r="H109" s="2825" t="str">
        <f>IF(E109="——","——",H101-H105-H106)</f>
        <v>——</v>
      </c>
      <c r="I109" s="134"/>
    </row>
    <row r="110" spans="1:35" ht="18.75" customHeight="1">
      <c r="A110" s="134"/>
      <c r="B110" s="134"/>
      <c r="C110" s="134"/>
      <c r="D110" s="134"/>
      <c r="E110" s="3223"/>
      <c r="F110" s="3191"/>
      <c r="G110" s="2014" t="s">
        <v>2120</v>
      </c>
      <c r="H110" s="2782" t="str">
        <f>IF(H109="——","——",ROUND(H109*10000/'数据-汇总表'!E3,0))</f>
        <v>——</v>
      </c>
      <c r="I110" s="134"/>
    </row>
    <row r="111" spans="1:35" ht="18.75" customHeight="1">
      <c r="A111" s="134"/>
      <c r="B111" s="134"/>
      <c r="C111" s="134"/>
      <c r="D111" s="134"/>
      <c r="E111" s="3224" t="str">
        <f>IF(项目基本情况!E9="抵押净值",IF(OR(项目基本情况!E8="已注销",项目基本情况!E8="房地产抵押价值"),"4.抵押净值","5.抵押净值"),"——")</f>
        <v>——</v>
      </c>
      <c r="F111" s="3210"/>
      <c r="G111" s="2014" t="s">
        <v>2118</v>
      </c>
      <c r="H111" s="2822" t="str">
        <f>IF(E111="——","——",N59)</f>
        <v>——</v>
      </c>
      <c r="I111" s="134"/>
    </row>
    <row r="112" spans="1:35" ht="18.75" customHeight="1" thickBot="1">
      <c r="A112" s="134"/>
      <c r="B112" s="134"/>
      <c r="C112" s="134"/>
      <c r="D112" s="134"/>
      <c r="E112" s="3225"/>
      <c r="F112" s="3226"/>
      <c r="G112" s="2017" t="s">
        <v>2120</v>
      </c>
      <c r="H112" s="2826" t="str">
        <f>IF(E111="——","——",N61)</f>
        <v>——</v>
      </c>
      <c r="I112" s="134"/>
    </row>
    <row r="113" spans="1:27" ht="18.75" customHeight="1">
      <c r="A113" s="134"/>
      <c r="B113" s="134"/>
      <c r="C113" s="134"/>
      <c r="D113" s="134"/>
      <c r="E113" s="3233" t="s">
        <v>2126</v>
      </c>
      <c r="F113" s="3233"/>
      <c r="G113" s="3233"/>
      <c r="H113" s="3233"/>
      <c r="I113" s="134"/>
    </row>
    <row r="114" spans="1:27" ht="3.75" customHeight="1">
      <c r="A114" s="1934"/>
      <c r="B114" s="1934"/>
      <c r="C114" s="1934"/>
      <c r="D114" s="1934"/>
      <c r="E114" s="1996"/>
      <c r="F114" s="1996"/>
      <c r="G114" s="1996"/>
      <c r="H114" s="1996"/>
      <c r="I114" s="1934"/>
    </row>
    <row r="115" spans="1:27" ht="18.75" customHeight="1">
      <c r="A115" s="3244" t="s">
        <v>2128</v>
      </c>
      <c r="B115" s="3245"/>
      <c r="C115" s="3245"/>
      <c r="D115" s="3245"/>
      <c r="E115" s="3245"/>
      <c r="F115" s="3245"/>
      <c r="G115" s="3245"/>
      <c r="H115" s="3245"/>
      <c r="I115" s="3246"/>
    </row>
    <row r="116" spans="1:27" ht="27" customHeight="1">
      <c r="A116" s="3198" t="s">
        <v>2129</v>
      </c>
      <c r="B116" s="3202" t="s">
        <v>2130</v>
      </c>
      <c r="C116" s="3202" t="s">
        <v>2131</v>
      </c>
      <c r="D116" s="3208" t="s">
        <v>2132</v>
      </c>
      <c r="E116" s="3209"/>
      <c r="F116" s="3240" t="s">
        <v>2133</v>
      </c>
      <c r="G116" s="3240"/>
      <c r="H116" s="3198" t="s">
        <v>2134</v>
      </c>
      <c r="I116" s="3198"/>
    </row>
    <row r="117" spans="1:27" ht="18.75" customHeight="1">
      <c r="A117" s="3198"/>
      <c r="B117" s="3203"/>
      <c r="C117" s="3203"/>
      <c r="D117" s="3052" t="s">
        <v>2135</v>
      </c>
      <c r="E117" s="3052" t="s">
        <v>2136</v>
      </c>
      <c r="F117" s="3052" t="s">
        <v>2135</v>
      </c>
      <c r="G117" s="3052" t="s">
        <v>2137</v>
      </c>
      <c r="H117" s="3052" t="s">
        <v>2135</v>
      </c>
      <c r="I117" s="3052" t="s">
        <v>2137</v>
      </c>
    </row>
    <row r="118" spans="1:27" ht="24.75" customHeight="1">
      <c r="A118" s="2827" t="str">
        <f>项目基本情况!S2</f>
        <v>北京市房地产</v>
      </c>
      <c r="B118" s="3052">
        <f>M18</f>
        <v>30659.07</v>
      </c>
      <c r="C118" s="3052">
        <f>M19</f>
        <v>0</v>
      </c>
      <c r="D118" s="3052" t="e">
        <f ca="1">ROUND(IF(D32="总价",C34,E118*B118/10000),0)</f>
        <v>#REF!</v>
      </c>
      <c r="E118" s="3052" t="e">
        <f ca="1">ROUND(IF(C33="自定义",IF(D32="楼面单价",C34,D118*10000/B118),I118-G118),0)</f>
        <v>#REF!</v>
      </c>
      <c r="F118" s="3052" t="e">
        <f ca="1">ROUND(IF(D32="总价",C35,G118*B118/10000),0)</f>
        <v>#REF!</v>
      </c>
      <c r="G118" s="3052" t="e">
        <f ca="1">ROUND(IF(D32="楼面单价",C35,F118*10000/B118),0)</f>
        <v>#REF!</v>
      </c>
      <c r="H118" s="3052">
        <f ca="1">ROUND(IF(D32="总价",C32,I118*B118/10000),0)</f>
        <v>24028</v>
      </c>
      <c r="I118" s="3052">
        <f ca="1">ROUND(IF(D32="楼面单价",C32,H118*10000/B118),0)</f>
        <v>7837</v>
      </c>
    </row>
    <row r="119" spans="1:27" ht="18.75" customHeight="1">
      <c r="A119" s="3198" t="s">
        <v>2138</v>
      </c>
      <c r="B119" s="3198"/>
      <c r="C119" s="3198"/>
      <c r="D119" s="3204" t="e">
        <f ca="1">NUMBERSTRING(INT(D118*10000),2)&amp;"元整"</f>
        <v>#REF!</v>
      </c>
      <c r="E119" s="3205"/>
      <c r="F119" s="3204" t="e">
        <f ca="1">NUMBERSTRING(INT(F118*10000),2)&amp;"元整"</f>
        <v>#REF!</v>
      </c>
      <c r="G119" s="3205"/>
      <c r="H119" s="3204" t="str">
        <f ca="1">NUMBERSTRING(INT(H118*10000),2)&amp;"元整"</f>
        <v>贰亿肆仟零贰拾捌万元整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1" t="s">
        <v>2138</v>
      </c>
      <c r="B121" s="3242"/>
      <c r="C121" s="3243"/>
      <c r="D121" s="3204" t="str">
        <f>IF(D120=0,"零元整",NUMBERSTRING(INT(D120*10000),2)&amp;"元整")</f>
        <v>零元整</v>
      </c>
      <c r="E121" s="3206"/>
      <c r="F121" s="3206"/>
      <c r="G121" s="3206"/>
      <c r="H121" s="3206"/>
      <c r="I121" s="3205"/>
      <c r="AA121" s="734"/>
    </row>
    <row r="122" spans="1:27" ht="18.75" customHeight="1">
      <c r="A122" s="3210" t="str">
        <f>IF(项目基本情况!B9="房地产市场价值","",MID(E107,3,LEN(E107)-2))</f>
        <v>房地产抵押价值</v>
      </c>
      <c r="B122" s="3210"/>
      <c r="C122" s="3210"/>
      <c r="D122" s="3199">
        <f ca="1">H107</f>
        <v>24028</v>
      </c>
      <c r="E122" s="3200"/>
      <c r="F122" s="3200"/>
      <c r="G122" s="3200"/>
      <c r="H122" s="3200"/>
      <c r="I122" s="3201"/>
      <c r="AA122" s="734"/>
    </row>
    <row r="123" spans="1:27" ht="18.75" customHeight="1">
      <c r="A123" s="3198" t="s">
        <v>2138</v>
      </c>
      <c r="B123" s="3198"/>
      <c r="C123" s="3198"/>
      <c r="D123" s="3204" t="str">
        <f ca="1">NUMBERSTRING(INT(D122*10000),2)&amp;"元整"</f>
        <v>贰亿肆仟零贰拾捌万元整</v>
      </c>
      <c r="E123" s="3206"/>
      <c r="F123" s="3206"/>
      <c r="G123" s="3206"/>
      <c r="H123" s="3206"/>
      <c r="I123" s="3205"/>
      <c r="AA123" s="734"/>
    </row>
    <row r="124" spans="1:27" ht="18.75" customHeight="1">
      <c r="A124" s="3210" t="str">
        <f>IF(项目基本情况!B9="房地产市场价值","",MID(E109,3,LEN(E109)-2))</f>
        <v/>
      </c>
      <c r="B124" s="3210"/>
      <c r="C124" s="3210"/>
      <c r="D124" s="3199" t="str">
        <f>H109</f>
        <v>——</v>
      </c>
      <c r="E124" s="3200"/>
      <c r="F124" s="3200"/>
      <c r="G124" s="3200"/>
      <c r="H124" s="3200"/>
      <c r="I124" s="3201"/>
      <c r="AA124" s="734"/>
    </row>
    <row r="125" spans="1:27" ht="18.75" customHeight="1">
      <c r="A125" s="3198" t="s">
        <v>2138</v>
      </c>
      <c r="B125" s="3198"/>
      <c r="C125" s="3198"/>
      <c r="D125" s="3204" t="e">
        <f>NUMBERSTRING(INT(D124*10000),2)&amp;"元整"</f>
        <v>#VALUE!</v>
      </c>
      <c r="E125" s="3206"/>
      <c r="F125" s="3206"/>
      <c r="G125" s="3206"/>
      <c r="H125" s="3206"/>
      <c r="I125" s="3205"/>
      <c r="AA125" s="734"/>
    </row>
    <row r="126" spans="1:27" ht="18.75" customHeight="1">
      <c r="A126" s="3210" t="str">
        <f>IF(项目基本情况!B9="房地产市场价值","",MID(E111,3,LEN(E111)-2))</f>
        <v/>
      </c>
      <c r="B126" s="3210"/>
      <c r="C126" s="3210"/>
      <c r="D126" s="3199" t="str">
        <f>H111</f>
        <v>——</v>
      </c>
      <c r="E126" s="3200"/>
      <c r="F126" s="3200"/>
      <c r="G126" s="3200"/>
      <c r="H126" s="3200"/>
      <c r="I126" s="3201"/>
      <c r="AA126" s="734"/>
    </row>
    <row r="127" spans="1:27" ht="18.75" customHeight="1">
      <c r="A127" s="3198" t="s">
        <v>2138</v>
      </c>
      <c r="B127" s="3198"/>
      <c r="C127" s="3198"/>
      <c r="D127" s="3204" t="e">
        <f>NUMBERSTRING(INT(D126*10000),2)&amp;"元整"</f>
        <v>#VALUE!</v>
      </c>
      <c r="E127" s="3206"/>
      <c r="F127" s="3206"/>
      <c r="G127" s="3206"/>
      <c r="H127" s="3206"/>
      <c r="I127" s="3205"/>
      <c r="AA127" s="734"/>
    </row>
    <row r="128" spans="1:27" ht="21.75" customHeight="1">
      <c r="A128" s="3207" t="s">
        <v>2139</v>
      </c>
      <c r="B128" s="3207"/>
      <c r="C128" s="3207"/>
      <c r="D128" s="3207"/>
      <c r="E128" s="3207"/>
      <c r="F128" s="3207"/>
      <c r="G128" s="3207"/>
      <c r="H128" s="3207"/>
      <c r="I128" s="3207"/>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48</v>
      </c>
      <c r="C1" s="204"/>
      <c r="D1" s="204"/>
      <c r="E1" s="204"/>
      <c r="F1" s="204"/>
      <c r="G1" s="1288">
        <f>MATCH(B1,'数据-取费表'!A6:A16,0)+5</f>
        <v>8</v>
      </c>
    </row>
    <row r="2" spans="1:9" s="206" customFormat="1" ht="18" customHeight="1">
      <c r="A2" s="207" t="s">
        <v>1359</v>
      </c>
      <c r="B2" s="208">
        <f ca="1">IF(D2="——",C52,C52-E2)</f>
        <v>30986</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f ca="1">ROUND(B2*10000/(IF(B1="",'数据-汇总表'!E3,INDIRECT("'数据-取费表'!k"&amp;$G$1))),0)</f>
        <v>10107</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11238</v>
      </c>
      <c r="D5" s="217" t="s">
        <v>2155</v>
      </c>
      <c r="E5" s="218" t="s">
        <v>2156</v>
      </c>
      <c r="F5" s="218" t="s">
        <v>2157</v>
      </c>
      <c r="G5" s="219"/>
    </row>
    <row r="6" spans="1:9" s="220" customFormat="1" ht="13.5" customHeight="1">
      <c r="A6" s="886" t="s">
        <v>791</v>
      </c>
      <c r="B6" s="221" t="s">
        <v>2159</v>
      </c>
      <c r="C6" s="222">
        <f ca="1">基准地价修正!E39</f>
        <v>10311</v>
      </c>
      <c r="D6" s="223"/>
      <c r="E6" s="224"/>
      <c r="F6" s="224"/>
      <c r="G6" s="225"/>
    </row>
    <row r="7" spans="1:9" s="220" customFormat="1" ht="13.5" customHeight="1">
      <c r="A7" s="886" t="s">
        <v>792</v>
      </c>
      <c r="B7" s="221" t="s">
        <v>2161</v>
      </c>
      <c r="C7" s="226">
        <f ca="1">ROUND(C6*F7,0)</f>
        <v>314</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613</v>
      </c>
      <c r="D8" s="228"/>
      <c r="E8" s="226"/>
      <c r="F8" s="227"/>
      <c r="G8" s="2043" t="s">
        <v>3092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3090</v>
      </c>
      <c r="H9" s="1299"/>
      <c r="I9" s="2045" t="s">
        <v>2165</v>
      </c>
    </row>
    <row r="10" spans="1:9" s="220" customFormat="1" ht="13.5" customHeight="1">
      <c r="A10" s="887" t="s">
        <v>801</v>
      </c>
      <c r="B10" s="230" t="s">
        <v>2166</v>
      </c>
      <c r="C10" s="231">
        <f ca="1">ROUND(D10*E10/10000,0)</f>
        <v>613</v>
      </c>
      <c r="D10" s="954">
        <f ca="1">IF(B1="",'数据-汇总表'!E6,IF(INDIRECT("'数据-取费表'!c"&amp;$G$1)="住宅",INDIRECT("'数据-取费表'!s"&amp;$G$1),INDIRECT("'数据-取费表'!k"&amp;$G$1)+INDIRECT("'数据-取费表'!s"&amp;$G$1)))</f>
        <v>30659.07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30659.07</v>
      </c>
      <c r="E19" s="217">
        <f>'数据-取费表'!B31</f>
        <v>200</v>
      </c>
      <c r="F19" s="237"/>
      <c r="G19" s="2043" t="s">
        <v>3091</v>
      </c>
    </row>
    <row r="20" spans="1:7" s="220" customFormat="1" ht="13.5" customHeight="1">
      <c r="A20" s="261" t="s">
        <v>2179</v>
      </c>
      <c r="B20" s="216" t="s">
        <v>2180</v>
      </c>
      <c r="C20" s="238">
        <f ca="1">ROUND((C5+C19)*F20,0)</f>
        <v>225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891</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882</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1146</v>
      </c>
      <c r="D27" s="241">
        <f ca="1">C29</f>
        <v>2E-3</v>
      </c>
      <c r="E27" s="242" t="s">
        <v>2184</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1146</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14612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13429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12264</v>
      </c>
      <c r="D34" s="223"/>
      <c r="E34" s="226"/>
      <c r="F34" s="263">
        <f ca="1">IF('数据-取费表'!B24=0,1,IF(B1="",'数据-取费表'!N16,INDIRECT("'数据-取费表'!n"&amp;$G$1)))</f>
        <v>1</v>
      </c>
      <c r="G34" s="225" t="s">
        <v>2212</v>
      </c>
    </row>
    <row r="35" spans="1:7" ht="13.5" customHeight="1">
      <c r="A35" s="888" t="s">
        <v>796</v>
      </c>
      <c r="B35" s="221" t="s">
        <v>2213</v>
      </c>
      <c r="C35" s="226">
        <f ca="1">ROUND(C34*F35,0)</f>
        <v>368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613</v>
      </c>
      <c r="D37" s="223">
        <f ca="1">D19</f>
        <v>30659.07</v>
      </c>
      <c r="E37" s="255">
        <f>'数据-取费表'!B35</f>
        <v>200</v>
      </c>
      <c r="F37" s="265"/>
      <c r="G37" s="267" t="s">
        <v>2218</v>
      </c>
    </row>
    <row r="38" spans="1:7" ht="13.5" customHeight="1">
      <c r="A38" s="888" t="s">
        <v>799</v>
      </c>
      <c r="B38" s="221" t="s">
        <v>2219</v>
      </c>
      <c r="C38" s="226">
        <f ca="1">ROUND(C34*F38,0)</f>
        <v>184</v>
      </c>
      <c r="D38" s="226"/>
      <c r="E38" s="226"/>
      <c r="F38" s="265">
        <f>'数据-取费表'!B36</f>
        <v>1.4999999999999999E-2</v>
      </c>
      <c r="G38" s="225" t="s">
        <v>2214</v>
      </c>
    </row>
    <row r="39" spans="1:7" s="220" customFormat="1" ht="13.5" customHeight="1">
      <c r="A39" s="261" t="s">
        <v>2177</v>
      </c>
      <c r="B39" s="216" t="s">
        <v>2180</v>
      </c>
      <c r="C39" s="238">
        <f ca="1">ROUND(C33*F20,0)</f>
        <v>269</v>
      </c>
      <c r="D39" s="238"/>
      <c r="E39" s="238"/>
      <c r="F39" s="2536">
        <f>F20</f>
        <v>0.02</v>
      </c>
      <c r="G39" s="240" t="s">
        <v>2222</v>
      </c>
    </row>
    <row r="40" spans="1:7" s="220" customFormat="1" ht="13.5" customHeight="1">
      <c r="A40" s="261" t="s">
        <v>2179</v>
      </c>
      <c r="B40" s="216" t="s">
        <v>2183</v>
      </c>
      <c r="C40" s="1496">
        <f>F21</f>
        <v>0.02</v>
      </c>
      <c r="D40" s="242" t="s">
        <v>2225</v>
      </c>
      <c r="E40" s="238"/>
      <c r="F40" s="2536">
        <f>F21</f>
        <v>0.02</v>
      </c>
      <c r="G40" s="240" t="s">
        <v>2226</v>
      </c>
    </row>
    <row r="41" spans="1:7" s="220" customFormat="1" ht="13.5" customHeight="1">
      <c r="A41" s="261" t="s">
        <v>2182</v>
      </c>
      <c r="B41" s="216" t="s">
        <v>2187</v>
      </c>
      <c r="C41" s="238">
        <f ca="1">ROUND(SUM(C42:C43),0)</f>
        <v>527</v>
      </c>
      <c r="D41" s="241">
        <f ca="1">C44</f>
        <v>8.0000000000000004E-4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517</v>
      </c>
      <c r="D42" s="244"/>
      <c r="E42" s="244"/>
      <c r="F42" s="245"/>
      <c r="G42" s="3306" t="s">
        <v>2230</v>
      </c>
    </row>
    <row r="43" spans="1:7" ht="13.5" customHeight="1">
      <c r="A43" s="888" t="s">
        <v>792</v>
      </c>
      <c r="B43" s="221" t="s">
        <v>2192</v>
      </c>
      <c r="C43" s="244">
        <f ca="1">ROUND(IF('数据-取费表'!B22&lt;=1,C39*F22*'数据-取费表'!B21/2,C39*(POWER((1+F22),'数据-取费表'!B21/2)-1)),0)</f>
        <v>10</v>
      </c>
      <c r="D43" s="244"/>
      <c r="E43" s="244"/>
      <c r="F43" s="245"/>
      <c r="G43" s="3307"/>
    </row>
    <row r="44" spans="1:7" ht="13.5" customHeight="1">
      <c r="A44" s="888" t="s">
        <v>793</v>
      </c>
      <c r="B44" s="221" t="s">
        <v>2195</v>
      </c>
      <c r="C44" s="244">
        <f ca="1">ROUND(IF('数据-取费表'!B22&lt;=1,C40*F22*'数据-取费表'!B21/2,C40*(POWER((1+F22),'数据-取费表'!B21/2)-1)),4)</f>
        <v>8.0000000000000004E-4</v>
      </c>
      <c r="D44" s="244"/>
      <c r="E44" s="244"/>
      <c r="F44" s="245"/>
      <c r="G44" s="3308"/>
    </row>
    <row r="45" spans="1:7" s="220" customFormat="1" ht="13.5" customHeight="1">
      <c r="A45" s="261" t="s">
        <v>2186</v>
      </c>
      <c r="B45" s="250" t="s">
        <v>2199</v>
      </c>
      <c r="C45" s="251">
        <f ca="1">C46</f>
        <v>1370</v>
      </c>
      <c r="D45" s="241">
        <f ca="1">C47</f>
        <v>2E-3</v>
      </c>
      <c r="E45" s="242" t="s">
        <v>2225</v>
      </c>
      <c r="F45" s="2538">
        <f ca="1">F27</f>
        <v>0.1</v>
      </c>
      <c r="G45" s="253" t="s">
        <v>2234</v>
      </c>
    </row>
    <row r="46" spans="1:7" s="220" customFormat="1" ht="13.5" customHeight="1">
      <c r="A46" s="888" t="s">
        <v>791</v>
      </c>
      <c r="B46" s="254" t="s">
        <v>2235</v>
      </c>
      <c r="C46" s="255">
        <f ca="1">ROUND((C33+C39)*F27,0)</f>
        <v>1370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16880</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16374</v>
      </c>
      <c r="D51" s="238"/>
      <c r="E51" s="238"/>
      <c r="F51" s="270"/>
      <c r="G51" s="240" t="s">
        <v>2246</v>
      </c>
    </row>
    <row r="52" spans="1:7" s="214" customFormat="1" ht="16.5" thickBot="1">
      <c r="A52" s="271" t="s">
        <v>2247</v>
      </c>
      <c r="B52" s="272"/>
      <c r="C52" s="273">
        <f ca="1">C31+C51</f>
        <v>30986</v>
      </c>
      <c r="D52" s="272"/>
      <c r="E52" s="272"/>
      <c r="F52" s="272"/>
      <c r="G52" s="274"/>
    </row>
    <row r="55" spans="1:7" ht="15">
      <c r="B55" s="276" t="s">
        <v>2248</v>
      </c>
      <c r="C55" s="277"/>
    </row>
    <row r="56" spans="1:7">
      <c r="B56" s="279" t="s">
        <v>1478</v>
      </c>
      <c r="C56" s="281">
        <f ca="1">1-C57</f>
        <v>0.47199999999999998</v>
      </c>
    </row>
    <row r="57" spans="1:7">
      <c r="B57" s="279" t="s">
        <v>1479</v>
      </c>
      <c r="C57" s="280">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48</v>
      </c>
      <c r="D1" s="1547" t="s">
        <v>70</v>
      </c>
      <c r="E1" s="1548" t="s">
        <v>1352</v>
      </c>
      <c r="F1" s="1193">
        <f ca="1">J53</f>
        <v>39.869999999999997</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13591</v>
      </c>
      <c r="C2" s="1572" t="s">
        <v>1481</v>
      </c>
      <c r="D2" s="1572"/>
      <c r="E2" s="1573"/>
      <c r="F2" s="1574"/>
      <c r="G2" s="2936"/>
      <c r="H2" s="2925"/>
      <c r="I2" s="2925"/>
      <c r="J2" s="2925"/>
      <c r="K2" s="2926"/>
      <c r="L2" s="2925"/>
      <c r="M2" s="2925"/>
    </row>
    <row r="3" spans="1:37" ht="18" customHeight="1" thickBot="1">
      <c r="A3" s="1575" t="s">
        <v>1482</v>
      </c>
      <c r="B3" s="1576">
        <f ca="1">IF(ISERROR(B2*10000/F43),0,ROUND(B2*10000/F43,0))</f>
        <v>4433</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1007</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1007</v>
      </c>
      <c r="D6" s="160" t="s">
        <v>2849</v>
      </c>
      <c r="E6" s="308" t="s">
        <v>1370</v>
      </c>
      <c r="F6" s="309">
        <f ca="1">INDIRECT("'数据-取费表'!u"&amp;$G$1)</f>
        <v>1</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3051" t="s">
        <v>1371</v>
      </c>
      <c r="F7" s="309">
        <f ca="1">IF(INDIRECT("'数据-取费表'!ah"&amp;$G$1)="",INDIRECT("'数据-取费表'!k"&amp;$G$1),INDIRECT("'数据-取费表'!ah"&amp;$G$1))</f>
        <v>30659.07</v>
      </c>
      <c r="G7" s="1569"/>
      <c r="H7" s="310"/>
      <c r="I7" s="3312"/>
      <c r="J7" s="312"/>
      <c r="K7" s="313"/>
      <c r="L7" s="308" t="s">
        <v>1371</v>
      </c>
      <c r="M7" s="309">
        <f ca="1">F7</f>
        <v>30659.07</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3131</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16374</v>
      </c>
      <c r="D13" s="3045" t="s">
        <v>1380</v>
      </c>
      <c r="E13" s="3045" t="s">
        <v>1381</v>
      </c>
      <c r="F13" s="1242">
        <f ca="1">INDIRECT("'数据-取费表'!y"&amp;$G$1)</f>
        <v>0.97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12264</v>
      </c>
      <c r="D14" s="3061" t="s">
        <v>1383</v>
      </c>
      <c r="E14" s="3060"/>
      <c r="F14" s="325"/>
      <c r="G14" s="1569"/>
      <c r="H14" s="1113" t="s">
        <v>1003</v>
      </c>
      <c r="I14" s="308" t="s">
        <v>1384</v>
      </c>
      <c r="J14" s="24">
        <f ca="1">C29</f>
        <v>16880</v>
      </c>
      <c r="K14" s="3049"/>
      <c r="L14" s="916"/>
      <c r="M14" s="917"/>
    </row>
    <row r="15" spans="1:37" s="1582" customFormat="1" ht="18" customHeight="1" thickBot="1">
      <c r="A15" s="1113" t="s">
        <v>1004</v>
      </c>
      <c r="B15" s="308" t="s">
        <v>1385</v>
      </c>
      <c r="C15" s="24">
        <f ca="1">ROUND(C14*F15,0)</f>
        <v>368</v>
      </c>
      <c r="D15" s="3046" t="s">
        <v>1386</v>
      </c>
      <c r="E15" s="304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395</v>
      </c>
      <c r="K16" s="1247" t="s">
        <v>1390</v>
      </c>
      <c r="L16" s="3065"/>
      <c r="M16" s="1204"/>
    </row>
    <row r="17" spans="1:37" s="1582" customFormat="1" ht="18" customHeight="1">
      <c r="A17" s="1113" t="s">
        <v>1355</v>
      </c>
      <c r="B17" s="308" t="s">
        <v>1391</v>
      </c>
      <c r="C17" s="24">
        <f ca="1">ROUND(F17*(F43+INDIRECT("'数据-取费表'!S"&amp;$G$1))/10000,0)</f>
        <v>613</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142</v>
      </c>
      <c r="K17" s="3061" t="s">
        <v>1395</v>
      </c>
      <c r="L17" s="3064"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184</v>
      </c>
      <c r="D18" s="308" t="s">
        <v>1386</v>
      </c>
      <c r="E18" s="308" t="s">
        <v>1387</v>
      </c>
      <c r="F18" s="328">
        <f>'数据-取费表'!B36</f>
        <v>1.4999999999999999E-2</v>
      </c>
      <c r="G18" s="1581"/>
      <c r="H18" s="1113" t="s">
        <v>1002</v>
      </c>
      <c r="I18" s="308" t="s">
        <v>1398</v>
      </c>
      <c r="J18" s="24">
        <f ca="1">ROUND(J6*M18/(1+'数据-取费表'!C42),2)</f>
        <v>0</v>
      </c>
      <c r="K18" s="3064"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13429</v>
      </c>
      <c r="D19" s="136" t="s">
        <v>1401</v>
      </c>
      <c r="E19" s="3068"/>
      <c r="F19" s="26"/>
      <c r="G19" s="1569"/>
      <c r="H19" s="1113" t="s">
        <v>1004</v>
      </c>
      <c r="I19" s="308" t="s">
        <v>1402</v>
      </c>
      <c r="J19" s="24">
        <f ca="1">IF(K19="按租金收入计税",ROUND(J6*M19/(1+'数据-取费表'!C42),2),ROUND(C29*M19*0.7,2))</f>
        <v>141.79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269</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9"/>
      <c r="H22" s="1113" t="s">
        <v>1007</v>
      </c>
      <c r="I22" s="308" t="s">
        <v>1414</v>
      </c>
      <c r="J22" s="24">
        <f ca="1">ROUND(J14*M22,1)</f>
        <v>253.2</v>
      </c>
      <c r="K22" s="3064"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527</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64"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68"/>
      <c r="F25" s="26"/>
      <c r="G25" s="1569"/>
      <c r="H25" s="1239" t="s">
        <v>999</v>
      </c>
      <c r="I25" s="1254" t="s">
        <v>1428</v>
      </c>
      <c r="J25" s="316">
        <f ca="1">J5-J16</f>
        <v>-395</v>
      </c>
      <c r="K25" s="1255" t="s">
        <v>1429</v>
      </c>
      <c r="L25" s="1256"/>
      <c r="M25" s="1257"/>
    </row>
    <row r="26" spans="1:37">
      <c r="A26" s="1113" t="s">
        <v>1002</v>
      </c>
      <c r="B26" s="308" t="s">
        <v>1430</v>
      </c>
      <c r="C26" s="24">
        <f ca="1">ROUND((C19+C20)*F26,0)</f>
        <v>1370</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2E-3</v>
      </c>
      <c r="D27" s="329" t="s">
        <v>1437</v>
      </c>
      <c r="E27" s="304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16880</v>
      </c>
      <c r="D29" s="1252"/>
      <c r="E29" s="1250"/>
      <c r="F29" s="1253"/>
      <c r="G29" s="1581"/>
      <c r="H29" s="340" t="s">
        <v>1001</v>
      </c>
      <c r="I29" s="341" t="s">
        <v>1444</v>
      </c>
      <c r="J29" s="342">
        <f ca="1">ROUND(J26/(1+F40)^F41,0)</f>
        <v>0</v>
      </c>
      <c r="K29" s="343" t="s">
        <v>1445</v>
      </c>
      <c r="L29" s="344"/>
      <c r="M29" s="345">
        <f ca="1">INDIRECT("'数据-取费表'!k"&amp;$G$1)</f>
        <v>30659.07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467</v>
      </c>
      <c r="D30" s="1247" t="s">
        <v>1390</v>
      </c>
      <c r="E30" s="3065"/>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169</v>
      </c>
      <c r="D31" s="3061" t="s">
        <v>1395</v>
      </c>
      <c r="E31" s="3064"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53.71</v>
      </c>
      <c r="D32" s="3064"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115.09</v>
      </c>
      <c r="D33" s="1555" t="s">
        <v>3119</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253.2</v>
      </c>
      <c r="D36" s="3064"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24.6</v>
      </c>
      <c r="D37" s="3064" t="s">
        <v>1419</v>
      </c>
      <c r="E37" s="308" t="s">
        <v>1387</v>
      </c>
      <c r="F37" s="336">
        <f ca="1">INDIRECT("'数据-取费表'!Al"&amp;$G$1)</f>
        <v>1.5E-3</v>
      </c>
      <c r="G37" s="1569"/>
      <c r="H37" s="2930"/>
      <c r="I37" s="1583"/>
      <c r="J37" s="1584"/>
      <c r="K37" s="2771"/>
      <c r="L37" s="2930"/>
      <c r="M37" s="2930"/>
    </row>
    <row r="38" spans="1:18" ht="18" customHeight="1" thickBot="1">
      <c r="A38" s="1249" t="s">
        <v>1357</v>
      </c>
      <c r="B38" s="1250" t="s">
        <v>1404</v>
      </c>
      <c r="C38" s="1251">
        <f ca="1">ROUND(C5*F38,1)</f>
        <v>20.100000000000001</v>
      </c>
      <c r="D38" s="1252" t="s">
        <v>1424</v>
      </c>
      <c r="E38" s="1250" t="s">
        <v>1387</v>
      </c>
      <c r="F38" s="1246">
        <f ca="1">INDIRECT("'数据-取费表'!Am"&amp;$G$1)</f>
        <v>0.02</v>
      </c>
      <c r="G38" s="1569"/>
      <c r="H38" s="2930"/>
      <c r="I38" s="1583"/>
      <c r="J38" s="1584"/>
      <c r="K38" s="2934"/>
      <c r="L38" s="2930"/>
      <c r="M38" s="2930"/>
    </row>
    <row r="39" spans="1:18" ht="24.6" customHeight="1" thickTop="1">
      <c r="A39" s="1239" t="s">
        <v>999</v>
      </c>
      <c r="B39" s="1254" t="s">
        <v>1428</v>
      </c>
      <c r="C39" s="316">
        <f ca="1">C5-C30</f>
        <v>540</v>
      </c>
      <c r="D39" s="1255" t="s">
        <v>1429</v>
      </c>
      <c r="E39" s="1256"/>
      <c r="F39" s="1257"/>
      <c r="G39" s="1569"/>
      <c r="H39" s="2930"/>
      <c r="I39" s="1583"/>
      <c r="J39" s="1584"/>
      <c r="K39" s="2934"/>
      <c r="L39" s="2930"/>
      <c r="M39" s="2930"/>
    </row>
    <row r="40" spans="1:18" ht="18" customHeight="1">
      <c r="A40" s="305" t="s">
        <v>1000</v>
      </c>
      <c r="B40" s="306" t="s">
        <v>1450</v>
      </c>
      <c r="C40" s="307">
        <f ca="1">ROUND(C39*(1-((1+F42)/(1+F40))^F41)/(F40-F42),0)</f>
        <v>13374</v>
      </c>
      <c r="D40" s="330" t="s">
        <v>1434</v>
      </c>
      <c r="E40" s="308" t="s">
        <v>1435</v>
      </c>
      <c r="F40" s="318">
        <f ca="1">INDIRECT("'数据-取费表'!I"&amp;$G$1)</f>
        <v>4.4999999999999998E-2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39.869999999999997</v>
      </c>
      <c r="G41" s="1569"/>
      <c r="H41" s="1353"/>
      <c r="I41" s="1583"/>
      <c r="J41" s="1584"/>
      <c r="K41" s="2771"/>
      <c r="L41" s="1353"/>
      <c r="M41" s="1353"/>
    </row>
    <row r="42" spans="1:18" ht="18" customHeight="1">
      <c r="A42" s="314"/>
      <c r="B42" s="315"/>
      <c r="C42" s="316"/>
      <c r="D42" s="333"/>
      <c r="E42" s="308" t="s">
        <v>1442</v>
      </c>
      <c r="F42" s="318">
        <f ca="1">INDIRECT("'数据-取费表'!v"&amp;$G$1)</f>
        <v>0.02</v>
      </c>
      <c r="G42" s="1569"/>
      <c r="H42" s="1353"/>
      <c r="I42" s="1583"/>
      <c r="J42" s="1584"/>
      <c r="K42" s="2771"/>
      <c r="L42" s="1353"/>
      <c r="M42" s="1353"/>
    </row>
    <row r="43" spans="1:18" ht="18" customHeight="1" thickBot="1">
      <c r="A43" s="340" t="s">
        <v>1001</v>
      </c>
      <c r="B43" s="341" t="s">
        <v>1452</v>
      </c>
      <c r="C43" s="342">
        <f ca="1">ROUND(C40*10000/F43,0)</f>
        <v>4362</v>
      </c>
      <c r="D43" s="343" t="s">
        <v>1453</v>
      </c>
      <c r="E43" s="344" t="s">
        <v>1454</v>
      </c>
      <c r="F43" s="345">
        <f ca="1">INDIRECT("'数据-取费表'!k"&amp;$G$1)</f>
        <v>30659.07</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-44546</v>
      </c>
      <c r="D46" s="1591" t="str">
        <f>C2</f>
        <v>万元</v>
      </c>
      <c r="E46" s="1585"/>
      <c r="F46" s="1585"/>
      <c r="I46" s="1592" t="s">
        <v>1486</v>
      </c>
      <c r="J46" s="1593"/>
      <c r="K46" s="1594"/>
      <c r="L46" s="1595">
        <f ca="1">IF(M47="住宅",0,IF(L48&gt;J51,L60,J60))</f>
        <v>217</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3115</v>
      </c>
      <c r="K47" s="1601" t="s">
        <v>1492</v>
      </c>
      <c r="L47" s="1602">
        <f ca="1">INDIRECT("'数据-取费表'!d"&amp;$G$1)</f>
        <v>50</v>
      </c>
      <c r="M47" s="1565" t="str">
        <f>IF(ISNUMBER(FIND("住宅",C1)),"住宅","非住宅")</f>
        <v>非住宅</v>
      </c>
      <c r="O47" s="1603" t="s">
        <v>1008</v>
      </c>
      <c r="P47" s="1604" t="s">
        <v>1493</v>
      </c>
      <c r="Q47" s="1605">
        <f ca="1">C40+J29</f>
        <v>13374</v>
      </c>
      <c r="R47" s="1605" t="s">
        <v>1494</v>
      </c>
    </row>
    <row r="48" spans="1:18" s="1569" customFormat="1" ht="28.5" thickBot="1">
      <c r="A48" s="1270" t="s">
        <v>1103</v>
      </c>
      <c r="B48" s="306" t="s">
        <v>1366</v>
      </c>
      <c r="C48" s="3067">
        <f ca="1">C49+C53+C55</f>
        <v>0</v>
      </c>
      <c r="D48" s="1272"/>
      <c r="E48" s="1273"/>
      <c r="F48" s="1093"/>
      <c r="G48" s="731"/>
      <c r="H48" s="732"/>
      <c r="I48" s="1606" t="s">
        <v>1495</v>
      </c>
      <c r="J48" s="1607" t="s">
        <v>3116</v>
      </c>
      <c r="K48" s="1608" t="s">
        <v>1496</v>
      </c>
      <c r="L48" s="1609">
        <f ca="1">INDIRECT("'数据-取费表'!f"&amp;$G$1)</f>
        <v>39.869999999999997</v>
      </c>
      <c r="O48" s="1603" t="s">
        <v>1009</v>
      </c>
      <c r="P48" s="1604" t="s">
        <v>1497</v>
      </c>
      <c r="Q48" s="1605">
        <f ca="1">J60</f>
        <v>217</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2019</v>
      </c>
      <c r="K49" s="1608" t="s">
        <v>1500</v>
      </c>
      <c r="L49" s="1612"/>
      <c r="O49" s="1613" t="s">
        <v>1010</v>
      </c>
      <c r="P49" s="1604" t="s">
        <v>1501</v>
      </c>
      <c r="Q49" s="1605">
        <f ca="1">C29</f>
        <v>16880</v>
      </c>
      <c r="R49" s="1605" t="s">
        <v>1494</v>
      </c>
    </row>
    <row r="50" spans="1:18" s="1569" customFormat="1" ht="13.5" thickBot="1">
      <c r="A50" s="1107"/>
      <c r="B50" s="1110"/>
      <c r="C50" s="1278"/>
      <c r="D50" s="1084"/>
      <c r="E50" s="1187" t="s">
        <v>1371</v>
      </c>
      <c r="F50" s="1188">
        <f ca="1">F7</f>
        <v>30659.07</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58</v>
      </c>
      <c r="K51" s="1619" t="s">
        <v>1506</v>
      </c>
      <c r="L51" s="1620">
        <f ca="1">ROUND(-PV(INDIRECT("'数据-取费表'!h"&amp;$G$1),J51,(C39-C13*C76),0),0)</f>
        <v>-19105</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39.869999999999997</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39.869999999999997</v>
      </c>
      <c r="K53" s="3309" t="s">
        <v>1513</v>
      </c>
      <c r="L53" s="3310"/>
      <c r="O53" s="1603" t="s">
        <v>1014</v>
      </c>
      <c r="P53" s="1604" t="s">
        <v>1514</v>
      </c>
      <c r="Q53" s="1605">
        <f ca="1">Q47+Q48</f>
        <v>13591</v>
      </c>
      <c r="R53" s="1605" t="s">
        <v>1015</v>
      </c>
    </row>
    <row r="54" spans="1:18" s="1569" customFormat="1" ht="13.5" thickBot="1">
      <c r="A54" s="1315"/>
      <c r="B54" s="1552" t="s">
        <v>1353</v>
      </c>
      <c r="C54" s="1090"/>
      <c r="D54" s="1551"/>
      <c r="E54" s="3053"/>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53"/>
      <c r="F55" s="1625"/>
      <c r="I55" s="1628" t="s">
        <v>1516</v>
      </c>
      <c r="J55" s="1629">
        <f ca="1">ROUND(IF(J47="钢混",J57/J50,1-(1-2%)*(J50-J57)/J50),3)</f>
        <v>0.30199999999999999</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16374</v>
      </c>
      <c r="D56" s="1632"/>
      <c r="E56" s="1633"/>
      <c r="F56" s="1625"/>
      <c r="I56" s="1634" t="s">
        <v>1519</v>
      </c>
      <c r="J56" s="1635" t="s">
        <v>3117</v>
      </c>
      <c r="K56" s="1606" t="s">
        <v>1520</v>
      </c>
      <c r="L56" s="1609" t="str">
        <f ca="1">IF(L48&lt;J51,"——",L48-J53)</f>
        <v>——</v>
      </c>
      <c r="O56" s="1603" t="s">
        <v>1008</v>
      </c>
      <c r="P56" s="1604" t="s">
        <v>1493</v>
      </c>
      <c r="Q56" s="1605">
        <f ca="1">C40+J29</f>
        <v>13374</v>
      </c>
      <c r="R56" s="1605" t="s">
        <v>1494</v>
      </c>
    </row>
    <row r="57" spans="1:18" s="1569" customFormat="1" ht="24.75" thickBot="1">
      <c r="A57" s="1636"/>
      <c r="B57" s="1081" t="s">
        <v>1443</v>
      </c>
      <c r="C57" s="244">
        <f ca="1">C29</f>
        <v>16880</v>
      </c>
      <c r="D57" s="1637"/>
      <c r="E57" s="1638"/>
      <c r="F57" s="1639"/>
      <c r="I57" s="1640" t="s">
        <v>1521</v>
      </c>
      <c r="J57" s="1641">
        <f ca="1">IF(OR(M47="住宅",J51&lt;L48,J56="是"),"——",J51-L48)</f>
        <v>18.130000000000003</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1696</v>
      </c>
      <c r="D58" s="1091" t="s">
        <v>1390</v>
      </c>
      <c r="E58" s="1092"/>
      <c r="F58" s="1093"/>
      <c r="I58" s="1640" t="s">
        <v>1525</v>
      </c>
      <c r="J58" s="1642">
        <f ca="1">IF(J55&lt;0.4,0.4,J55)</f>
        <v>0.4</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1418</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6752</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217</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1417.92</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13374</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253.2</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24.6</v>
      </c>
      <c r="D65" s="1095" t="s">
        <v>1419</v>
      </c>
      <c r="E65" s="1081" t="s">
        <v>1387</v>
      </c>
      <c r="F65" s="336">
        <f t="shared" ca="1" si="0"/>
        <v>1.5E-3</v>
      </c>
      <c r="I65" s="1647" t="s">
        <v>1544</v>
      </c>
      <c r="J65" s="1648">
        <v>40</v>
      </c>
      <c r="K65" s="1648">
        <v>30</v>
      </c>
      <c r="L65" s="1648">
        <v>50</v>
      </c>
      <c r="M65" s="1650">
        <v>0.02</v>
      </c>
      <c r="O65" s="1603" t="s">
        <v>1008</v>
      </c>
      <c r="P65" s="1604" t="s">
        <v>1493</v>
      </c>
      <c r="Q65" s="1605">
        <f ca="1">C40+J29</f>
        <v>13374</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-1696</v>
      </c>
      <c r="D67" s="1094" t="s">
        <v>1429</v>
      </c>
      <c r="E67" s="1099"/>
      <c r="F67" s="1100"/>
      <c r="O67" s="1613" t="s">
        <v>1010</v>
      </c>
      <c r="P67" s="1604" t="s">
        <v>1527</v>
      </c>
      <c r="Q67" s="1651">
        <f ca="1">L51</f>
        <v>-19105</v>
      </c>
      <c r="R67" s="1605" t="s">
        <v>1547</v>
      </c>
    </row>
    <row r="68" spans="1:18" s="1569" customFormat="1" ht="16.5" thickBot="1">
      <c r="A68" s="1078" t="s">
        <v>1000</v>
      </c>
      <c r="B68" s="1079" t="s">
        <v>1450</v>
      </c>
      <c r="C68" s="307">
        <f ca="1">ROUND(C67*(1-((1+F70)/(1+F68))^F69)/(F68-F70),0)</f>
        <v>-31172</v>
      </c>
      <c r="D68" s="1096" t="s">
        <v>1434</v>
      </c>
      <c r="E68" s="1081" t="s">
        <v>1435</v>
      </c>
      <c r="F68" s="318">
        <f ca="1">F40</f>
        <v>4.4999999999999998E-2</v>
      </c>
      <c r="O68" s="1613" t="s">
        <v>1011</v>
      </c>
      <c r="P68" s="1652" t="s">
        <v>1548</v>
      </c>
      <c r="Q68" s="1605">
        <f ca="1">ROUND(Q69-Q70*Q71,0)</f>
        <v>-852</v>
      </c>
      <c r="R68" s="1605" t="s">
        <v>1019</v>
      </c>
    </row>
    <row r="69" spans="1:18" s="1569" customFormat="1" ht="13.5" thickBot="1">
      <c r="A69" s="1082"/>
      <c r="B69" s="1083"/>
      <c r="C69" s="312"/>
      <c r="D69" s="1101" t="s">
        <v>1438</v>
      </c>
      <c r="E69" s="1081" t="s">
        <v>1439</v>
      </c>
      <c r="F69" s="339">
        <f ca="1">F41</f>
        <v>39.869999999999997</v>
      </c>
      <c r="O69" s="1613" t="s">
        <v>1016</v>
      </c>
      <c r="P69" s="1652" t="s">
        <v>1549</v>
      </c>
      <c r="Q69" s="1605">
        <f ca="1">C39</f>
        <v>540</v>
      </c>
      <c r="R69" s="1605" t="s">
        <v>1494</v>
      </c>
    </row>
    <row r="70" spans="1:18" s="1569" customFormat="1" ht="13.5" thickBot="1">
      <c r="A70" s="1085"/>
      <c r="B70" s="1086"/>
      <c r="C70" s="316"/>
      <c r="D70" s="1097"/>
      <c r="E70" s="1081" t="s">
        <v>1442</v>
      </c>
      <c r="F70" s="1185"/>
      <c r="O70" s="1613" t="s">
        <v>1017</v>
      </c>
      <c r="P70" s="1652" t="s">
        <v>1550</v>
      </c>
      <c r="Q70" s="1605">
        <f ca="1">C13</f>
        <v>16374</v>
      </c>
      <c r="R70" s="1605" t="s">
        <v>1494</v>
      </c>
    </row>
    <row r="71" spans="1:18" s="1569" customFormat="1" ht="13.5" thickBot="1">
      <c r="A71" s="1102" t="s">
        <v>1001</v>
      </c>
      <c r="B71" s="1103" t="s">
        <v>1452</v>
      </c>
      <c r="C71" s="342">
        <f ca="1">ROUND(C68*10000/F71,0)</f>
        <v>-10167</v>
      </c>
      <c r="D71" s="1104" t="s">
        <v>1453</v>
      </c>
      <c r="E71" s="1105" t="s">
        <v>1454</v>
      </c>
      <c r="F71" s="345">
        <f ca="1">F43</f>
        <v>30659.07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1392</v>
      </c>
      <c r="D75" s="1569"/>
      <c r="E75" s="1569"/>
      <c r="F75" s="1569"/>
      <c r="K75" s="1587"/>
      <c r="L75" s="1569"/>
      <c r="O75" s="1603" t="s">
        <v>1014</v>
      </c>
      <c r="P75" s="1604" t="s">
        <v>1514</v>
      </c>
      <c r="Q75" s="1605">
        <f ca="1">Q65+Q66</f>
        <v>13374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-1.5779999999999998</v>
      </c>
    </row>
    <row r="80" spans="1:18">
      <c r="B80" s="346" t="s">
        <v>1476</v>
      </c>
      <c r="C80" s="280">
        <f ca="1">ROUND(C75/C39,3)</f>
        <v>2.5779999999999998</v>
      </c>
    </row>
    <row r="81" spans="2:3">
      <c r="B81" s="276" t="s">
        <v>1477</v>
      </c>
      <c r="C81" s="244"/>
    </row>
    <row r="82" spans="2:3">
      <c r="B82" s="279" t="s">
        <v>1478</v>
      </c>
      <c r="C82" s="281">
        <f ca="1">1-C83</f>
        <v>-0.22399999999999998</v>
      </c>
    </row>
    <row r="83" spans="2:3">
      <c r="B83" s="279" t="s">
        <v>1479</v>
      </c>
      <c r="C83" s="280">
        <f ca="1">ROUND(C13/C40,3)</f>
        <v>1.224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27" sqref="G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3114</v>
      </c>
      <c r="D1" s="1934"/>
      <c r="E1" s="1934"/>
      <c r="F1" s="1936" t="s">
        <v>1949</v>
      </c>
      <c r="G1" s="1747"/>
      <c r="H1" s="1937" t="str">
        <f>IF(G1="现房","——","估价对象范围")</f>
        <v>估价对象范围</v>
      </c>
      <c r="I1" s="1938"/>
    </row>
    <row r="2" spans="1:12" ht="21.75" customHeight="1" thickBot="1">
      <c r="A2" s="3253" t="str">
        <f>项目基本情况!S2</f>
        <v>北京市房地产</v>
      </c>
      <c r="B2" s="3254"/>
      <c r="C2" s="3254"/>
      <c r="D2" s="3254"/>
      <c r="E2" s="3254"/>
      <c r="F2" s="3254"/>
      <c r="G2" s="3254"/>
      <c r="H2" s="3254"/>
      <c r="I2" s="3255"/>
    </row>
    <row r="3" spans="1:12" ht="12.75">
      <c r="A3" s="3257" t="s">
        <v>1950</v>
      </c>
      <c r="B3" s="3258"/>
      <c r="C3" s="3258"/>
      <c r="D3" s="3258"/>
      <c r="E3" s="3258"/>
      <c r="F3" s="3258"/>
      <c r="G3" s="3258"/>
      <c r="H3" s="3258"/>
      <c r="I3" s="3258"/>
    </row>
    <row r="4" spans="1:12" ht="14.25">
      <c r="A4" s="1941" t="s">
        <v>1951</v>
      </c>
      <c r="B4" s="1942" t="s">
        <v>1952</v>
      </c>
      <c r="C4" s="1943" t="s">
        <v>3140</v>
      </c>
      <c r="D4" s="1943" t="s">
        <v>3120</v>
      </c>
      <c r="E4" s="3262" t="s">
        <v>1953</v>
      </c>
      <c r="F4" s="3263"/>
      <c r="G4" s="3263"/>
      <c r="H4" s="3263"/>
      <c r="I4" s="3264"/>
      <c r="K4" s="151"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1"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198" t="s">
        <v>1954</v>
      </c>
      <c r="B5" s="3256">
        <v>25</v>
      </c>
      <c r="C5" s="3259"/>
      <c r="D5" s="3247"/>
      <c r="E5" s="136" t="s">
        <v>1955</v>
      </c>
      <c r="F5" s="1944"/>
      <c r="G5" s="1944"/>
      <c r="H5" s="1944"/>
      <c r="I5" s="1558"/>
    </row>
    <row r="6" spans="1:12" ht="12.75">
      <c r="A6" s="3198"/>
      <c r="B6" s="3256"/>
      <c r="C6" s="3261"/>
      <c r="D6" s="3247"/>
      <c r="E6" s="136" t="s">
        <v>1956</v>
      </c>
      <c r="F6" s="1944"/>
      <c r="G6" s="1944"/>
      <c r="H6" s="1944"/>
      <c r="I6" s="1558"/>
    </row>
    <row r="7" spans="1:12" ht="12.75">
      <c r="A7" s="3198"/>
      <c r="B7" s="3256"/>
      <c r="C7" s="3260"/>
      <c r="D7" s="3247"/>
      <c r="E7" s="136" t="s">
        <v>1957</v>
      </c>
      <c r="F7" s="1944"/>
      <c r="G7" s="1944"/>
      <c r="H7" s="1944"/>
      <c r="I7" s="1558"/>
    </row>
    <row r="8" spans="1:12" ht="12.75">
      <c r="A8" s="3198" t="s">
        <v>1958</v>
      </c>
      <c r="B8" s="3256">
        <v>15</v>
      </c>
      <c r="C8" s="3259"/>
      <c r="D8" s="3247"/>
      <c r="E8" s="136" t="s">
        <v>1959</v>
      </c>
      <c r="F8" s="1944"/>
      <c r="G8" s="1944"/>
      <c r="H8" s="1944"/>
      <c r="I8" s="1558"/>
    </row>
    <row r="9" spans="1:12" ht="12.75">
      <c r="A9" s="3198"/>
      <c r="B9" s="3256"/>
      <c r="C9" s="3260"/>
      <c r="D9" s="3247"/>
      <c r="E9" s="136" t="s">
        <v>1960</v>
      </c>
      <c r="F9" s="1944"/>
      <c r="G9" s="1944"/>
      <c r="H9" s="1944"/>
      <c r="I9" s="1558"/>
    </row>
    <row r="10" spans="1:12" ht="12.75">
      <c r="A10" s="3198" t="s">
        <v>1961</v>
      </c>
      <c r="B10" s="3256">
        <v>15</v>
      </c>
      <c r="C10" s="3259"/>
      <c r="D10" s="3247"/>
      <c r="E10" s="136" t="s">
        <v>1962</v>
      </c>
      <c r="F10" s="1944"/>
      <c r="G10" s="1944"/>
      <c r="H10" s="1944"/>
      <c r="I10" s="1558"/>
    </row>
    <row r="11" spans="1:12" ht="12.75">
      <c r="A11" s="3198"/>
      <c r="B11" s="3256"/>
      <c r="C11" s="3260"/>
      <c r="D11" s="3247"/>
      <c r="E11" s="136" t="s">
        <v>1963</v>
      </c>
      <c r="F11" s="1944"/>
      <c r="G11" s="1944"/>
      <c r="H11" s="1944"/>
      <c r="I11" s="1558"/>
    </row>
    <row r="12" spans="1:12" ht="12.75">
      <c r="A12" s="3198" t="s">
        <v>1964</v>
      </c>
      <c r="B12" s="3256">
        <v>15</v>
      </c>
      <c r="C12" s="3259"/>
      <c r="D12" s="3247"/>
      <c r="E12" s="136" t="s">
        <v>1965</v>
      </c>
      <c r="F12" s="1944"/>
      <c r="G12" s="1944"/>
      <c r="H12" s="1944"/>
      <c r="I12" s="1558"/>
    </row>
    <row r="13" spans="1:12" ht="12.75">
      <c r="A13" s="3198"/>
      <c r="B13" s="3256"/>
      <c r="C13" s="3260"/>
      <c r="D13" s="3247"/>
      <c r="E13" s="136" t="s">
        <v>1966</v>
      </c>
      <c r="F13" s="1944"/>
      <c r="G13" s="1944"/>
      <c r="H13" s="1944"/>
      <c r="I13" s="1558"/>
    </row>
    <row r="14" spans="1:12" ht="12.75">
      <c r="A14" s="3198" t="s">
        <v>1967</v>
      </c>
      <c r="B14" s="3256">
        <v>30</v>
      </c>
      <c r="C14" s="3259">
        <v>5</v>
      </c>
      <c r="D14" s="3247">
        <v>5</v>
      </c>
      <c r="E14" s="136" t="s">
        <v>1968</v>
      </c>
      <c r="F14" s="1944"/>
      <c r="G14" s="1944"/>
      <c r="H14" s="1944"/>
      <c r="I14" s="1558"/>
    </row>
    <row r="15" spans="1:12" ht="12.75">
      <c r="A15" s="3198"/>
      <c r="B15" s="3256"/>
      <c r="C15" s="3261"/>
      <c r="D15" s="3247"/>
      <c r="E15" s="136" t="s">
        <v>1969</v>
      </c>
      <c r="F15" s="1944"/>
      <c r="G15" s="1944"/>
      <c r="H15" s="1944"/>
      <c r="I15" s="1558"/>
    </row>
    <row r="16" spans="1:12" ht="12.75">
      <c r="A16" s="3198"/>
      <c r="B16" s="3256"/>
      <c r="C16" s="3260"/>
      <c r="D16" s="3247"/>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78" t="s">
        <v>2872</v>
      </c>
      <c r="F18" s="3279"/>
      <c r="G18" s="3279"/>
      <c r="H18" s="3279"/>
      <c r="I18" s="3279"/>
      <c r="K18" s="308" t="s">
        <v>1975</v>
      </c>
      <c r="L18" s="308">
        <f>IF(C1="",'数据-汇总表'!E3,SUMIF(项目类型,C1,'数据-汇总表'!E17:E26)+SUMIF(项目类型,C1,'数据-汇总表'!I17:I26))</f>
        <v>16756.23</v>
      </c>
      <c r="M18" s="308">
        <f>IF(C1="",'数据-汇总表'!E3,SUMIF(项目类型,C1,'数据-汇总表'!E17:E26))</f>
        <v>16756.23</v>
      </c>
    </row>
    <row r="19" spans="1:36" ht="15">
      <c r="A19" s="1948" t="s">
        <v>1976</v>
      </c>
      <c r="B19" s="1949" t="s">
        <v>1977</v>
      </c>
      <c r="C19" s="139">
        <f ca="1">SUMIF(INDIRECT("'"&amp;C4&amp;"'"&amp;"!A:A"),'结果表-地下商业2'!B19,INDIRECT("'"&amp;C4&amp;"'"&amp;"!B:B"))</f>
        <v>25847</v>
      </c>
      <c r="D19" s="140">
        <f ca="1">SUMIF(INDIRECT("'"&amp;D4&amp;"'"&amp;"!A:A"),'结果表-地下商业2'!B19,INDIRECT("'"&amp;D4&amp;"'"&amp;"!B:B"))</f>
        <v>28127</v>
      </c>
      <c r="E19" s="1948" t="s">
        <v>1978</v>
      </c>
      <c r="F19" s="1949" t="s">
        <v>1977</v>
      </c>
      <c r="G19" s="141">
        <f ca="1">ROUND(C19*$C$18+D19*$D$18,0)</f>
        <v>26987</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SUMIF(INDIRECT("'"&amp;C4&amp;"'"&amp;"!A:A"),'结果表-地下商业2'!B20,INDIRECT("'"&amp;C4&amp;"'"&amp;"!B:B"))</f>
        <v>15425</v>
      </c>
      <c r="D20" s="143">
        <f ca="1">SUMIF(INDIRECT("'"&amp;D4&amp;"'"&amp;"!A:A"),'结果表-地下商业2'!B20,INDIRECT("'"&amp;D4&amp;"'"&amp;"!B:B"))</f>
        <v>16786</v>
      </c>
      <c r="E20" s="1951"/>
      <c r="F20" s="1157" t="s">
        <v>1981</v>
      </c>
      <c r="G20" s="144">
        <f ca="1">ROUND(C20*$C$18+D20*$D$18,0)</f>
        <v>16106</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8.821139784114207E-2</v>
      </c>
      <c r="E22" s="134"/>
      <c r="F22" s="134"/>
      <c r="G22" s="134"/>
      <c r="H22" s="134"/>
      <c r="I22" s="134"/>
    </row>
    <row r="23" spans="1:36" ht="13.5" thickBot="1">
      <c r="A23" s="1934"/>
      <c r="B23" s="1934"/>
      <c r="C23" s="1934"/>
      <c r="D23" s="1934"/>
      <c r="E23" s="134"/>
      <c r="F23" s="134"/>
      <c r="G23" s="134"/>
      <c r="H23" s="134"/>
      <c r="I23" s="134"/>
    </row>
    <row r="24" spans="1:36" ht="14.25">
      <c r="A24" s="3271" t="s">
        <v>1985</v>
      </c>
      <c r="B24" s="1949" t="s">
        <v>1977</v>
      </c>
      <c r="C24" s="141">
        <f>IF(B30=0,0,D30)</f>
        <v>0</v>
      </c>
      <c r="D24" s="1956"/>
      <c r="E24" s="134"/>
      <c r="F24" s="134"/>
      <c r="G24" s="134"/>
      <c r="H24" s="134"/>
      <c r="I24" s="134"/>
    </row>
    <row r="25" spans="1:36" ht="14.25">
      <c r="A25" s="3272"/>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26987</v>
      </c>
      <c r="D32" s="1962" t="s">
        <v>3132</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8" t="s">
        <v>1998</v>
      </c>
      <c r="B36" s="1974" t="s">
        <v>1999</v>
      </c>
      <c r="C36" s="150"/>
      <c r="D36" s="1975"/>
      <c r="E36" s="1976"/>
      <c r="F36" s="1977"/>
      <c r="G36" s="134"/>
      <c r="H36" s="134"/>
      <c r="I36" s="134"/>
    </row>
    <row r="37" spans="1:15" ht="15.75" thickBot="1">
      <c r="A37" s="3249"/>
      <c r="B37" s="1861" t="s">
        <v>2000</v>
      </c>
      <c r="C37" s="152"/>
      <c r="D37" s="1301"/>
      <c r="E37" s="1301"/>
      <c r="F37" s="1977"/>
      <c r="G37" s="134"/>
      <c r="H37" s="134"/>
      <c r="I37" s="134"/>
    </row>
    <row r="38" spans="1:15" ht="15.75" thickBot="1">
      <c r="A38" s="3250"/>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8" t="s">
        <v>2012</v>
      </c>
      <c r="B45" s="3269"/>
      <c r="C45" s="3270"/>
      <c r="D45" s="160">
        <f ca="1">ROUND(H101*F45,0)</f>
        <v>26987</v>
      </c>
      <c r="E45" s="161" t="s">
        <v>2013</v>
      </c>
      <c r="F45" s="162">
        <v>1</v>
      </c>
      <c r="G45" s="163" t="s">
        <v>2014</v>
      </c>
      <c r="H45" s="134"/>
      <c r="I45" s="134"/>
      <c r="J45" s="3185" t="s">
        <v>2015</v>
      </c>
      <c r="K45" s="3185"/>
      <c r="L45" s="3185"/>
      <c r="M45" s="3185"/>
      <c r="N45" s="3185"/>
      <c r="O45" s="3185"/>
    </row>
    <row r="46" spans="1:15" ht="14.25" customHeight="1">
      <c r="A46" s="3265" t="s">
        <v>2016</v>
      </c>
      <c r="B46" s="3266"/>
      <c r="C46" s="3266"/>
      <c r="D46" s="3266"/>
      <c r="E46" s="3266"/>
      <c r="F46" s="3266"/>
      <c r="G46" s="3267"/>
      <c r="H46" s="1993"/>
      <c r="I46" s="164"/>
      <c r="J46" s="3054">
        <v>1</v>
      </c>
      <c r="K46" s="3186" t="s">
        <v>2017</v>
      </c>
      <c r="L46" s="3186"/>
      <c r="M46" s="3187"/>
      <c r="N46" s="3187"/>
      <c r="O46" s="3187"/>
    </row>
    <row r="47" spans="1:15" ht="12" customHeight="1">
      <c r="A47" s="165" t="s">
        <v>2018</v>
      </c>
      <c r="B47" s="166"/>
      <c r="C47" s="167"/>
      <c r="D47" s="1247" t="s">
        <v>2019</v>
      </c>
      <c r="E47" s="308" t="s">
        <v>2020</v>
      </c>
      <c r="F47" s="168" t="s">
        <v>2021</v>
      </c>
      <c r="G47" s="2773" t="s">
        <v>2022</v>
      </c>
      <c r="H47" s="2774"/>
      <c r="I47" s="164"/>
      <c r="J47" s="3054">
        <v>2</v>
      </c>
      <c r="K47" s="3186" t="s">
        <v>2023</v>
      </c>
      <c r="L47" s="3186"/>
      <c r="M47" s="3188">
        <f>'数据-取费表'!B2</f>
        <v>44256</v>
      </c>
      <c r="N47" s="3188"/>
      <c r="O47" s="3188"/>
    </row>
    <row r="48" spans="1:15" ht="25.5">
      <c r="A48" s="3251" t="s">
        <v>2024</v>
      </c>
      <c r="B48" s="3252"/>
      <c r="C48" s="3252"/>
      <c r="D48" s="3049" t="b">
        <f>IF(H48="情况1",0,IF(H48="情况2",D52,IF(H48="情况3",D53,IF(H48="情况4",D54))))</f>
        <v>0</v>
      </c>
      <c r="E48" s="3064" t="str">
        <f>IF(H48="情况4","(销售额-原购置价)×税（费）率","销售额×税（费）率")</f>
        <v>销售额×税（费）率</v>
      </c>
      <c r="F48" s="2775">
        <f>IF(H48="情况1","免征",'数据-取费表'!B41)</f>
        <v>5.6000000000000001E-2</v>
      </c>
      <c r="G48" s="2776" t="s">
        <v>2025</v>
      </c>
      <c r="H48" s="2777"/>
      <c r="I48" s="1993"/>
      <c r="J48" s="3054">
        <v>3</v>
      </c>
      <c r="K48" s="3186" t="s">
        <v>2026</v>
      </c>
      <c r="L48" s="3186"/>
      <c r="M48" s="3189">
        <f ca="1">H101</f>
        <v>26987</v>
      </c>
      <c r="N48" s="3189"/>
      <c r="O48" s="3189"/>
    </row>
    <row r="49" spans="1:35" ht="25.5" customHeight="1">
      <c r="A49" s="3063" t="s">
        <v>2027</v>
      </c>
      <c r="B49" s="3234" t="s">
        <v>2028</v>
      </c>
      <c r="C49" s="3234"/>
      <c r="D49" s="1776">
        <v>0</v>
      </c>
      <c r="E49" s="330" t="s">
        <v>2029</v>
      </c>
      <c r="F49" s="3047" t="s">
        <v>34</v>
      </c>
      <c r="G49" s="3217"/>
      <c r="H49" s="2529" t="s">
        <v>2875</v>
      </c>
      <c r="I49" s="2530"/>
      <c r="J49" s="3054">
        <v>4</v>
      </c>
      <c r="K49" s="3186" t="str">
        <f>IF(项目基本情况!E8="房地产抵押价值","房地产抵押价值","抵押担保权已注销时的房地产抵押价值")</f>
        <v>房地产抵押价值</v>
      </c>
      <c r="L49" s="3186"/>
      <c r="M49" s="3189">
        <f ca="1">IF(项目基本情况!E8="房地产抵押价值",H107,H109)</f>
        <v>26987</v>
      </c>
      <c r="N49" s="3189"/>
      <c r="O49" s="3189"/>
    </row>
    <row r="50" spans="1:35" ht="25.5" customHeight="1">
      <c r="A50" s="2778"/>
      <c r="B50" s="3234" t="s">
        <v>2030</v>
      </c>
      <c r="C50" s="3234"/>
      <c r="D50" s="2779"/>
      <c r="E50" s="338"/>
      <c r="F50" s="3047"/>
      <c r="G50" s="3218"/>
      <c r="H50" s="2531" t="s">
        <v>2876</v>
      </c>
      <c r="I50" s="2530"/>
      <c r="J50" s="3185" t="s">
        <v>2031</v>
      </c>
      <c r="K50" s="3185"/>
      <c r="L50" s="3185"/>
      <c r="M50" s="3185"/>
      <c r="N50" s="3185"/>
      <c r="O50" s="3185"/>
    </row>
    <row r="51" spans="1:35" ht="20.45" customHeight="1">
      <c r="A51" s="2780"/>
      <c r="B51" s="3234" t="s">
        <v>2032</v>
      </c>
      <c r="C51" s="3234"/>
      <c r="D51" s="1247"/>
      <c r="E51" s="333"/>
      <c r="F51" s="3047"/>
      <c r="G51" s="3219"/>
      <c r="H51" s="2531" t="s">
        <v>2877</v>
      </c>
      <c r="I51" s="2530"/>
      <c r="J51" s="3048" t="s">
        <v>2033</v>
      </c>
      <c r="K51" s="3186" t="s">
        <v>2034</v>
      </c>
      <c r="L51" s="3186"/>
      <c r="M51" s="3048" t="s">
        <v>2035</v>
      </c>
      <c r="N51" s="3048" t="s">
        <v>2036</v>
      </c>
      <c r="O51" s="3048" t="s">
        <v>2037</v>
      </c>
    </row>
    <row r="52" spans="1:35" ht="24" customHeight="1">
      <c r="A52" s="3066" t="s">
        <v>2038</v>
      </c>
      <c r="B52" s="3234" t="s">
        <v>2039</v>
      </c>
      <c r="C52" s="3234"/>
      <c r="D52" s="1247">
        <f ca="1">ROUND(D45*'数据-取费表'!B41/(1+'数据-取费表'!C42),0)</f>
        <v>1439</v>
      </c>
      <c r="E52" s="3064" t="s">
        <v>2040</v>
      </c>
      <c r="F52" s="2781">
        <f>'数据-取费表'!B41</f>
        <v>5.6000000000000001E-2</v>
      </c>
      <c r="G52" s="2782"/>
      <c r="H52" s="2771"/>
      <c r="I52" s="1994"/>
      <c r="J52" s="3054">
        <v>1</v>
      </c>
      <c r="K52" s="3211" t="s">
        <v>2041</v>
      </c>
      <c r="L52" s="3211"/>
      <c r="M52" s="2752" t="b">
        <f>D48</f>
        <v>0</v>
      </c>
      <c r="N52" s="3054" t="str">
        <f>E48</f>
        <v>销售额×税（费）率</v>
      </c>
      <c r="O52" s="2753">
        <f>F48</f>
        <v>5.6000000000000001E-2</v>
      </c>
    </row>
    <row r="53" spans="1:35" ht="12" customHeight="1">
      <c r="A53" s="3066" t="s">
        <v>2042</v>
      </c>
      <c r="B53" s="3235" t="s">
        <v>3036</v>
      </c>
      <c r="C53" s="3236"/>
      <c r="D53" s="1247">
        <f ca="1">ROUND(D45*'数据-取费表'!B41/(1+'数据-取费表'!C42),0)</f>
        <v>1439</v>
      </c>
      <c r="E53" s="3064" t="s">
        <v>2040</v>
      </c>
      <c r="F53" s="2781">
        <f>'数据-取费表'!B41</f>
        <v>5.6000000000000001E-2</v>
      </c>
      <c r="G53" s="2782"/>
      <c r="H53" s="2771"/>
      <c r="I53" s="1994"/>
      <c r="J53" s="3054">
        <v>2</v>
      </c>
      <c r="K53" s="3211" t="s">
        <v>2043</v>
      </c>
      <c r="L53" s="3211"/>
      <c r="M53" s="2752">
        <f t="shared" ref="M53:O54" ca="1" si="0">D55</f>
        <v>13</v>
      </c>
      <c r="N53" s="3054" t="str">
        <f t="shared" si="0"/>
        <v>销售额×税（费）率</v>
      </c>
      <c r="O53" s="2753" t="str">
        <f t="shared" si="0"/>
        <v>免征</v>
      </c>
    </row>
    <row r="54" spans="1:35" ht="12" customHeight="1">
      <c r="A54" s="3066" t="s">
        <v>2044</v>
      </c>
      <c r="B54" s="3235" t="s">
        <v>3037</v>
      </c>
      <c r="C54" s="3236"/>
      <c r="D54" s="1247">
        <f ca="1">C68</f>
        <v>1439</v>
      </c>
      <c r="E54" s="333" t="s">
        <v>2045</v>
      </c>
      <c r="F54" s="2781">
        <f>'数据-取费表'!B41</f>
        <v>5.6000000000000001E-2</v>
      </c>
      <c r="G54" s="2782"/>
      <c r="H54" s="2783"/>
      <c r="I54" s="1994"/>
      <c r="J54" s="3054">
        <v>3</v>
      </c>
      <c r="K54" s="3211" t="s">
        <v>2046</v>
      </c>
      <c r="L54" s="3211"/>
      <c r="M54" s="2752">
        <f t="shared" ca="1" si="0"/>
        <v>15275</v>
      </c>
      <c r="N54" s="3054" t="str">
        <f t="shared" si="0"/>
        <v>增值额×税（费）率</v>
      </c>
      <c r="O54" s="2754" t="str">
        <f t="shared" si="0"/>
        <v>免征</v>
      </c>
    </row>
    <row r="55" spans="1:35" ht="24" customHeight="1">
      <c r="A55" s="3274" t="s">
        <v>2047</v>
      </c>
      <c r="B55" s="3252"/>
      <c r="C55" s="3252"/>
      <c r="D55" s="3049">
        <f ca="1">IF(H55="个人住宅",0,ROUND(D45*I55,0))</f>
        <v>13</v>
      </c>
      <c r="E55" s="3064" t="s">
        <v>2048</v>
      </c>
      <c r="F55" s="2781" t="str">
        <f>IF(H55="正常",I55,"免征")</f>
        <v>免征</v>
      </c>
      <c r="G55" s="2782"/>
      <c r="H55" s="2777"/>
      <c r="I55" s="170">
        <f>'数据-取费表'!B49</f>
        <v>5.0000000000000001E-4</v>
      </c>
      <c r="J55" s="3054">
        <f>IF(H59="非个人房产","",4)</f>
        <v>4</v>
      </c>
      <c r="K55" s="3211" t="str">
        <f>IF(H59="非个人房产","——","个人所得税")</f>
        <v>个人所得税</v>
      </c>
      <c r="L55" s="3211"/>
      <c r="M55" s="2755">
        <f ca="1">D59</f>
        <v>257</v>
      </c>
      <c r="N55" s="3055" t="str">
        <f>E59</f>
        <v>差额计税</v>
      </c>
      <c r="O55" s="2756">
        <f>F59</f>
        <v>0.01</v>
      </c>
    </row>
    <row r="56" spans="1:35" ht="24.75">
      <c r="A56" s="3274" t="s">
        <v>2049</v>
      </c>
      <c r="B56" s="3252"/>
      <c r="C56" s="3252"/>
      <c r="D56" s="3049">
        <f ca="1">IF(H56="个人住宅",D57,D58)</f>
        <v>15275</v>
      </c>
      <c r="E56" s="3064" t="s">
        <v>2050</v>
      </c>
      <c r="F56" s="2781" t="str">
        <f>IF(H56="正常",F58,"免征")</f>
        <v>免征</v>
      </c>
      <c r="G56" s="2784" t="s">
        <v>2051</v>
      </c>
      <c r="H56" s="2785"/>
      <c r="I56" s="1995"/>
      <c r="J56" s="3054" t="str">
        <f>IF(项目基本情况!K6="上海银行",IF(J55="",4,J55+1),"")</f>
        <v/>
      </c>
      <c r="K56" s="3192" t="str">
        <f>IF(项目基本情况!K6="上海银行","其他处置费用","")</f>
        <v/>
      </c>
      <c r="L56" s="3193"/>
      <c r="M56" s="2752" t="str">
        <f>IF(项目基本情况!K6="上海银行",M69,"")</f>
        <v/>
      </c>
      <c r="N56" s="3192" t="str">
        <f>IF(项目基本情况!K6="上海银行","包含处置中涉及的律师、诉讼、拍卖、评估等费用","")</f>
        <v/>
      </c>
      <c r="O56" s="3195"/>
    </row>
    <row r="57" spans="1:35" ht="12.75">
      <c r="A57" s="3066" t="s">
        <v>2027</v>
      </c>
      <c r="B57" s="3235" t="s">
        <v>2052</v>
      </c>
      <c r="C57" s="3236"/>
      <c r="D57" s="1776">
        <v>0</v>
      </c>
      <c r="E57" s="330" t="s">
        <v>2029</v>
      </c>
      <c r="F57" s="308"/>
      <c r="G57" s="2782"/>
      <c r="H57" s="2786"/>
      <c r="I57" s="1995"/>
      <c r="J57" s="3211">
        <f>IF(AND(J55="",J56=""),4,IF(项目基本情况!K6="上海银行",'结果表-地下商业2'!J56+1,'结果表-地下商业2'!J55+1))</f>
        <v>5</v>
      </c>
      <c r="K57" s="3211" t="s">
        <v>2053</v>
      </c>
      <c r="L57" s="2757" t="s">
        <v>2054</v>
      </c>
      <c r="M57" s="2758"/>
      <c r="N57" s="2759">
        <f ca="1">SUMIF(M52:M56,"&lt;9e307")</f>
        <v>15545</v>
      </c>
      <c r="O57" s="2760"/>
      <c r="P57" s="2920">
        <f ca="1">N57/M49</f>
        <v>0.57601808278059807</v>
      </c>
    </row>
    <row r="58" spans="1:35" ht="24.75">
      <c r="A58" s="3066" t="s">
        <v>2038</v>
      </c>
      <c r="B58" s="3235" t="s">
        <v>2055</v>
      </c>
      <c r="C58" s="3234"/>
      <c r="D58" s="3049">
        <f ca="1">IF(H58="转让取得",C81,C97)</f>
        <v>15275</v>
      </c>
      <c r="E58" s="3064" t="s">
        <v>2050</v>
      </c>
      <c r="F58" s="308" t="s">
        <v>34</v>
      </c>
      <c r="G58" s="2782"/>
      <c r="H58" s="2785"/>
      <c r="I58" s="1995"/>
      <c r="J58" s="3211"/>
      <c r="K58" s="3211"/>
      <c r="L58" s="2757" t="s">
        <v>2056</v>
      </c>
      <c r="M58" s="2761"/>
      <c r="N58" s="2762" t="str">
        <f ca="1">NUMBERSTRING(INT(N57*10000),2)&amp;"元整"</f>
        <v>壹亿伍仟伍佰肆拾伍万元整</v>
      </c>
      <c r="O58" s="2763"/>
    </row>
    <row r="59" spans="1:35" ht="24.75" thickBot="1">
      <c r="A59" s="3215" t="s">
        <v>2057</v>
      </c>
      <c r="B59" s="3216"/>
      <c r="C59" s="3216"/>
      <c r="D59" s="2787">
        <f ca="1">IF(H59="非个人房产","——",IF(H59="个人住宅（满五唯一有凭证）",0,IF(H59="个人其他（无凭证）",ROUND(D45*F59,0),ROUND(C67*F59,0))))</f>
        <v>257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213">
        <f>J57+1</f>
        <v>6</v>
      </c>
      <c r="K59" s="3211" t="s">
        <v>2058</v>
      </c>
      <c r="L59" s="3054" t="s">
        <v>2054</v>
      </c>
      <c r="M59" s="2764"/>
      <c r="N59" s="2765">
        <f ca="1">M49-N57</f>
        <v>11442</v>
      </c>
      <c r="O59" s="2766"/>
    </row>
    <row r="60" spans="1:35" ht="12" customHeight="1">
      <c r="A60" s="1996"/>
      <c r="B60" s="1934"/>
      <c r="C60" s="1934"/>
      <c r="D60" s="1934"/>
      <c r="E60" s="1764"/>
      <c r="F60" s="1995"/>
      <c r="G60" s="1995"/>
      <c r="H60" s="1997"/>
      <c r="I60" s="134"/>
      <c r="J60" s="3214"/>
      <c r="K60" s="3211"/>
      <c r="L60" s="2757" t="s">
        <v>2056</v>
      </c>
      <c r="M60" s="2761"/>
      <c r="N60" s="2762" t="str">
        <f ca="1">NUMBERSTRING(INT(N59*10000),2)&amp;"元整"</f>
        <v>壹亿壹仟肆佰肆拾贰万元整</v>
      </c>
      <c r="O60" s="2763"/>
    </row>
    <row r="61" spans="1:35" ht="13.5" thickBot="1">
      <c r="A61" s="3273" t="s">
        <v>2059</v>
      </c>
      <c r="B61" s="3273"/>
      <c r="C61" s="3273"/>
      <c r="D61" s="3273"/>
      <c r="E61" s="3273"/>
      <c r="F61" s="1995"/>
      <c r="G61" s="1995"/>
      <c r="H61" s="1997"/>
      <c r="I61" s="134"/>
      <c r="J61" s="3054">
        <f>J59+1</f>
        <v>7</v>
      </c>
      <c r="K61" s="3211" t="s">
        <v>2060</v>
      </c>
      <c r="L61" s="3211"/>
      <c r="M61" s="2767"/>
      <c r="N61" s="2768">
        <f ca="1">ROUND(N59*10000/'数据-汇总表'!E3,0)</f>
        <v>1153</v>
      </c>
      <c r="O61" s="2769"/>
    </row>
    <row r="62" spans="1:35" ht="12.75">
      <c r="A62" s="3230" t="s">
        <v>2061</v>
      </c>
      <c r="B62" s="3231"/>
      <c r="C62" s="3059"/>
      <c r="D62" s="3059" t="s">
        <v>2062</v>
      </c>
      <c r="E62" s="171" t="s">
        <v>2063</v>
      </c>
      <c r="F62" s="1995"/>
      <c r="G62" s="1995"/>
      <c r="H62" s="1997"/>
      <c r="I62" s="134"/>
    </row>
    <row r="63" spans="1:35" ht="12.75">
      <c r="A63" s="178" t="s">
        <v>775</v>
      </c>
      <c r="B63" s="172" t="s">
        <v>2064</v>
      </c>
      <c r="C63" s="2791">
        <f ca="1">ROUND((C64+C65)/(1+'数据-取费表'!C42),0)</f>
        <v>25702</v>
      </c>
      <c r="D63" s="172"/>
      <c r="E63" s="173"/>
      <c r="F63" s="1995"/>
      <c r="G63" s="1995"/>
      <c r="H63" s="1997"/>
      <c r="I63" s="134"/>
      <c r="J63" s="3194" t="s">
        <v>2065</v>
      </c>
      <c r="K63" s="3050" t="s">
        <v>2066</v>
      </c>
      <c r="L63" s="3050">
        <f ca="1">IF(M49&gt;10000,M49*0.5%,IF(AND(M49&gt;1000,M49&lt;=10000),M49*1%,IF(AND(M49&gt;100,M49&lt;=1000),M49*3%,IF(AND(M49&gt;10,M49&lt;=100),M49*5%,M49*8%))))</f>
        <v>134.935</v>
      </c>
      <c r="M63" s="308">
        <f ca="1">ROUND(L63,1)</f>
        <v>134.9</v>
      </c>
      <c r="N63" s="2770"/>
      <c r="Z63" s="1939"/>
      <c r="AI63" s="1940"/>
    </row>
    <row r="64" spans="1:35" ht="14.25" customHeight="1">
      <c r="A64" s="174" t="s">
        <v>770</v>
      </c>
      <c r="B64" s="175" t="s">
        <v>2067</v>
      </c>
      <c r="C64" s="2792">
        <f ca="1">D45</f>
        <v>26987</v>
      </c>
      <c r="D64" s="175" t="s">
        <v>32</v>
      </c>
      <c r="E64" s="177"/>
      <c r="F64" s="1995"/>
      <c r="G64" s="1995"/>
      <c r="H64" s="1997"/>
      <c r="I64" s="134"/>
      <c r="J64" s="3194"/>
      <c r="K64" s="3050" t="s">
        <v>2068</v>
      </c>
      <c r="L64" s="3050">
        <f ca="1">IF(M49&gt;2000,M49*0.5%,IF(AND(M49&gt;1000,M49&lt;=2000),M49*0.6%,IF(AND(M49&gt;500,M49&lt;=1000),M49*0.7%,IF(AND(M49&gt;200,M49&lt;=500),M49*0.8%,IF(AND(M49&gt;100,M49&lt;=200),M49*0.9%,IF(AND(M49&gt;50,M49&lt;=100),M49*1%,IF(AND(M49&gt;20,M49&lt;=50),M49*1.5%,IF(AND(M49&gt;10,M49&lt;=20),M49*2%,IF(AND(M49&gt;1,M49&lt;=10),M49*2.5%)))))))))</f>
        <v>134.935</v>
      </c>
      <c r="M64" s="308">
        <f t="shared" ref="M64:M65" ca="1" si="1">ROUND(L64,1)</f>
        <v>134.9</v>
      </c>
      <c r="N64" s="2771" t="s">
        <v>2069</v>
      </c>
      <c r="Z64" s="1939"/>
      <c r="AI64" s="1940"/>
    </row>
    <row r="65" spans="1:35" ht="14.25" customHeight="1">
      <c r="A65" s="174" t="s">
        <v>771</v>
      </c>
      <c r="B65" s="175" t="s">
        <v>2070</v>
      </c>
      <c r="C65" s="2793"/>
      <c r="D65" s="175"/>
      <c r="E65" s="177"/>
      <c r="F65" s="1995"/>
      <c r="G65" s="1995"/>
      <c r="H65" s="1997"/>
      <c r="I65" s="134"/>
      <c r="J65" s="3194"/>
      <c r="K65" s="3050" t="s">
        <v>2071</v>
      </c>
      <c r="L65" s="3050">
        <f ca="1">IF(M49&gt;1000,M49*0.1%,IF(AND(M49&gt;500,M49&lt;=1000),M49*0.5%,IF(AND(M49&gt;50,M49&lt;=500),M49*1%,IF(AND(M49&gt;1,M49&lt;=50),M49*1.5%))))</f>
        <v>26.987000000000002</v>
      </c>
      <c r="M65" s="308">
        <f t="shared" ca="1" si="1"/>
        <v>27</v>
      </c>
      <c r="N65" s="2771" t="s">
        <v>2069</v>
      </c>
      <c r="Z65" s="1939"/>
      <c r="AI65" s="1940"/>
    </row>
    <row r="66" spans="1:35" ht="14.25" customHeight="1">
      <c r="A66" s="178" t="s">
        <v>772</v>
      </c>
      <c r="B66" s="179" t="s">
        <v>2072</v>
      </c>
      <c r="C66" s="2794"/>
      <c r="D66" s="179" t="s">
        <v>32</v>
      </c>
      <c r="E66" s="1510" t="s">
        <v>1337</v>
      </c>
      <c r="F66" s="1995"/>
      <c r="G66" s="1995"/>
      <c r="H66" s="1997"/>
      <c r="I66" s="134"/>
      <c r="J66" s="3194"/>
      <c r="K66" s="3050" t="s">
        <v>2073</v>
      </c>
      <c r="L66" s="3050">
        <f ca="1">M49*0.5%</f>
        <v>134.935</v>
      </c>
      <c r="M66" s="308">
        <f ca="1">IF(L66&gt;0.5,0.5,ROUND(L66,0))</f>
        <v>0.5</v>
      </c>
      <c r="N66" s="2771" t="s">
        <v>2074</v>
      </c>
      <c r="Z66" s="1939"/>
      <c r="AI66" s="1940"/>
    </row>
    <row r="67" spans="1:35" ht="14.25" customHeight="1">
      <c r="A67" s="178" t="s">
        <v>773</v>
      </c>
      <c r="B67" s="179" t="s">
        <v>2075</v>
      </c>
      <c r="C67" s="2795">
        <f ca="1">C63-C66</f>
        <v>25702</v>
      </c>
      <c r="D67" s="175" t="s">
        <v>32</v>
      </c>
      <c r="E67" s="177"/>
      <c r="F67" s="1995"/>
      <c r="G67" s="1995"/>
      <c r="H67" s="1997"/>
      <c r="I67" s="134"/>
      <c r="J67" s="3194"/>
      <c r="K67" s="3050" t="s">
        <v>2076</v>
      </c>
      <c r="L67" s="3050">
        <f ca="1">IF(M49&gt;=10000,(8.25+(M49-10000)*0.01%),IF(AND(M49&gt;=8000,M49&lt;10000),(7.85+(M49-8000)*0.02%),IF(AND(M49&gt;=5000,M49&lt;8000),(6.65+(M49-5000)*0.04%),IF(AND(M49&gt;=2000,M49&lt;5000),(4.25+(PM49-2000)*0.08%),IF(AND(M49&gt;=1000,M49&lt;2000),(2.75+(M49-1000)*0.15%),IF(AND(M49&gt;=100,M49&lt;1000),(0.5+(M49-100)*0.25%),IF(AND(M49&gt;0,M49&lt;100),M49*0.5%)))))))</f>
        <v>9.9487000000000005</v>
      </c>
      <c r="M67" s="308">
        <f ca="1">ROUND(L67*0.9,1)</f>
        <v>9</v>
      </c>
      <c r="N67" s="2770"/>
      <c r="Z67" s="1939"/>
      <c r="AI67" s="1940"/>
    </row>
    <row r="68" spans="1:35" ht="14.25" customHeight="1" thickBot="1">
      <c r="A68" s="181" t="s">
        <v>774</v>
      </c>
      <c r="B68" s="182" t="s">
        <v>2077</v>
      </c>
      <c r="C68" s="2796">
        <f ca="1">IF(C67&lt;=0,0,ROUND(C67*D68,0))</f>
        <v>1439</v>
      </c>
      <c r="D68" s="2797">
        <f>'数据-取费表'!B41</f>
        <v>5.6000000000000001E-2</v>
      </c>
      <c r="E68" s="184"/>
      <c r="F68" s="1995"/>
      <c r="G68" s="1995"/>
      <c r="H68" s="1997"/>
      <c r="I68" s="134"/>
      <c r="J68" s="3194"/>
      <c r="K68" s="3050" t="s">
        <v>2078</v>
      </c>
      <c r="L68" s="3050">
        <f ca="1">IF(M49&gt;10000,M49*0.5%,IF(AND(M49&gt;5000,M49&lt;=10000),M49*1%,IF(AND(M49&gt;1000,M49&lt;=5000),M49*2%,IF(AND(M49&gt;200,M49&lt;=1000),M49*3%,M49*5%))))</f>
        <v>134.935</v>
      </c>
      <c r="M68" s="308">
        <f ca="1">ROUND(L68,1)</f>
        <v>134.9</v>
      </c>
      <c r="N68" s="2770"/>
      <c r="Z68" s="1939"/>
      <c r="AI68" s="1940"/>
    </row>
    <row r="69" spans="1:35" s="1959" customFormat="1" ht="16.5" customHeight="1">
      <c r="A69" s="1998"/>
      <c r="B69" s="1999"/>
      <c r="C69" s="2000"/>
      <c r="D69" s="2001"/>
      <c r="E69" s="2002"/>
      <c r="F69" s="1764"/>
      <c r="G69" s="1764"/>
      <c r="H69" s="1763"/>
      <c r="I69" s="1934"/>
      <c r="J69" s="3194"/>
      <c r="K69" s="3050" t="s">
        <v>2079</v>
      </c>
      <c r="L69" s="3050"/>
      <c r="M69" s="308">
        <f ca="1">ROUND(SUM(M63:M68),0)</f>
        <v>441</v>
      </c>
      <c r="N69" s="2772">
        <f ca="1">M69/M49</f>
        <v>1.6341201319153665E-2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8" t="s">
        <v>2080</v>
      </c>
      <c r="B70" s="3239"/>
      <c r="C70" s="3239"/>
      <c r="D70" s="3239"/>
      <c r="E70" s="3239"/>
      <c r="F70" s="3239"/>
      <c r="G70" s="3239"/>
      <c r="H70" s="3239"/>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0" t="s">
        <v>2061</v>
      </c>
      <c r="B71" s="3231"/>
      <c r="C71" s="3059"/>
      <c r="D71" s="3059"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25702</v>
      </c>
      <c r="D72" s="175" t="s">
        <v>32</v>
      </c>
      <c r="E72" s="3061"/>
      <c r="F72" s="3060"/>
      <c r="G72" s="3060"/>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154</v>
      </c>
      <c r="D73" s="175" t="s">
        <v>32</v>
      </c>
      <c r="E73" s="3061"/>
      <c r="F73" s="3060"/>
      <c r="G73" s="3060"/>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1"/>
      <c r="F74" s="3060"/>
      <c r="G74" s="3060"/>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35" t="s">
        <v>2088</v>
      </c>
      <c r="F76" s="3234"/>
      <c r="G76" s="3234"/>
      <c r="H76" s="323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49" t="s">
        <v>2090</v>
      </c>
      <c r="F77" s="192"/>
      <c r="G77" s="2009"/>
      <c r="H77" s="3062"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154</v>
      </c>
      <c r="D78" s="2804">
        <f>'数据-取费表'!B43</f>
        <v>6.000000000000001E-3</v>
      </c>
      <c r="E78" s="3227" t="s">
        <v>2092</v>
      </c>
      <c r="F78" s="3228"/>
      <c r="G78" s="3228"/>
      <c r="H78" s="322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25548</v>
      </c>
      <c r="D79" s="175" t="s">
        <v>32</v>
      </c>
      <c r="E79" s="3061"/>
      <c r="F79" s="3060"/>
      <c r="G79" s="3060"/>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165.89610389610391</v>
      </c>
      <c r="D80" s="175" t="s">
        <v>32</v>
      </c>
      <c r="E80" s="3049" t="str">
        <f ca="1">IF(C80&gt;=200%,"增值额超过扣除项目金额200%",IF(C80&gt;=100%,"增值额超过扣除项目金额100%，未超过200%",IF(C80&gt;=50%,"增值额超过扣除项目金额50%，未超过100%",IF(C80&lt;50%,"增值额未超过扣除项目金额50%"))))</f>
        <v>增值额超过扣除项目金额200%</v>
      </c>
      <c r="F80" s="3060"/>
      <c r="G80" s="3060"/>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15275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8" t="s">
        <v>2096</v>
      </c>
      <c r="B83" s="3239"/>
      <c r="C83" s="3239"/>
      <c r="D83" s="3239"/>
      <c r="E83" s="3239"/>
      <c r="F83" s="3239"/>
      <c r="G83" s="3239"/>
      <c r="H83" s="323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30" t="s">
        <v>2061</v>
      </c>
      <c r="B84" s="3231"/>
      <c r="C84" s="3059"/>
      <c r="D84" s="305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25702</v>
      </c>
      <c r="D85" s="175" t="s">
        <v>32</v>
      </c>
      <c r="E85" s="3061"/>
      <c r="F85" s="3060"/>
      <c r="G85" s="3060"/>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154</v>
      </c>
      <c r="D86" s="2808"/>
      <c r="E86" s="3061"/>
      <c r="F86" s="3060"/>
      <c r="G86" s="3060"/>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6"/>
      <c r="F87" s="3057"/>
      <c r="G87" s="3057"/>
      <c r="H87" s="3058"/>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57"/>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3057"/>
      <c r="G89" s="3057"/>
      <c r="H89" s="3058"/>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57"/>
      <c r="G90" s="3196" t="s">
        <v>2870</v>
      </c>
      <c r="H90" s="3197"/>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IF(H91="——",'成本法-地上商业'!C33,I91)</f>
        <v>0</v>
      </c>
      <c r="D91" s="2804"/>
      <c r="E91" s="3227" t="s">
        <v>2105</v>
      </c>
      <c r="F91" s="3228"/>
      <c r="G91" s="322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27" t="s">
        <v>2108</v>
      </c>
      <c r="F92" s="3228"/>
      <c r="G92" s="3228"/>
      <c r="H92" s="3229"/>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154</v>
      </c>
      <c r="D93" s="2804">
        <f>'数据-取费表'!B43</f>
        <v>6.000000000000001E-3</v>
      </c>
      <c r="E93" s="3227" t="s">
        <v>2092</v>
      </c>
      <c r="F93" s="3228"/>
      <c r="G93" s="3228"/>
      <c r="H93" s="322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75" t="s">
        <v>2112</v>
      </c>
      <c r="F94" s="3276"/>
      <c r="G94" s="3276"/>
      <c r="H94" s="327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25548</v>
      </c>
      <c r="D95" s="175" t="s">
        <v>32</v>
      </c>
      <c r="E95" s="3061"/>
      <c r="F95" s="3060"/>
      <c r="G95" s="3060"/>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165.89610389610391</v>
      </c>
      <c r="D96" s="175" t="s">
        <v>32</v>
      </c>
      <c r="E96" s="3049" t="str">
        <f ca="1">IF(C96&gt;=200%,"增值额超过扣除项目金额200%",IF(C96&gt;=100%,"增值额超过扣除项目金额100%，未超过200%",IF(C96&gt;=50%,"增值额超过扣除项目金额50%，未超过100%",IF(C96&lt;50%,"增值额未超过扣除项目金额50%"))))</f>
        <v>增值额超过扣除项目金额200%</v>
      </c>
      <c r="F96" s="3060"/>
      <c r="G96" s="3060"/>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15275</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77" t="s">
        <v>2114</v>
      </c>
      <c r="B100" s="3178"/>
      <c r="C100" s="3178"/>
      <c r="D100" s="3212"/>
      <c r="E100" s="3178" t="s">
        <v>2115</v>
      </c>
      <c r="F100" s="3178"/>
      <c r="G100" s="3178"/>
      <c r="H100" s="3212"/>
      <c r="I100" s="134"/>
    </row>
    <row r="101" spans="1:35" ht="18.75" customHeight="1">
      <c r="A101" s="3220" t="s">
        <v>2116</v>
      </c>
      <c r="B101" s="3221"/>
      <c r="C101" s="2812" t="str">
        <f>C4</f>
        <v>成本法-地下商业2</v>
      </c>
      <c r="D101" s="2813" t="str">
        <f>D4</f>
        <v>收益法-地下商业2</v>
      </c>
      <c r="E101" s="3190" t="s">
        <v>2117</v>
      </c>
      <c r="F101" s="3191"/>
      <c r="G101" s="2014" t="s">
        <v>2118</v>
      </c>
      <c r="H101" s="2822">
        <f ca="1">H118</f>
        <v>26987</v>
      </c>
      <c r="I101" s="134"/>
    </row>
    <row r="102" spans="1:35" ht="18.75" customHeight="1">
      <c r="A102" s="3222" t="s">
        <v>2119</v>
      </c>
      <c r="B102" s="2811" t="s">
        <v>2118</v>
      </c>
      <c r="C102" s="2812">
        <f ca="1">C19</f>
        <v>25847</v>
      </c>
      <c r="D102" s="2813">
        <f ca="1">D19</f>
        <v>28127</v>
      </c>
      <c r="E102" s="3190"/>
      <c r="F102" s="3191"/>
      <c r="G102" s="2014" t="s">
        <v>2120</v>
      </c>
      <c r="H102" s="2782">
        <f ca="1">I118</f>
        <v>16106</v>
      </c>
      <c r="I102" s="134"/>
    </row>
    <row r="103" spans="1:35" ht="42.75" customHeight="1">
      <c r="A103" s="3222"/>
      <c r="B103" s="2811" t="s">
        <v>2120</v>
      </c>
      <c r="C103" s="2814">
        <f ca="1">C20</f>
        <v>15425</v>
      </c>
      <c r="D103" s="2815">
        <f ca="1">D20</f>
        <v>16786</v>
      </c>
      <c r="E103" s="3183" t="s">
        <v>2121</v>
      </c>
      <c r="F103" s="3184"/>
      <c r="G103" s="2015" t="s">
        <v>2122</v>
      </c>
      <c r="H103" s="2822">
        <f>IF(D36="正常操作",H104+H105+H106,H105+H106)</f>
        <v>0</v>
      </c>
      <c r="I103" s="134"/>
    </row>
    <row r="104" spans="1:35" ht="18.75" customHeight="1">
      <c r="A104" s="3222" t="s">
        <v>2123</v>
      </c>
      <c r="B104" s="2816" t="s">
        <v>2118</v>
      </c>
      <c r="C104" s="2817">
        <f ca="1">H118</f>
        <v>26987</v>
      </c>
      <c r="D104" s="2818"/>
      <c r="E104" s="1861" t="s">
        <v>2124</v>
      </c>
      <c r="F104" s="1852"/>
      <c r="G104" s="2015" t="s">
        <v>2122</v>
      </c>
      <c r="H104" s="2823">
        <f>IF(D36="同一抵押权人同一抵押物续贷",C36&amp;"（续贷，未扣减，详见特别提示）",C36)</f>
        <v>0</v>
      </c>
      <c r="I104" s="134"/>
    </row>
    <row r="105" spans="1:35" ht="18.75" customHeight="1" thickBot="1">
      <c r="A105" s="3232"/>
      <c r="B105" s="2819" t="s">
        <v>2120</v>
      </c>
      <c r="C105" s="2820">
        <f ca="1">I118</f>
        <v>16106</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23" t="str">
        <f>IF(项目基本情况!E8="已注销","——","3.房地产抵押价值")</f>
        <v>3.房地产抵押价值</v>
      </c>
      <c r="F107" s="3191"/>
      <c r="G107" s="2014" t="s">
        <v>2118</v>
      </c>
      <c r="H107" s="2822">
        <f ca="1">IF(E107="——","——",H101-H103)</f>
        <v>26987</v>
      </c>
      <c r="I107" s="134"/>
    </row>
    <row r="108" spans="1:35" ht="18.75" customHeight="1">
      <c r="A108" s="134"/>
      <c r="B108" s="134"/>
      <c r="C108" s="134"/>
      <c r="D108" s="134"/>
      <c r="E108" s="3223"/>
      <c r="F108" s="3191"/>
      <c r="G108" s="2014" t="s">
        <v>2120</v>
      </c>
      <c r="H108" s="2782">
        <f ca="1">ROUND(H107*10000/'数据-汇总表'!E3,0)</f>
        <v>2720</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191"/>
      <c r="G109" s="2014" t="s">
        <v>2118</v>
      </c>
      <c r="H109" s="2825" t="str">
        <f>IF(E109="——","——",H101-H105-H106)</f>
        <v>——</v>
      </c>
      <c r="I109" s="134"/>
    </row>
    <row r="110" spans="1:35" ht="18.75" customHeight="1">
      <c r="A110" s="134"/>
      <c r="B110" s="134"/>
      <c r="C110" s="134"/>
      <c r="D110" s="134"/>
      <c r="E110" s="3223"/>
      <c r="F110" s="3191"/>
      <c r="G110" s="2014" t="s">
        <v>2120</v>
      </c>
      <c r="H110" s="2782" t="str">
        <f>IF(H109="——","——",ROUND(H109*10000/'数据-汇总表'!E3,0))</f>
        <v>——</v>
      </c>
      <c r="I110" s="134"/>
    </row>
    <row r="111" spans="1:35" ht="18.75" customHeight="1">
      <c r="A111" s="134"/>
      <c r="B111" s="134"/>
      <c r="C111" s="134"/>
      <c r="D111" s="134"/>
      <c r="E111" s="3224" t="str">
        <f>IF(项目基本情况!E9="抵押净值",IF(OR(项目基本情况!E8="已注销",项目基本情况!E8="房地产抵押价值"),"4.抵押净值","5.抵押净值"),"——")</f>
        <v>——</v>
      </c>
      <c r="F111" s="3210"/>
      <c r="G111" s="2014" t="s">
        <v>2118</v>
      </c>
      <c r="H111" s="2822" t="str">
        <f>IF(E111="——","——",N59)</f>
        <v>——</v>
      </c>
      <c r="I111" s="134"/>
    </row>
    <row r="112" spans="1:35" ht="18.75" customHeight="1" thickBot="1">
      <c r="A112" s="134"/>
      <c r="B112" s="134"/>
      <c r="C112" s="134"/>
      <c r="D112" s="134"/>
      <c r="E112" s="3225"/>
      <c r="F112" s="3226"/>
      <c r="G112" s="2017" t="s">
        <v>2120</v>
      </c>
      <c r="H112" s="2826" t="str">
        <f>IF(E111="——","——",N61)</f>
        <v>——</v>
      </c>
      <c r="I112" s="134"/>
    </row>
    <row r="113" spans="1:27" ht="18.75" customHeight="1">
      <c r="A113" s="134"/>
      <c r="B113" s="134"/>
      <c r="C113" s="134"/>
      <c r="D113" s="134"/>
      <c r="E113" s="3233" t="s">
        <v>2126</v>
      </c>
      <c r="F113" s="3233"/>
      <c r="G113" s="3233"/>
      <c r="H113" s="3233"/>
      <c r="I113" s="134"/>
    </row>
    <row r="114" spans="1:27" ht="3.75" customHeight="1">
      <c r="A114" s="1934"/>
      <c r="B114" s="1934"/>
      <c r="C114" s="1934"/>
      <c r="D114" s="1934"/>
      <c r="E114" s="1996"/>
      <c r="F114" s="1996"/>
      <c r="G114" s="1996"/>
      <c r="H114" s="1996"/>
      <c r="I114" s="1934"/>
    </row>
    <row r="115" spans="1:27" ht="18.75" customHeight="1">
      <c r="A115" s="3244" t="s">
        <v>2128</v>
      </c>
      <c r="B115" s="3245"/>
      <c r="C115" s="3245"/>
      <c r="D115" s="3245"/>
      <c r="E115" s="3245"/>
      <c r="F115" s="3245"/>
      <c r="G115" s="3245"/>
      <c r="H115" s="3245"/>
      <c r="I115" s="3246"/>
    </row>
    <row r="116" spans="1:27" ht="27" customHeight="1">
      <c r="A116" s="3198" t="s">
        <v>2129</v>
      </c>
      <c r="B116" s="3202" t="s">
        <v>2130</v>
      </c>
      <c r="C116" s="3202" t="s">
        <v>2131</v>
      </c>
      <c r="D116" s="3208" t="s">
        <v>2132</v>
      </c>
      <c r="E116" s="3209"/>
      <c r="F116" s="3240" t="s">
        <v>2133</v>
      </c>
      <c r="G116" s="3240"/>
      <c r="H116" s="3198" t="s">
        <v>2134</v>
      </c>
      <c r="I116" s="3198"/>
    </row>
    <row r="117" spans="1:27" ht="18.75" customHeight="1">
      <c r="A117" s="3198"/>
      <c r="B117" s="3203"/>
      <c r="C117" s="3203"/>
      <c r="D117" s="3052" t="s">
        <v>2135</v>
      </c>
      <c r="E117" s="3052" t="s">
        <v>2136</v>
      </c>
      <c r="F117" s="3052" t="s">
        <v>2135</v>
      </c>
      <c r="G117" s="3052" t="s">
        <v>2137</v>
      </c>
      <c r="H117" s="3052" t="s">
        <v>2135</v>
      </c>
      <c r="I117" s="3052" t="s">
        <v>2137</v>
      </c>
    </row>
    <row r="118" spans="1:27" ht="24.75" customHeight="1">
      <c r="A118" s="2827" t="str">
        <f>项目基本情况!S2</f>
        <v>北京市房地产</v>
      </c>
      <c r="B118" s="3052">
        <f>M18</f>
        <v>16756.23</v>
      </c>
      <c r="C118" s="3052">
        <f>M19</f>
        <v>0</v>
      </c>
      <c r="D118" s="3052" t="e">
        <f ca="1">ROUND(IF(D32="总价",C34,E118*B118/10000),0)</f>
        <v>#REF!</v>
      </c>
      <c r="E118" s="3052" t="e">
        <f ca="1">ROUND(IF(C33="自定义",IF(D32="楼面单价",C34,D118*10000/B118),I118-G118),0)</f>
        <v>#REF!</v>
      </c>
      <c r="F118" s="3052" t="e">
        <f ca="1">ROUND(IF(D32="总价",C35,G118*B118/10000),0)</f>
        <v>#REF!</v>
      </c>
      <c r="G118" s="3052" t="e">
        <f ca="1">ROUND(IF(D32="楼面单价",C35,F118*10000/B118),0)</f>
        <v>#REF!</v>
      </c>
      <c r="H118" s="3052">
        <f ca="1">ROUND(IF(D32="总价",C32,I118*B118/10000),0)</f>
        <v>26987</v>
      </c>
      <c r="I118" s="3052">
        <f ca="1">ROUND(IF(D32="楼面单价",C32,H118*10000/B118),0)</f>
        <v>16106</v>
      </c>
    </row>
    <row r="119" spans="1:27" ht="18.75" customHeight="1">
      <c r="A119" s="3198" t="s">
        <v>2138</v>
      </c>
      <c r="B119" s="3198"/>
      <c r="C119" s="3198"/>
      <c r="D119" s="3204" t="e">
        <f ca="1">NUMBERSTRING(INT(D118*10000),2)&amp;"元整"</f>
        <v>#REF!</v>
      </c>
      <c r="E119" s="3205"/>
      <c r="F119" s="3204" t="e">
        <f ca="1">NUMBERSTRING(INT(F118*10000),2)&amp;"元整"</f>
        <v>#REF!</v>
      </c>
      <c r="G119" s="3205"/>
      <c r="H119" s="3204" t="str">
        <f ca="1">NUMBERSTRING(INT(H118*10000),2)&amp;"元整"</f>
        <v>贰亿陆仟玖佰捌拾柒万元整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41" t="s">
        <v>2138</v>
      </c>
      <c r="B121" s="3242"/>
      <c r="C121" s="3243"/>
      <c r="D121" s="3204" t="str">
        <f>IF(D120=0,"零元整",NUMBERSTRING(INT(D120*10000),2)&amp;"元整")</f>
        <v>零元整</v>
      </c>
      <c r="E121" s="3206"/>
      <c r="F121" s="3206"/>
      <c r="G121" s="3206"/>
      <c r="H121" s="3206"/>
      <c r="I121" s="3205"/>
      <c r="AA121" s="734"/>
    </row>
    <row r="122" spans="1:27" ht="18.75" customHeight="1">
      <c r="A122" s="3210" t="str">
        <f>IF(项目基本情况!B9="房地产市场价值","",MID(E107,3,LEN(E107)-2))</f>
        <v>房地产抵押价值</v>
      </c>
      <c r="B122" s="3210"/>
      <c r="C122" s="3210"/>
      <c r="D122" s="3199">
        <f ca="1">H107</f>
        <v>26987</v>
      </c>
      <c r="E122" s="3200"/>
      <c r="F122" s="3200"/>
      <c r="G122" s="3200"/>
      <c r="H122" s="3200"/>
      <c r="I122" s="3201"/>
      <c r="AA122" s="734"/>
    </row>
    <row r="123" spans="1:27" ht="18.75" customHeight="1">
      <c r="A123" s="3198" t="s">
        <v>2138</v>
      </c>
      <c r="B123" s="3198"/>
      <c r="C123" s="3198"/>
      <c r="D123" s="3204" t="str">
        <f ca="1">NUMBERSTRING(INT(D122*10000),2)&amp;"元整"</f>
        <v>贰亿陆仟玖佰捌拾柒万元整</v>
      </c>
      <c r="E123" s="3206"/>
      <c r="F123" s="3206"/>
      <c r="G123" s="3206"/>
      <c r="H123" s="3206"/>
      <c r="I123" s="3205"/>
      <c r="AA123" s="734"/>
    </row>
    <row r="124" spans="1:27" ht="18.75" customHeight="1">
      <c r="A124" s="3210" t="str">
        <f>IF(项目基本情况!B9="房地产市场价值","",MID(E109,3,LEN(E109)-2))</f>
        <v/>
      </c>
      <c r="B124" s="3210"/>
      <c r="C124" s="3210"/>
      <c r="D124" s="3199" t="str">
        <f>H109</f>
        <v>——</v>
      </c>
      <c r="E124" s="3200"/>
      <c r="F124" s="3200"/>
      <c r="G124" s="3200"/>
      <c r="H124" s="3200"/>
      <c r="I124" s="3201"/>
      <c r="AA124" s="734"/>
    </row>
    <row r="125" spans="1:27" ht="18.75" customHeight="1">
      <c r="A125" s="3198" t="s">
        <v>2138</v>
      </c>
      <c r="B125" s="3198"/>
      <c r="C125" s="3198"/>
      <c r="D125" s="3204" t="e">
        <f>NUMBERSTRING(INT(D124*10000),2)&amp;"元整"</f>
        <v>#VALUE!</v>
      </c>
      <c r="E125" s="3206"/>
      <c r="F125" s="3206"/>
      <c r="G125" s="3206"/>
      <c r="H125" s="3206"/>
      <c r="I125" s="3205"/>
      <c r="AA125" s="734"/>
    </row>
    <row r="126" spans="1:27" ht="18.75" customHeight="1">
      <c r="A126" s="3210" t="str">
        <f>IF(项目基本情况!B9="房地产市场价值","",MID(E111,3,LEN(E111)-2))</f>
        <v/>
      </c>
      <c r="B126" s="3210"/>
      <c r="C126" s="3210"/>
      <c r="D126" s="3199" t="str">
        <f>H111</f>
        <v>——</v>
      </c>
      <c r="E126" s="3200"/>
      <c r="F126" s="3200"/>
      <c r="G126" s="3200"/>
      <c r="H126" s="3200"/>
      <c r="I126" s="3201"/>
      <c r="AA126" s="734"/>
    </row>
    <row r="127" spans="1:27" ht="18.75" customHeight="1">
      <c r="A127" s="3198" t="s">
        <v>2138</v>
      </c>
      <c r="B127" s="3198"/>
      <c r="C127" s="3198"/>
      <c r="D127" s="3204" t="e">
        <f>NUMBERSTRING(INT(D126*10000),2)&amp;"元整"</f>
        <v>#VALUE!</v>
      </c>
      <c r="E127" s="3206"/>
      <c r="F127" s="3206"/>
      <c r="G127" s="3206"/>
      <c r="H127" s="3206"/>
      <c r="I127" s="3205"/>
      <c r="AA127" s="734"/>
    </row>
    <row r="128" spans="1:27" ht="21.75" customHeight="1">
      <c r="A128" s="3207" t="s">
        <v>2139</v>
      </c>
      <c r="B128" s="3207"/>
      <c r="C128" s="3207"/>
      <c r="D128" s="3207"/>
      <c r="E128" s="3207"/>
      <c r="F128" s="3207"/>
      <c r="G128" s="3207"/>
      <c r="H128" s="3207"/>
      <c r="I128" s="3207"/>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3114</v>
      </c>
      <c r="C1" s="204"/>
      <c r="D1" s="204"/>
      <c r="E1" s="204"/>
      <c r="F1" s="204"/>
      <c r="G1" s="1288">
        <f>MATCH(B1,'数据-取费表'!A6:A16,0)+5</f>
        <v>9</v>
      </c>
    </row>
    <row r="2" spans="1:9" s="206" customFormat="1" ht="18" customHeight="1">
      <c r="A2" s="207" t="s">
        <v>1359</v>
      </c>
      <c r="B2" s="208">
        <f ca="1">IF(D2="——",C52,C52-E2)</f>
        <v>25847</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f ca="1">ROUND(B2*10000/(IF(B1="",'数据-汇总表'!E3,INDIRECT("'数据-取费表'!k"&amp;$G$1))),0)</f>
        <v>15425</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11383</v>
      </c>
      <c r="D5" s="217" t="s">
        <v>2155</v>
      </c>
      <c r="E5" s="218" t="s">
        <v>2156</v>
      </c>
      <c r="F5" s="218" t="s">
        <v>2157</v>
      </c>
      <c r="G5" s="219"/>
    </row>
    <row r="6" spans="1:9" s="220" customFormat="1" ht="13.5" customHeight="1">
      <c r="A6" s="886" t="s">
        <v>791</v>
      </c>
      <c r="B6" s="221" t="s">
        <v>2159</v>
      </c>
      <c r="C6" s="222">
        <f ca="1">ROUND(基准地价修正!C34*'成本法-地下商业2'!D10/10000,0)</f>
        <v>10721</v>
      </c>
      <c r="D6" s="223"/>
      <c r="E6" s="224"/>
      <c r="F6" s="224"/>
      <c r="G6" s="225"/>
    </row>
    <row r="7" spans="1:9" s="220" customFormat="1" ht="13.5" customHeight="1">
      <c r="A7" s="886" t="s">
        <v>792</v>
      </c>
      <c r="B7" s="221" t="s">
        <v>2161</v>
      </c>
      <c r="C7" s="226">
        <f ca="1">ROUND(C6*F7,0)</f>
        <v>327</v>
      </c>
      <c r="D7" s="226"/>
      <c r="E7" s="224"/>
      <c r="F7" s="227">
        <f>IF(项目基本情况!B8="出让",0,'数据-取费表'!B48+'数据-取费表'!B49)</f>
        <v>3.0499999999999999E-2</v>
      </c>
      <c r="G7" s="225"/>
    </row>
    <row r="8" spans="1:9" s="229" customFormat="1">
      <c r="A8" s="886" t="s">
        <v>793</v>
      </c>
      <c r="B8" s="221" t="s">
        <v>2163</v>
      </c>
      <c r="C8" s="226">
        <f ca="1">IF(G8="已包含在土地购买价格中","0",IF(B1="",'数据-取费表'!B29,IF(G9="全部缴纳",C9+C10,H9)))</f>
        <v>335</v>
      </c>
      <c r="D8" s="228"/>
      <c r="E8" s="226"/>
      <c r="F8" s="227"/>
      <c r="G8" s="2043" t="s">
        <v>3092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3090</v>
      </c>
      <c r="H9" s="1299"/>
      <c r="I9" s="2045" t="s">
        <v>2165</v>
      </c>
    </row>
    <row r="10" spans="1:9" s="220" customFormat="1" ht="13.5" customHeight="1">
      <c r="A10" s="887" t="s">
        <v>801</v>
      </c>
      <c r="B10" s="230" t="s">
        <v>2166</v>
      </c>
      <c r="C10" s="231">
        <f ca="1">ROUND(D10*E10/10000,0)</f>
        <v>335</v>
      </c>
      <c r="D10" s="954">
        <f ca="1">IF(B1="",'数据-汇总表'!E6,IF(INDIRECT("'数据-取费表'!c"&amp;$G$1)="住宅",INDIRECT("'数据-取费表'!s"&amp;$G$1),INDIRECT("'数据-取费表'!k"&amp;$G$1)+INDIRECT("'数据-取费表'!s"&amp;$G$1)))</f>
        <v>16756.23</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16756.23</v>
      </c>
      <c r="E19" s="217">
        <f>'数据-取费表'!B31</f>
        <v>200</v>
      </c>
      <c r="F19" s="237"/>
      <c r="G19" s="2043" t="s">
        <v>3091</v>
      </c>
    </row>
    <row r="20" spans="1:7" s="220" customFormat="1" ht="13.5" customHeight="1">
      <c r="A20" s="261" t="s">
        <v>2179</v>
      </c>
      <c r="B20" s="216" t="s">
        <v>2180</v>
      </c>
      <c r="C20" s="238">
        <f ca="1">ROUND((C5+C19)*F20,0)</f>
        <v>228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902</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893</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2322</v>
      </c>
      <c r="D27" s="241">
        <f ca="1">C29</f>
        <v>4.0000000000000001E-3</v>
      </c>
      <c r="E27" s="242" t="s">
        <v>2184</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2322</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2184</v>
      </c>
      <c r="E30" s="247"/>
      <c r="F30" s="243">
        <f>'数据-取费表'!B41</f>
        <v>5.6000000000000001E-2</v>
      </c>
      <c r="G30" s="240" t="s">
        <v>2206</v>
      </c>
    </row>
    <row r="31" spans="1:7" ht="16.5" customHeight="1">
      <c r="A31" s="215">
        <v>1</v>
      </c>
      <c r="B31" s="216" t="s">
        <v>2207</v>
      </c>
      <c r="C31" s="217">
        <f ca="1">ROUND((C5+C19+C20+C22+C27)/(1-C21-D22-D27-C30),0)</f>
        <v>16092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7339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6702</v>
      </c>
      <c r="D34" s="223"/>
      <c r="E34" s="226"/>
      <c r="F34" s="263">
        <f ca="1">IF('数据-取费表'!B24=0,1,IF(B1="",'数据-取费表'!N16,INDIRECT("'数据-取费表'!n"&amp;$G$1)))</f>
        <v>1</v>
      </c>
      <c r="G34" s="225" t="s">
        <v>2212</v>
      </c>
    </row>
    <row r="35" spans="1:7" ht="13.5" customHeight="1">
      <c r="A35" s="888" t="s">
        <v>796</v>
      </c>
      <c r="B35" s="221" t="s">
        <v>2213</v>
      </c>
      <c r="C35" s="226">
        <f ca="1">ROUND(C34*F35,0)</f>
        <v>201</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335</v>
      </c>
      <c r="D37" s="223">
        <f ca="1">D19</f>
        <v>16756.23</v>
      </c>
      <c r="E37" s="255">
        <f>'数据-取费表'!B35</f>
        <v>200</v>
      </c>
      <c r="F37" s="265"/>
      <c r="G37" s="267" t="s">
        <v>2218</v>
      </c>
    </row>
    <row r="38" spans="1:7" ht="13.5" customHeight="1">
      <c r="A38" s="888" t="s">
        <v>799</v>
      </c>
      <c r="B38" s="221" t="s">
        <v>2219</v>
      </c>
      <c r="C38" s="226">
        <f ca="1">ROUND(C34*F38,0)</f>
        <v>101</v>
      </c>
      <c r="D38" s="226"/>
      <c r="E38" s="226"/>
      <c r="F38" s="265">
        <f>'数据-取费表'!B36</f>
        <v>1.4999999999999999E-2</v>
      </c>
      <c r="G38" s="225" t="s">
        <v>2214</v>
      </c>
    </row>
    <row r="39" spans="1:7" s="220" customFormat="1" ht="13.5" customHeight="1">
      <c r="A39" s="261" t="s">
        <v>2177</v>
      </c>
      <c r="B39" s="216" t="s">
        <v>2180</v>
      </c>
      <c r="C39" s="238">
        <f ca="1">ROUND(C33*F20,0)</f>
        <v>147</v>
      </c>
      <c r="D39" s="238"/>
      <c r="E39" s="238"/>
      <c r="F39" s="2536">
        <f>F20</f>
        <v>0.02</v>
      </c>
      <c r="G39" s="240" t="s">
        <v>2222</v>
      </c>
    </row>
    <row r="40" spans="1:7" s="220" customFormat="1" ht="13.5" customHeight="1">
      <c r="A40" s="261" t="s">
        <v>2179</v>
      </c>
      <c r="B40" s="216" t="s">
        <v>2183</v>
      </c>
      <c r="C40" s="1496">
        <f>F21</f>
        <v>0.02</v>
      </c>
      <c r="D40" s="242" t="s">
        <v>2225</v>
      </c>
      <c r="E40" s="238"/>
      <c r="F40" s="2536">
        <f>F21</f>
        <v>0.02</v>
      </c>
      <c r="G40" s="240" t="s">
        <v>2226</v>
      </c>
    </row>
    <row r="41" spans="1:7" s="220" customFormat="1" ht="13.5" customHeight="1">
      <c r="A41" s="261" t="s">
        <v>2182</v>
      </c>
      <c r="B41" s="216" t="s">
        <v>2187</v>
      </c>
      <c r="C41" s="238">
        <f ca="1">ROUND(SUM(C42:C43),0)</f>
        <v>289</v>
      </c>
      <c r="D41" s="241">
        <f ca="1">C44</f>
        <v>8.0000000000000004E-4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283</v>
      </c>
      <c r="D42" s="244"/>
      <c r="E42" s="244"/>
      <c r="F42" s="245"/>
      <c r="G42" s="3306" t="s">
        <v>2230</v>
      </c>
    </row>
    <row r="43" spans="1:7" ht="13.5" customHeight="1">
      <c r="A43" s="888" t="s">
        <v>792</v>
      </c>
      <c r="B43" s="221" t="s">
        <v>2192</v>
      </c>
      <c r="C43" s="244">
        <f ca="1">ROUND(IF('数据-取费表'!B22&lt;=1,C39*F22*'数据-取费表'!B21/2,C39*(POWER((1+F22),'数据-取费表'!B21/2)-1)),0)</f>
        <v>6</v>
      </c>
      <c r="D43" s="244"/>
      <c r="E43" s="244"/>
      <c r="F43" s="245"/>
      <c r="G43" s="3307"/>
    </row>
    <row r="44" spans="1:7" ht="13.5" customHeight="1">
      <c r="A44" s="888" t="s">
        <v>793</v>
      </c>
      <c r="B44" s="221" t="s">
        <v>2195</v>
      </c>
      <c r="C44" s="244">
        <f ca="1">ROUND(IF('数据-取费表'!B22&lt;=1,C40*F22*'数据-取费表'!B21/2,C40*(POWER((1+F22),'数据-取费表'!B21/2)-1)),4)</f>
        <v>8.0000000000000004E-4</v>
      </c>
      <c r="D44" s="244"/>
      <c r="E44" s="244"/>
      <c r="F44" s="245"/>
      <c r="G44" s="3308"/>
    </row>
    <row r="45" spans="1:7" s="220" customFormat="1" ht="13.5" customHeight="1">
      <c r="A45" s="261" t="s">
        <v>2186</v>
      </c>
      <c r="B45" s="250" t="s">
        <v>2199</v>
      </c>
      <c r="C45" s="251">
        <f ca="1">C46</f>
        <v>1497</v>
      </c>
      <c r="D45" s="241">
        <f ca="1">C47</f>
        <v>4.0000000000000001E-3</v>
      </c>
      <c r="E45" s="242" t="s">
        <v>2225</v>
      </c>
      <c r="F45" s="2538">
        <f ca="1">F27</f>
        <v>0.2</v>
      </c>
      <c r="G45" s="253" t="s">
        <v>2234</v>
      </c>
    </row>
    <row r="46" spans="1:7" s="220" customFormat="1" ht="13.5" customHeight="1">
      <c r="A46" s="888" t="s">
        <v>791</v>
      </c>
      <c r="B46" s="254" t="s">
        <v>2235</v>
      </c>
      <c r="C46" s="255">
        <f ca="1">ROUND((C33+C39)*F27,0)</f>
        <v>1497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10057</v>
      </c>
      <c r="D49" s="238"/>
      <c r="E49" s="238"/>
      <c r="F49" s="270"/>
      <c r="G49" s="240" t="s">
        <v>2240</v>
      </c>
    </row>
    <row r="50" spans="1:7" s="264" customFormat="1" ht="24">
      <c r="A50" s="261" t="s">
        <v>2241</v>
      </c>
      <c r="B50" s="216" t="s">
        <v>2242</v>
      </c>
      <c r="C50" s="238"/>
      <c r="D50" s="238"/>
      <c r="E50" s="238"/>
      <c r="F50" s="270">
        <f>IF('数据-取费表'!B24=0,'数据-取费表'!N16,1)</f>
        <v>0.97</v>
      </c>
      <c r="G50" s="253" t="s">
        <v>2243</v>
      </c>
    </row>
    <row r="51" spans="1:7" ht="16.5" customHeight="1">
      <c r="A51" s="261" t="s">
        <v>2244</v>
      </c>
      <c r="B51" s="216" t="s">
        <v>2245</v>
      </c>
      <c r="C51" s="238">
        <f ca="1">ROUND(C49*F50,0)</f>
        <v>9755</v>
      </c>
      <c r="D51" s="238"/>
      <c r="E51" s="238"/>
      <c r="F51" s="270"/>
      <c r="G51" s="240" t="s">
        <v>2246</v>
      </c>
    </row>
    <row r="52" spans="1:7" s="214" customFormat="1" ht="16.5" thickBot="1">
      <c r="A52" s="271" t="s">
        <v>2247</v>
      </c>
      <c r="B52" s="272"/>
      <c r="C52" s="273">
        <f ca="1">C31+C51</f>
        <v>25847</v>
      </c>
      <c r="D52" s="272"/>
      <c r="E52" s="272"/>
      <c r="F52" s="272"/>
      <c r="G52" s="274"/>
    </row>
    <row r="55" spans="1:7" ht="15">
      <c r="B55" s="276" t="s">
        <v>2248</v>
      </c>
      <c r="C55" s="277"/>
    </row>
    <row r="56" spans="1:7">
      <c r="B56" s="279" t="s">
        <v>1478</v>
      </c>
      <c r="C56" s="281">
        <f ca="1">1-C57</f>
        <v>0.623</v>
      </c>
    </row>
    <row r="57" spans="1:7">
      <c r="B57" s="279" t="s">
        <v>1479</v>
      </c>
      <c r="C57" s="280">
        <f ca="1">ROUND(C51/C52,3)</f>
        <v>0.377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3114</v>
      </c>
      <c r="D1" s="1547" t="s">
        <v>70</v>
      </c>
      <c r="E1" s="1548" t="s">
        <v>1352</v>
      </c>
      <c r="F1" s="1193">
        <f ca="1">J53</f>
        <v>29.86</v>
      </c>
      <c r="G1" s="1563">
        <f>MATCH(C1,'数据-取费表'!A6:A16,0)+5</f>
        <v>9</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28127</v>
      </c>
      <c r="C2" s="1572" t="s">
        <v>1481</v>
      </c>
      <c r="D2" s="1572"/>
      <c r="E2" s="1573"/>
      <c r="F2" s="1574"/>
      <c r="G2" s="2936"/>
      <c r="H2" s="2925"/>
      <c r="I2" s="2925"/>
      <c r="J2" s="2925"/>
      <c r="K2" s="2926"/>
      <c r="L2" s="2925"/>
      <c r="M2" s="2925"/>
    </row>
    <row r="3" spans="1:37" ht="18" customHeight="1" thickBot="1">
      <c r="A3" s="1575" t="s">
        <v>1482</v>
      </c>
      <c r="B3" s="1576">
        <f ca="1">IF(ISERROR(B2*10000/F43),0,ROUND(B2*10000/F43,0))</f>
        <v>16786</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1984</v>
      </c>
      <c r="D5" s="1549" t="s">
        <v>1367</v>
      </c>
      <c r="E5" s="1203"/>
      <c r="F5" s="1204"/>
      <c r="G5" s="1569"/>
      <c r="H5" s="305">
        <v>1</v>
      </c>
      <c r="I5" s="306" t="s">
        <v>1366</v>
      </c>
      <c r="J5" s="1202">
        <f ca="1">J6+J10+J12</f>
        <v>0</v>
      </c>
      <c r="K5" s="1549" t="s">
        <v>1367</v>
      </c>
      <c r="L5" s="1203"/>
      <c r="M5" s="1204"/>
    </row>
    <row r="6" spans="1:37" ht="18" customHeight="1">
      <c r="A6" s="1201" t="s">
        <v>1003</v>
      </c>
      <c r="B6" s="3311" t="s">
        <v>1368</v>
      </c>
      <c r="C6" s="1206">
        <f ca="1">ROUND(F6*F8*F7*(1-F9)/10000,0)</f>
        <v>1982</v>
      </c>
      <c r="D6" s="160" t="s">
        <v>2849</v>
      </c>
      <c r="E6" s="308" t="s">
        <v>1370</v>
      </c>
      <c r="F6" s="309">
        <f ca="1">INDIRECT("'数据-取费表'!u"&amp;$G$1)</f>
        <v>3.6</v>
      </c>
      <c r="G6" s="1569"/>
      <c r="H6" s="1201" t="s">
        <v>1003</v>
      </c>
      <c r="I6" s="3311" t="s">
        <v>1368</v>
      </c>
      <c r="J6" s="307">
        <f ca="1">ROUND(M6*M8*M7*(1-M9)/10000,0)</f>
        <v>0</v>
      </c>
      <c r="K6" s="160" t="s">
        <v>2848</v>
      </c>
      <c r="L6" s="308" t="s">
        <v>1370</v>
      </c>
      <c r="M6" s="309">
        <f ca="1">INDIRECT("'数据-取费表'!z"&amp;$G$1)</f>
        <v>0</v>
      </c>
    </row>
    <row r="7" spans="1:37" ht="18" customHeight="1">
      <c r="A7" s="1205"/>
      <c r="B7" s="3312"/>
      <c r="C7" s="1207"/>
      <c r="D7" s="313"/>
      <c r="E7" s="3051" t="s">
        <v>1371</v>
      </c>
      <c r="F7" s="309">
        <f ca="1">IF(INDIRECT("'数据-取费表'!ah"&amp;$G$1)="",INDIRECT("'数据-取费表'!k"&amp;$G$1),INDIRECT("'数据-取费表'!ah"&amp;$G$1))</f>
        <v>16756.23</v>
      </c>
      <c r="G7" s="1569"/>
      <c r="H7" s="310"/>
      <c r="I7" s="3312"/>
      <c r="J7" s="312"/>
      <c r="K7" s="313"/>
      <c r="L7" s="308" t="s">
        <v>1371</v>
      </c>
      <c r="M7" s="309">
        <f ca="1">F7</f>
        <v>16756.23</v>
      </c>
    </row>
    <row r="8" spans="1:37" ht="18" customHeight="1">
      <c r="A8" s="310"/>
      <c r="B8" s="3312"/>
      <c r="C8" s="312"/>
      <c r="D8" s="313"/>
      <c r="E8" s="308" t="s">
        <v>1372</v>
      </c>
      <c r="F8" s="309">
        <f ca="1">INDIRECT("'数据-取费表'!ai"&amp;$G$1)</f>
        <v>365</v>
      </c>
      <c r="G8" s="1569"/>
      <c r="H8" s="310"/>
      <c r="I8" s="3312"/>
      <c r="J8" s="312"/>
      <c r="K8" s="313"/>
      <c r="L8" s="308" t="s">
        <v>1372</v>
      </c>
      <c r="M8" s="309">
        <f ca="1">INDIRECT("'数据-取费表'!ai"&amp;$G$1)</f>
        <v>365</v>
      </c>
    </row>
    <row r="9" spans="1:37" ht="18" customHeight="1">
      <c r="A9" s="310"/>
      <c r="B9" s="3313"/>
      <c r="C9" s="312"/>
      <c r="D9" s="313"/>
      <c r="E9" s="308" t="s">
        <v>1373</v>
      </c>
      <c r="F9" s="318">
        <f ca="1">INDIRECT("'数据-取费表'!w"&amp;$G$1)</f>
        <v>0.1</v>
      </c>
      <c r="G9" s="1569"/>
      <c r="H9" s="310"/>
      <c r="I9" s="3313"/>
      <c r="J9" s="312"/>
      <c r="K9" s="313"/>
      <c r="L9" s="319" t="s">
        <v>1373</v>
      </c>
      <c r="M9" s="320">
        <f ca="1">INDIRECT("'数据-取费表'!ab"&amp;$G$1)</f>
        <v>0</v>
      </c>
    </row>
    <row r="10" spans="1:37" ht="18" customHeight="1">
      <c r="A10" s="1201" t="s">
        <v>1007</v>
      </c>
      <c r="B10" s="1550" t="s">
        <v>1374</v>
      </c>
      <c r="C10" s="322">
        <f ca="1">ROUND(IF(F10="押一",C6/12*F11,IF(F10="押二",C6/12*2*F11,IF(F10="押三",C6/12*3*F11,C11*F11))),0)</f>
        <v>2</v>
      </c>
      <c r="D10" s="1551" t="s">
        <v>2856</v>
      </c>
      <c r="E10" s="319" t="s">
        <v>1375</v>
      </c>
      <c r="F10" s="1276" t="s">
        <v>3118</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9755</v>
      </c>
      <c r="D13" s="3045" t="s">
        <v>1380</v>
      </c>
      <c r="E13" s="3045" t="s">
        <v>1381</v>
      </c>
      <c r="F13" s="1242">
        <f ca="1">INDIRECT("'数据-取费表'!y"&amp;$G$1)</f>
        <v>0.97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6702</v>
      </c>
      <c r="D14" s="3061" t="s">
        <v>1383</v>
      </c>
      <c r="E14" s="3060"/>
      <c r="F14" s="325"/>
      <c r="G14" s="1569"/>
      <c r="H14" s="1113" t="s">
        <v>1003</v>
      </c>
      <c r="I14" s="308" t="s">
        <v>1384</v>
      </c>
      <c r="J14" s="24">
        <f ca="1">C29</f>
        <v>10057</v>
      </c>
      <c r="K14" s="3049"/>
      <c r="L14" s="916"/>
      <c r="M14" s="917"/>
    </row>
    <row r="15" spans="1:37" s="1582" customFormat="1" ht="18" customHeight="1" thickBot="1">
      <c r="A15" s="1113" t="s">
        <v>1004</v>
      </c>
      <c r="B15" s="308" t="s">
        <v>1385</v>
      </c>
      <c r="C15" s="24">
        <f ca="1">ROUND(C14*F15,0)</f>
        <v>201</v>
      </c>
      <c r="D15" s="3046" t="s">
        <v>1386</v>
      </c>
      <c r="E15" s="304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235</v>
      </c>
      <c r="K16" s="1247" t="s">
        <v>1390</v>
      </c>
      <c r="L16" s="3065"/>
      <c r="M16" s="1204"/>
    </row>
    <row r="17" spans="1:37" s="1582" customFormat="1" ht="18" customHeight="1">
      <c r="A17" s="1113" t="s">
        <v>1355</v>
      </c>
      <c r="B17" s="308" t="s">
        <v>1391</v>
      </c>
      <c r="C17" s="24">
        <f ca="1">ROUND(F17*(F43+INDIRECT("'数据-取费表'!S"&amp;$G$1))/10000,0)</f>
        <v>335</v>
      </c>
      <c r="D17" s="308" t="s">
        <v>1392</v>
      </c>
      <c r="E17" s="308" t="s">
        <v>1393</v>
      </c>
      <c r="F17" s="26">
        <f>'数据-取费表'!B35</f>
        <v>200</v>
      </c>
      <c r="G17" s="1581"/>
      <c r="H17" s="1113" t="s">
        <v>1003</v>
      </c>
      <c r="I17" s="308" t="s">
        <v>1394</v>
      </c>
      <c r="J17" s="2535">
        <f ca="1">ROUND(IF(AND(项目基本情况!B11="自然人",项目基本情况!B10="北京市"),J6*M17/(1+'数据-取费表'!C42),J18+J19+J20),0)</f>
        <v>84</v>
      </c>
      <c r="K17" s="3061" t="s">
        <v>1395</v>
      </c>
      <c r="L17" s="3064"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101</v>
      </c>
      <c r="D18" s="308" t="s">
        <v>1386</v>
      </c>
      <c r="E18" s="308" t="s">
        <v>1387</v>
      </c>
      <c r="F18" s="328">
        <f>'数据-取费表'!B36</f>
        <v>1.4999999999999999E-2</v>
      </c>
      <c r="G18" s="1581"/>
      <c r="H18" s="1113" t="s">
        <v>1002</v>
      </c>
      <c r="I18" s="308" t="s">
        <v>1398</v>
      </c>
      <c r="J18" s="24">
        <f ca="1">ROUND(J6*M18/(1+'数据-取费表'!C42),2)</f>
        <v>0</v>
      </c>
      <c r="K18" s="3064"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7339</v>
      </c>
      <c r="D19" s="136" t="s">
        <v>1401</v>
      </c>
      <c r="E19" s="3068"/>
      <c r="F19" s="26"/>
      <c r="G19" s="1569"/>
      <c r="H19" s="1113" t="s">
        <v>1004</v>
      </c>
      <c r="I19" s="308" t="s">
        <v>1402</v>
      </c>
      <c r="J19" s="24">
        <f ca="1">IF(K19="按租金收入计税",ROUND(J6*M19/(1+'数据-取费表'!C42),2),ROUND(C29*M19*0.7,2))</f>
        <v>84.48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147</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9"/>
      <c r="H22" s="1113" t="s">
        <v>1007</v>
      </c>
      <c r="I22" s="308" t="s">
        <v>1414</v>
      </c>
      <c r="J22" s="24">
        <f ca="1">ROUND(J14*M22,1)</f>
        <v>150.9</v>
      </c>
      <c r="K22" s="3064"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289</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3064"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68"/>
      <c r="F25" s="26"/>
      <c r="G25" s="1569"/>
      <c r="H25" s="1239" t="s">
        <v>999</v>
      </c>
      <c r="I25" s="1254" t="s">
        <v>1428</v>
      </c>
      <c r="J25" s="316">
        <f ca="1">J5-J16</f>
        <v>-235</v>
      </c>
      <c r="K25" s="1255" t="s">
        <v>1429</v>
      </c>
      <c r="L25" s="1256"/>
      <c r="M25" s="1257"/>
    </row>
    <row r="26" spans="1:37">
      <c r="A26" s="1113" t="s">
        <v>1002</v>
      </c>
      <c r="B26" s="308" t="s">
        <v>1430</v>
      </c>
      <c r="C26" s="24">
        <f ca="1">ROUND((C19+C20)*F26,0)</f>
        <v>1497</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04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10057</v>
      </c>
      <c r="D29" s="1252"/>
      <c r="E29" s="1250"/>
      <c r="F29" s="1253"/>
      <c r="G29" s="1581"/>
      <c r="H29" s="340" t="s">
        <v>1001</v>
      </c>
      <c r="I29" s="341" t="s">
        <v>1444</v>
      </c>
      <c r="J29" s="342">
        <f ca="1">ROUND(J26/(1+F40)^F41,0)</f>
        <v>0</v>
      </c>
      <c r="K29" s="343" t="s">
        <v>1445</v>
      </c>
      <c r="L29" s="344"/>
      <c r="M29" s="345">
        <f ca="1">INDIRECT("'数据-取费表'!k"&amp;$G$1)</f>
        <v>16756.23</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537</v>
      </c>
      <c r="D30" s="1247" t="s">
        <v>1390</v>
      </c>
      <c r="E30" s="3065"/>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332</v>
      </c>
      <c r="D31" s="3061" t="s">
        <v>1395</v>
      </c>
      <c r="E31" s="3064"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105.71</v>
      </c>
      <c r="D32" s="3064"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226.51</v>
      </c>
      <c r="D33" s="1555" t="s">
        <v>3119</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150.9</v>
      </c>
      <c r="D36" s="3064"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14.6</v>
      </c>
      <c r="D37" s="3064" t="s">
        <v>1419</v>
      </c>
      <c r="E37" s="308" t="s">
        <v>1387</v>
      </c>
      <c r="F37" s="336">
        <f ca="1">INDIRECT("'数据-取费表'!Al"&amp;$G$1)</f>
        <v>1.5E-3</v>
      </c>
      <c r="G37" s="1569"/>
      <c r="H37" s="2930"/>
      <c r="I37" s="1583"/>
      <c r="J37" s="1584"/>
      <c r="K37" s="2771"/>
      <c r="L37" s="2930"/>
      <c r="M37" s="2930"/>
    </row>
    <row r="38" spans="1:18" ht="18" customHeight="1" thickBot="1">
      <c r="A38" s="1249" t="s">
        <v>1357</v>
      </c>
      <c r="B38" s="1250" t="s">
        <v>1404</v>
      </c>
      <c r="C38" s="1251">
        <f ca="1">ROUND(C5*F38,1)</f>
        <v>39.700000000000003</v>
      </c>
      <c r="D38" s="1252" t="s">
        <v>1424</v>
      </c>
      <c r="E38" s="1250" t="s">
        <v>1387</v>
      </c>
      <c r="F38" s="1246">
        <f ca="1">INDIRECT("'数据-取费表'!Am"&amp;$G$1)</f>
        <v>0.02</v>
      </c>
      <c r="G38" s="1569"/>
      <c r="H38" s="2930"/>
      <c r="I38" s="1583"/>
      <c r="J38" s="1584"/>
      <c r="K38" s="2934"/>
      <c r="L38" s="2930"/>
      <c r="M38" s="2930"/>
    </row>
    <row r="39" spans="1:18" ht="24.6" customHeight="1" thickTop="1">
      <c r="A39" s="1239" t="s">
        <v>999</v>
      </c>
      <c r="B39" s="1254" t="s">
        <v>1428</v>
      </c>
      <c r="C39" s="316">
        <f ca="1">C5-C30</f>
        <v>1447</v>
      </c>
      <c r="D39" s="1255" t="s">
        <v>1429</v>
      </c>
      <c r="E39" s="1256"/>
      <c r="F39" s="1257"/>
      <c r="G39" s="1569"/>
      <c r="H39" s="2930"/>
      <c r="I39" s="1583"/>
      <c r="J39" s="1584"/>
      <c r="K39" s="2934"/>
      <c r="L39" s="2930"/>
      <c r="M39" s="2930"/>
    </row>
    <row r="40" spans="1:18" ht="18" customHeight="1">
      <c r="A40" s="305" t="s">
        <v>1000</v>
      </c>
      <c r="B40" s="306" t="s">
        <v>1450</v>
      </c>
      <c r="C40" s="307">
        <f ca="1">ROUND(C39*(1-((1+F42)/(1+F40))^F41)/(F40-F42),0)</f>
        <v>27767</v>
      </c>
      <c r="D40" s="330" t="s">
        <v>1434</v>
      </c>
      <c r="E40" s="308" t="s">
        <v>1435</v>
      </c>
      <c r="F40" s="318">
        <f ca="1">INDIRECT("'数据-取费表'!I"&amp;$G$1)</f>
        <v>0.06</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29.86</v>
      </c>
      <c r="G41" s="1569"/>
      <c r="H41" s="1353"/>
      <c r="I41" s="1583"/>
      <c r="J41" s="1584"/>
      <c r="K41" s="2771"/>
      <c r="L41" s="1353"/>
      <c r="M41" s="1353"/>
    </row>
    <row r="42" spans="1:18" ht="18" customHeight="1">
      <c r="A42" s="314"/>
      <c r="B42" s="315"/>
      <c r="C42" s="316"/>
      <c r="D42" s="333"/>
      <c r="E42" s="308" t="s">
        <v>1442</v>
      </c>
      <c r="F42" s="318">
        <f ca="1">INDIRECT("'数据-取费表'!v"&amp;$G$1)</f>
        <v>0.03</v>
      </c>
      <c r="G42" s="1569"/>
      <c r="H42" s="1353"/>
      <c r="I42" s="1583"/>
      <c r="J42" s="1584"/>
      <c r="K42" s="2771"/>
      <c r="L42" s="1353"/>
      <c r="M42" s="1353"/>
    </row>
    <row r="43" spans="1:18" ht="18" customHeight="1" thickBot="1">
      <c r="A43" s="340" t="s">
        <v>1001</v>
      </c>
      <c r="B43" s="341" t="s">
        <v>1452</v>
      </c>
      <c r="C43" s="342">
        <f ca="1">ROUND(C40*10000/F43,0)</f>
        <v>16571</v>
      </c>
      <c r="D43" s="343" t="s">
        <v>1453</v>
      </c>
      <c r="E43" s="344" t="s">
        <v>1454</v>
      </c>
      <c r="F43" s="345">
        <f ca="1">INDIRECT("'数据-取费表'!k"&amp;$G$1)</f>
        <v>16756.23</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-41659</v>
      </c>
      <c r="D46" s="1591" t="str">
        <f>C2</f>
        <v>万元</v>
      </c>
      <c r="E46" s="1585"/>
      <c r="F46" s="1585"/>
      <c r="I46" s="1592" t="s">
        <v>1486</v>
      </c>
      <c r="J46" s="1593"/>
      <c r="K46" s="1594"/>
      <c r="L46" s="1595">
        <f ca="1">IF(M47="住宅",0,IF(L48&gt;J51,L60,J60))</f>
        <v>360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3115</v>
      </c>
      <c r="K47" s="1601" t="s">
        <v>1492</v>
      </c>
      <c r="L47" s="1602">
        <f ca="1">INDIRECT("'数据-取费表'!d"&amp;$G$1)</f>
        <v>40</v>
      </c>
      <c r="M47" s="1565" t="str">
        <f>IF(ISNUMBER(FIND("住宅",C1)),"住宅","非住宅")</f>
        <v>非住宅</v>
      </c>
      <c r="O47" s="1603" t="s">
        <v>1008</v>
      </c>
      <c r="P47" s="1604" t="s">
        <v>1493</v>
      </c>
      <c r="Q47" s="1605">
        <f ca="1">C40+J29</f>
        <v>27767</v>
      </c>
      <c r="R47" s="1605" t="s">
        <v>1494</v>
      </c>
    </row>
    <row r="48" spans="1:18" s="1569" customFormat="1" ht="28.5" thickBot="1">
      <c r="A48" s="1270" t="s">
        <v>1103</v>
      </c>
      <c r="B48" s="306" t="s">
        <v>1366</v>
      </c>
      <c r="C48" s="3067">
        <f ca="1">C49+C53+C55</f>
        <v>0</v>
      </c>
      <c r="D48" s="1272"/>
      <c r="E48" s="1273"/>
      <c r="F48" s="1093"/>
      <c r="G48" s="731"/>
      <c r="H48" s="732"/>
      <c r="I48" s="1606" t="s">
        <v>1495</v>
      </c>
      <c r="J48" s="1607" t="s">
        <v>3116</v>
      </c>
      <c r="K48" s="1608" t="s">
        <v>1496</v>
      </c>
      <c r="L48" s="1609">
        <f ca="1">INDIRECT("'数据-取费表'!f"&amp;$G$1)</f>
        <v>29.86</v>
      </c>
      <c r="O48" s="1603" t="s">
        <v>1009</v>
      </c>
      <c r="P48" s="1604" t="s">
        <v>1497</v>
      </c>
      <c r="Q48" s="1605">
        <f ca="1">J60</f>
        <v>360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2019</v>
      </c>
      <c r="K49" s="1608" t="s">
        <v>1500</v>
      </c>
      <c r="L49" s="1612"/>
      <c r="O49" s="1613" t="s">
        <v>1010</v>
      </c>
      <c r="P49" s="1604" t="s">
        <v>1501</v>
      </c>
      <c r="Q49" s="1605">
        <f ca="1">C29</f>
        <v>10057</v>
      </c>
      <c r="R49" s="1605" t="s">
        <v>1494</v>
      </c>
    </row>
    <row r="50" spans="1:18" s="1569" customFormat="1" ht="13.5" thickBot="1">
      <c r="A50" s="1107"/>
      <c r="B50" s="1110"/>
      <c r="C50" s="1278"/>
      <c r="D50" s="1084"/>
      <c r="E50" s="1187" t="s">
        <v>1371</v>
      </c>
      <c r="F50" s="1188">
        <f ca="1">F7</f>
        <v>16756.23</v>
      </c>
      <c r="H50" s="732"/>
      <c r="I50" s="1606" t="s">
        <v>1502</v>
      </c>
      <c r="J50" s="1614">
        <f>SUMPRODUCT((I63:I65=J47)*(J62:L62=J48)*(J63:L65))</f>
        <v>60</v>
      </c>
      <c r="K50" s="1608" t="s">
        <v>1503</v>
      </c>
      <c r="L50" s="1612"/>
      <c r="M50" s="1615"/>
      <c r="O50" s="1613" t="s">
        <v>1011</v>
      </c>
      <c r="P50" s="1604" t="s">
        <v>1504</v>
      </c>
      <c r="Q50" s="1616">
        <f ca="1">J58</f>
        <v>0.46899999999999997</v>
      </c>
      <c r="R50" s="1605"/>
    </row>
    <row r="51" spans="1:18" s="1569" customFormat="1" ht="13.5" thickBot="1">
      <c r="A51" s="1108"/>
      <c r="B51" s="1110"/>
      <c r="C51" s="1111"/>
      <c r="D51" s="1084"/>
      <c r="E51" s="1112" t="s">
        <v>1372</v>
      </c>
      <c r="F51" s="309">
        <f ca="1">F8</f>
        <v>365</v>
      </c>
      <c r="I51" s="1617" t="s">
        <v>1505</v>
      </c>
      <c r="J51" s="1618">
        <f>IF(J49="",J50,J49+J50-YEAR('数据-取费表'!B2))</f>
        <v>58</v>
      </c>
      <c r="K51" s="1619" t="s">
        <v>1506</v>
      </c>
      <c r="L51" s="1620">
        <f ca="1">ROUND(-PV(INDIRECT("'数据-取费表'!h"&amp;$G$1),J51,(C39-C13*C76),0),0)</f>
        <v>10730</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29.86</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29.86</v>
      </c>
      <c r="K53" s="3309" t="s">
        <v>1513</v>
      </c>
      <c r="L53" s="3310"/>
      <c r="O53" s="1603" t="s">
        <v>1014</v>
      </c>
      <c r="P53" s="1604" t="s">
        <v>1514</v>
      </c>
      <c r="Q53" s="1605">
        <f ca="1">Q47+Q48</f>
        <v>28127</v>
      </c>
      <c r="R53" s="1605" t="s">
        <v>1015</v>
      </c>
    </row>
    <row r="54" spans="1:18" s="1569" customFormat="1" ht="13.5" thickBot="1">
      <c r="A54" s="1315"/>
      <c r="B54" s="1552" t="s">
        <v>1353</v>
      </c>
      <c r="C54" s="1090"/>
      <c r="D54" s="1551"/>
      <c r="E54" s="3053"/>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53"/>
      <c r="F55" s="1625"/>
      <c r="I55" s="1628" t="s">
        <v>1516</v>
      </c>
      <c r="J55" s="1629">
        <f ca="1">ROUND(IF(J47="钢混",J57/J50,1-(1-2%)*(J50-J57)/J50),3)</f>
        <v>0.46899999999999997</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9755</v>
      </c>
      <c r="D56" s="1632"/>
      <c r="E56" s="1633"/>
      <c r="F56" s="1625"/>
      <c r="I56" s="1634" t="s">
        <v>1519</v>
      </c>
      <c r="J56" s="1635" t="s">
        <v>3117</v>
      </c>
      <c r="K56" s="1606" t="s">
        <v>1520</v>
      </c>
      <c r="L56" s="1609" t="str">
        <f ca="1">IF(L48&lt;J51,"——",L48-J53)</f>
        <v>——</v>
      </c>
      <c r="O56" s="1603" t="s">
        <v>1008</v>
      </c>
      <c r="P56" s="1604" t="s">
        <v>1493</v>
      </c>
      <c r="Q56" s="1605">
        <f ca="1">C40+J29</f>
        <v>27767</v>
      </c>
      <c r="R56" s="1605" t="s">
        <v>1494</v>
      </c>
    </row>
    <row r="57" spans="1:18" s="1569" customFormat="1" ht="24.75" thickBot="1">
      <c r="A57" s="1636"/>
      <c r="B57" s="1081" t="s">
        <v>1443</v>
      </c>
      <c r="C57" s="244">
        <f ca="1">C29</f>
        <v>10057</v>
      </c>
      <c r="D57" s="1637"/>
      <c r="E57" s="1638"/>
      <c r="F57" s="1639"/>
      <c r="I57" s="1640" t="s">
        <v>1521</v>
      </c>
      <c r="J57" s="1641">
        <f ca="1">IF(OR(M47="住宅",J51&lt;L48,J56="是"),"——",J51-L48)</f>
        <v>28.14</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1011</v>
      </c>
      <c r="D58" s="1091" t="s">
        <v>1390</v>
      </c>
      <c r="E58" s="1092"/>
      <c r="F58" s="1093"/>
      <c r="I58" s="1640" t="s">
        <v>1525</v>
      </c>
      <c r="J58" s="1642">
        <f ca="1">IF(J55&lt;0.4,0.4,J55)</f>
        <v>0.46899999999999997</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845</v>
      </c>
      <c r="D59" s="1094" t="s">
        <v>1395</v>
      </c>
      <c r="E59" s="1095" t="s">
        <v>1396</v>
      </c>
      <c r="F59" s="2534" t="str">
        <f>IF(项目基本情况!B11="企业","——",IF('数据-取费表'!B10="住宅",IF(F49*F50*F51/12/(1+'数据-取费表'!F30)&gt;100000,4%,2.5%),IF(F49*F50*F51/12/(1+'数据-取费表'!F30)&gt;100000,12%,7%)))</f>
        <v>——</v>
      </c>
      <c r="I59" s="1640" t="s">
        <v>1528</v>
      </c>
      <c r="J59" s="1641">
        <f ca="1">IF(OR(M47="住宅",J51&lt;L48,J56="是"),"——",ROUND(C29*J58,0))</f>
        <v>4717</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360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844.79</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27767</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150.9</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14.6</v>
      </c>
      <c r="D65" s="1095" t="s">
        <v>1419</v>
      </c>
      <c r="E65" s="1081" t="s">
        <v>1387</v>
      </c>
      <c r="F65" s="336">
        <f t="shared" ca="1" si="0"/>
        <v>1.5E-3</v>
      </c>
      <c r="I65" s="1647" t="s">
        <v>1544</v>
      </c>
      <c r="J65" s="1648">
        <v>40</v>
      </c>
      <c r="K65" s="1648">
        <v>30</v>
      </c>
      <c r="L65" s="1648">
        <v>50</v>
      </c>
      <c r="M65" s="1650">
        <v>0.02</v>
      </c>
      <c r="O65" s="1603" t="s">
        <v>1008</v>
      </c>
      <c r="P65" s="1604" t="s">
        <v>1493</v>
      </c>
      <c r="Q65" s="1605">
        <f ca="1">C40+J29</f>
        <v>27767</v>
      </c>
      <c r="R65" s="1605" t="s">
        <v>1494</v>
      </c>
    </row>
    <row r="66" spans="1:18" s="1569" customFormat="1" ht="16.5" thickBot="1">
      <c r="A66" s="1113" t="s">
        <v>1469</v>
      </c>
      <c r="B66" s="1081" t="s">
        <v>1404</v>
      </c>
      <c r="C66" s="24">
        <f ca="1">ROUND(C48*F66,1)</f>
        <v>0</v>
      </c>
      <c r="D66" s="1095" t="s">
        <v>1424</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-1011</v>
      </c>
      <c r="D67" s="1094" t="s">
        <v>1429</v>
      </c>
      <c r="E67" s="1099"/>
      <c r="F67" s="1100"/>
      <c r="O67" s="1613" t="s">
        <v>1010</v>
      </c>
      <c r="P67" s="1604" t="s">
        <v>1527</v>
      </c>
      <c r="Q67" s="1651">
        <f ca="1">L51</f>
        <v>10730</v>
      </c>
      <c r="R67" s="1605" t="s">
        <v>1547</v>
      </c>
    </row>
    <row r="68" spans="1:18" s="1569" customFormat="1" ht="16.5" thickBot="1">
      <c r="A68" s="1078" t="s">
        <v>1000</v>
      </c>
      <c r="B68" s="1079" t="s">
        <v>1450</v>
      </c>
      <c r="C68" s="307">
        <f ca="1">ROUND(C67*(1-((1+F70)/(1+F68))^F69)/(F68-F70),0)</f>
        <v>-13892</v>
      </c>
      <c r="D68" s="1096" t="s">
        <v>1434</v>
      </c>
      <c r="E68" s="1081" t="s">
        <v>1435</v>
      </c>
      <c r="F68" s="318">
        <f ca="1">F40</f>
        <v>0.06</v>
      </c>
      <c r="O68" s="1613" t="s">
        <v>1011</v>
      </c>
      <c r="P68" s="1652" t="s">
        <v>1548</v>
      </c>
      <c r="Q68" s="1605">
        <f ca="1">ROUND(Q69-Q70*Q71,0)</f>
        <v>618</v>
      </c>
      <c r="R68" s="1605" t="s">
        <v>1019</v>
      </c>
    </row>
    <row r="69" spans="1:18" s="1569" customFormat="1" ht="13.5" thickBot="1">
      <c r="A69" s="1082"/>
      <c r="B69" s="1083"/>
      <c r="C69" s="312"/>
      <c r="D69" s="1101" t="s">
        <v>1438</v>
      </c>
      <c r="E69" s="1081" t="s">
        <v>1439</v>
      </c>
      <c r="F69" s="339">
        <f ca="1">F41</f>
        <v>29.86</v>
      </c>
      <c r="O69" s="1613" t="s">
        <v>1016</v>
      </c>
      <c r="P69" s="1652" t="s">
        <v>1549</v>
      </c>
      <c r="Q69" s="1605">
        <f ca="1">C39</f>
        <v>1447</v>
      </c>
      <c r="R69" s="1605" t="s">
        <v>1494</v>
      </c>
    </row>
    <row r="70" spans="1:18" s="1569" customFormat="1" ht="13.5" thickBot="1">
      <c r="A70" s="1085"/>
      <c r="B70" s="1086"/>
      <c r="C70" s="316"/>
      <c r="D70" s="1097"/>
      <c r="E70" s="1081" t="s">
        <v>1442</v>
      </c>
      <c r="F70" s="1185"/>
      <c r="O70" s="1613" t="s">
        <v>1017</v>
      </c>
      <c r="P70" s="1652" t="s">
        <v>1550</v>
      </c>
      <c r="Q70" s="1605">
        <f ca="1">C13</f>
        <v>9755</v>
      </c>
      <c r="R70" s="1605" t="s">
        <v>1494</v>
      </c>
    </row>
    <row r="71" spans="1:18" s="1569" customFormat="1" ht="13.5" thickBot="1">
      <c r="A71" s="1102" t="s">
        <v>1001</v>
      </c>
      <c r="B71" s="1103" t="s">
        <v>1452</v>
      </c>
      <c r="C71" s="342">
        <f ca="1">ROUND(C68*10000/F71,0)</f>
        <v>-8291</v>
      </c>
      <c r="D71" s="1104" t="s">
        <v>1453</v>
      </c>
      <c r="E71" s="1105" t="s">
        <v>1454</v>
      </c>
      <c r="F71" s="345">
        <f ca="1">F43</f>
        <v>16756.23</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829</v>
      </c>
      <c r="D75" s="1569"/>
      <c r="E75" s="1569"/>
      <c r="F75" s="1569"/>
      <c r="K75" s="1587"/>
      <c r="L75" s="1569"/>
      <c r="O75" s="1603" t="s">
        <v>1014</v>
      </c>
      <c r="P75" s="1604" t="s">
        <v>1514</v>
      </c>
      <c r="Q75" s="1605">
        <f ca="1">Q65+Q66</f>
        <v>27767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0.42700000000000005</v>
      </c>
    </row>
    <row r="80" spans="1:18">
      <c r="B80" s="346" t="s">
        <v>1476</v>
      </c>
      <c r="C80" s="280">
        <f ca="1">ROUND(C75/C39,3)</f>
        <v>0.57299999999999995</v>
      </c>
    </row>
    <row r="81" spans="2:3">
      <c r="B81" s="276" t="s">
        <v>1477</v>
      </c>
      <c r="C81" s="244"/>
    </row>
    <row r="82" spans="2:3">
      <c r="B82" s="279" t="s">
        <v>1478</v>
      </c>
      <c r="C82" s="281">
        <f ca="1">1-C83</f>
        <v>0.64900000000000002</v>
      </c>
    </row>
    <row r="83" spans="2:3">
      <c r="B83" s="279" t="s">
        <v>1479</v>
      </c>
      <c r="C83" s="280">
        <f ca="1">ROUND(C13/C40,3)</f>
        <v>0.35099999999999998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9" sqref="N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t="s">
        <v>3114</v>
      </c>
      <c r="E1" s="2544"/>
      <c r="F1" s="2066" t="s">
        <v>3137</v>
      </c>
      <c r="G1" s="1403" t="s">
        <v>2353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1359</v>
      </c>
      <c r="B2" s="1326">
        <f>IF(C2="——",ROUND(C49*D3/10000,0),ROUND(C49*D3/10000,0)-D2)</f>
        <v>33512</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1360</v>
      </c>
      <c r="B3" s="566">
        <f>IF(C2="——",C49,ROUND(B2*10000/D3,0))</f>
        <v>20000</v>
      </c>
      <c r="C3" s="360" t="s">
        <v>2355</v>
      </c>
      <c r="D3" s="359">
        <f>IF(D1="",'数据-汇总表'!E3,SUMIF('数据-汇总表'!$C19:$C33,D1,'数据-汇总表'!$E19:$E33))</f>
        <v>16756.23</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2356</v>
      </c>
      <c r="B4" s="362"/>
      <c r="C4" s="3355" t="s">
        <v>2357</v>
      </c>
      <c r="D4" s="3356"/>
      <c r="E4" s="3357" t="s">
        <v>2358</v>
      </c>
      <c r="F4" s="3358"/>
      <c r="G4" s="3355" t="s">
        <v>2359</v>
      </c>
      <c r="H4" s="3356"/>
      <c r="I4" s="3355" t="s">
        <v>2360</v>
      </c>
      <c r="J4" s="3356"/>
      <c r="K4" s="567" t="s">
        <v>2361</v>
      </c>
      <c r="L4" s="2945"/>
      <c r="M4" s="2946"/>
      <c r="N4" s="2946"/>
      <c r="O4" s="2946"/>
      <c r="P4" s="3359" t="s">
        <v>2362</v>
      </c>
      <c r="Q4" s="3360"/>
      <c r="R4" s="3342" t="s">
        <v>2358</v>
      </c>
      <c r="S4" s="3343"/>
      <c r="T4" s="3342" t="s">
        <v>2359</v>
      </c>
      <c r="U4" s="3343"/>
      <c r="V4" s="3367" t="s">
        <v>2360</v>
      </c>
      <c r="W4" s="3367"/>
      <c r="X4" s="3085"/>
      <c r="Y4" s="3342" t="s">
        <v>2362</v>
      </c>
      <c r="Z4" s="3343"/>
      <c r="AA4" s="3337" t="s">
        <v>2358</v>
      </c>
      <c r="AB4" s="3367" t="s">
        <v>2359</v>
      </c>
      <c r="AC4" s="3337" t="s">
        <v>2360</v>
      </c>
    </row>
    <row r="5" spans="1:29" ht="15">
      <c r="A5" s="364"/>
      <c r="B5" s="365"/>
      <c r="C5" s="3348" t="s">
        <v>2363</v>
      </c>
      <c r="D5" s="3349"/>
      <c r="E5" s="3346" t="s">
        <v>2364</v>
      </c>
      <c r="F5" s="3347"/>
      <c r="G5" s="3348" t="s">
        <v>2365</v>
      </c>
      <c r="H5" s="3349"/>
      <c r="I5" s="3348" t="s">
        <v>2366</v>
      </c>
      <c r="J5" s="3349"/>
      <c r="K5" s="567"/>
      <c r="L5" s="2945"/>
      <c r="M5" s="2946"/>
      <c r="N5" s="2946"/>
      <c r="O5" s="2946"/>
      <c r="P5" s="3361"/>
      <c r="Q5" s="3362"/>
      <c r="R5" s="3344"/>
      <c r="S5" s="3345"/>
      <c r="T5" s="3344"/>
      <c r="U5" s="3345"/>
      <c r="V5" s="3367"/>
      <c r="W5" s="3367"/>
      <c r="X5" s="3085"/>
      <c r="Y5" s="3344"/>
      <c r="Z5" s="3345"/>
      <c r="AA5" s="3338"/>
      <c r="AB5" s="3367"/>
      <c r="AC5" s="3338"/>
    </row>
    <row r="6" spans="1:29" ht="15.75" thickBot="1">
      <c r="A6" s="366"/>
      <c r="B6" s="367"/>
      <c r="C6" s="3350" t="s">
        <v>2367</v>
      </c>
      <c r="D6" s="3351"/>
      <c r="E6" s="3352" t="s">
        <v>2367</v>
      </c>
      <c r="F6" s="3353"/>
      <c r="G6" s="3350" t="s">
        <v>2367</v>
      </c>
      <c r="H6" s="3351"/>
      <c r="I6" s="3350" t="s">
        <v>2367</v>
      </c>
      <c r="J6" s="3351"/>
      <c r="K6" s="567" t="s">
        <v>2368</v>
      </c>
      <c r="L6" s="2945"/>
      <c r="M6" s="2946"/>
      <c r="N6" s="2946"/>
      <c r="O6" s="2946"/>
      <c r="P6" s="3363"/>
      <c r="Q6" s="3364"/>
      <c r="R6" s="3344"/>
      <c r="S6" s="3345"/>
      <c r="T6" s="3365"/>
      <c r="U6" s="3366"/>
      <c r="V6" s="3367"/>
      <c r="W6" s="3367"/>
      <c r="X6" s="3085"/>
      <c r="Y6" s="3365"/>
      <c r="Z6" s="3366"/>
      <c r="AA6" s="3339"/>
      <c r="AB6" s="3367"/>
      <c r="AC6" s="3339"/>
    </row>
    <row r="7" spans="1:29" s="113" customFormat="1" ht="15.75" thickBot="1">
      <c r="A7" s="368" t="s">
        <v>2369</v>
      </c>
      <c r="B7" s="369"/>
      <c r="C7" s="370">
        <f>'数据-取费表'!B2</f>
        <v>44256</v>
      </c>
      <c r="D7" s="371">
        <v>100</v>
      </c>
      <c r="E7" s="372">
        <v>44256</v>
      </c>
      <c r="F7" s="373">
        <f>SUMIF(58:58,YEAR(E7)&amp;"-"&amp;MONTH(E7),59:59)</f>
        <v>100</v>
      </c>
      <c r="G7" s="372">
        <v>44256</v>
      </c>
      <c r="H7" s="371">
        <f>SUMIF(58:58,YEAR(G7)&amp;"-"&amp;MONTH(G7),59:59)</f>
        <v>100</v>
      </c>
      <c r="I7" s="372">
        <v>44256</v>
      </c>
      <c r="J7" s="371">
        <f>SUMIF(58:58,YEAR(I7)&amp;"-"&amp;MONTH(I7),59:59)</f>
        <v>100</v>
      </c>
      <c r="K7" s="568"/>
      <c r="L7" s="2947"/>
      <c r="M7" s="2948"/>
      <c r="N7" s="2948"/>
      <c r="O7" s="2948"/>
      <c r="P7" s="3340" t="s">
        <v>2370</v>
      </c>
      <c r="Q7" s="3368"/>
      <c r="R7" s="710" t="s">
        <v>17</v>
      </c>
      <c r="S7" s="711">
        <f t="shared" ref="S7:S15" si="0">F7</f>
        <v>100</v>
      </c>
      <c r="T7" s="710" t="s">
        <v>17</v>
      </c>
      <c r="U7" s="711">
        <f t="shared" ref="U7:U15" si="1">H7</f>
        <v>100</v>
      </c>
      <c r="V7" s="710" t="s">
        <v>17</v>
      </c>
      <c r="W7" s="711">
        <f t="shared" ref="W7:W15" si="2">J7</f>
        <v>100</v>
      </c>
      <c r="X7" s="712"/>
      <c r="Y7" s="3340" t="s">
        <v>2370</v>
      </c>
      <c r="Z7" s="3341"/>
      <c r="AA7" s="713">
        <f>D7/F7</f>
        <v>1</v>
      </c>
      <c r="AB7" s="713">
        <f>D7/H7</f>
        <v>1</v>
      </c>
      <c r="AC7" s="713">
        <f>D7/J7</f>
        <v>1</v>
      </c>
    </row>
    <row r="8" spans="1:29" s="113" customFormat="1" ht="15.75" thickBot="1">
      <c r="A8" s="368" t="s">
        <v>2371</v>
      </c>
      <c r="B8" s="369"/>
      <c r="C8" s="374" t="s">
        <v>2408</v>
      </c>
      <c r="D8" s="371">
        <v>100</v>
      </c>
      <c r="E8" s="3090" t="s">
        <v>3133</v>
      </c>
      <c r="F8" s="373">
        <f>SUMIF(61:61,E8,62:62)-SUMIF(61:61,C8,62:62)+100</f>
        <v>100</v>
      </c>
      <c r="G8" s="3090" t="s">
        <v>3133</v>
      </c>
      <c r="H8" s="371">
        <f>SUMIF(61:61,G8,62:62)-SUMIF(61:61,C8,62:62)+100</f>
        <v>100</v>
      </c>
      <c r="I8" s="3090" t="s">
        <v>3133</v>
      </c>
      <c r="J8" s="371">
        <f>SUMIF(61:61,I8,62:62)-SUMIF(61:61,C8,62:62)+100</f>
        <v>100</v>
      </c>
      <c r="K8" s="568"/>
      <c r="L8" s="2947"/>
      <c r="M8" s="2948"/>
      <c r="N8" s="2948"/>
      <c r="O8" s="2948"/>
      <c r="P8" s="3340" t="s">
        <v>2373</v>
      </c>
      <c r="Q8" s="3341"/>
      <c r="R8" s="710" t="s">
        <v>17</v>
      </c>
      <c r="S8" s="711">
        <f t="shared" si="0"/>
        <v>100</v>
      </c>
      <c r="T8" s="710" t="s">
        <v>17</v>
      </c>
      <c r="U8" s="711">
        <f t="shared" si="1"/>
        <v>100</v>
      </c>
      <c r="V8" s="710" t="s">
        <v>17</v>
      </c>
      <c r="W8" s="711">
        <f t="shared" si="2"/>
        <v>100</v>
      </c>
      <c r="X8" s="712"/>
      <c r="Y8" s="3340" t="s">
        <v>2373</v>
      </c>
      <c r="Z8" s="3341"/>
      <c r="AA8" s="713">
        <f t="shared" ref="AA8:AA46" si="3">D8/F8</f>
        <v>1</v>
      </c>
      <c r="AB8" s="713">
        <f t="shared" ref="AB8:AB46" si="4">D8/H8</f>
        <v>1</v>
      </c>
      <c r="AC8" s="713">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4" t="s">
        <v>2376</v>
      </c>
      <c r="Q9" s="3081" t="str">
        <f t="shared" ref="Q9:Q15" si="6">B9</f>
        <v>用途</v>
      </c>
      <c r="R9" s="710" t="s">
        <v>17</v>
      </c>
      <c r="S9" s="711">
        <f t="shared" si="0"/>
        <v>100</v>
      </c>
      <c r="T9" s="710" t="s">
        <v>17</v>
      </c>
      <c r="U9" s="711">
        <f t="shared" si="1"/>
        <v>100</v>
      </c>
      <c r="V9" s="710" t="s">
        <v>17</v>
      </c>
      <c r="W9" s="711">
        <f t="shared" si="2"/>
        <v>100</v>
      </c>
      <c r="X9" s="712"/>
      <c r="Y9" s="3256" t="s">
        <v>2377</v>
      </c>
      <c r="Z9" s="3080"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4"/>
      <c r="Q10" s="3081" t="str">
        <f t="shared" si="6"/>
        <v>土地使用年限（年）</v>
      </c>
      <c r="R10" s="710" t="s">
        <v>17</v>
      </c>
      <c r="S10" s="711">
        <f t="shared" si="0"/>
        <v>100</v>
      </c>
      <c r="T10" s="710" t="s">
        <v>17</v>
      </c>
      <c r="U10" s="711">
        <f t="shared" si="1"/>
        <v>100</v>
      </c>
      <c r="V10" s="710" t="s">
        <v>17</v>
      </c>
      <c r="W10" s="711">
        <f t="shared" si="2"/>
        <v>100</v>
      </c>
      <c r="X10" s="712"/>
      <c r="Y10" s="3256"/>
      <c r="Z10" s="3080"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354"/>
      <c r="Q11" s="3081" t="str">
        <f t="shared" si="6"/>
        <v>容积率</v>
      </c>
      <c r="R11" s="710" t="s">
        <v>17</v>
      </c>
      <c r="S11" s="711">
        <f t="shared" si="0"/>
        <v>100</v>
      </c>
      <c r="T11" s="710" t="s">
        <v>17</v>
      </c>
      <c r="U11" s="711">
        <f t="shared" si="1"/>
        <v>100</v>
      </c>
      <c r="V11" s="710" t="s">
        <v>17</v>
      </c>
      <c r="W11" s="711">
        <f t="shared" si="2"/>
        <v>100</v>
      </c>
      <c r="X11" s="712"/>
      <c r="Y11" s="3256"/>
      <c r="Z11" s="3080" t="str">
        <f t="shared" si="7"/>
        <v>容积率</v>
      </c>
      <c r="AA11" s="713">
        <f t="shared" si="3"/>
        <v>1</v>
      </c>
      <c r="AB11" s="713">
        <f t="shared" si="4"/>
        <v>1</v>
      </c>
      <c r="AC11" s="713">
        <f t="shared" si="5"/>
        <v>1</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4"/>
      <c r="Q12" s="3081">
        <f t="shared" si="6"/>
        <v>111</v>
      </c>
      <c r="R12" s="710" t="s">
        <v>17</v>
      </c>
      <c r="S12" s="711">
        <f t="shared" si="0"/>
        <v>100</v>
      </c>
      <c r="T12" s="710" t="s">
        <v>17</v>
      </c>
      <c r="U12" s="711">
        <f t="shared" si="1"/>
        <v>100</v>
      </c>
      <c r="V12" s="710" t="s">
        <v>17</v>
      </c>
      <c r="W12" s="711">
        <f t="shared" si="2"/>
        <v>100</v>
      </c>
      <c r="X12" s="712"/>
      <c r="Y12" s="3256"/>
      <c r="Z12" s="3080">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4"/>
      <c r="Q13" s="3081">
        <f t="shared" si="6"/>
        <v>111</v>
      </c>
      <c r="R13" s="710" t="s">
        <v>17</v>
      </c>
      <c r="S13" s="711">
        <f t="shared" si="0"/>
        <v>100</v>
      </c>
      <c r="T13" s="710" t="s">
        <v>17</v>
      </c>
      <c r="U13" s="711">
        <f t="shared" si="1"/>
        <v>100</v>
      </c>
      <c r="V13" s="710" t="s">
        <v>17</v>
      </c>
      <c r="W13" s="711">
        <f t="shared" si="2"/>
        <v>100</v>
      </c>
      <c r="X13" s="712"/>
      <c r="Y13" s="3256"/>
      <c r="Z13" s="3080">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4"/>
      <c r="Q14" s="3081">
        <f t="shared" si="6"/>
        <v>111</v>
      </c>
      <c r="R14" s="710" t="s">
        <v>17</v>
      </c>
      <c r="S14" s="711">
        <f t="shared" si="0"/>
        <v>100</v>
      </c>
      <c r="T14" s="710" t="s">
        <v>17</v>
      </c>
      <c r="U14" s="711">
        <f t="shared" si="1"/>
        <v>100</v>
      </c>
      <c r="V14" s="710" t="s">
        <v>17</v>
      </c>
      <c r="W14" s="711">
        <f t="shared" si="2"/>
        <v>100</v>
      </c>
      <c r="X14" s="712"/>
      <c r="Y14" s="3256"/>
      <c r="Z14" s="3080">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81" t="s">
        <v>2381</v>
      </c>
      <c r="Q15" s="3083" t="str">
        <f t="shared" si="6"/>
        <v>商业繁华度</v>
      </c>
      <c r="R15" s="714" t="s">
        <v>17</v>
      </c>
      <c r="S15" s="715">
        <f t="shared" si="0"/>
        <v>100</v>
      </c>
      <c r="T15" s="714" t="s">
        <v>17</v>
      </c>
      <c r="U15" s="715">
        <f t="shared" si="1"/>
        <v>100</v>
      </c>
      <c r="V15" s="714" t="s">
        <v>17</v>
      </c>
      <c r="W15" s="715">
        <f t="shared" si="2"/>
        <v>100</v>
      </c>
      <c r="X15" s="3085"/>
      <c r="Y15" s="3374" t="s">
        <v>2381</v>
      </c>
      <c r="Z15" s="3086" t="str">
        <f t="shared" si="7"/>
        <v>商业繁华度</v>
      </c>
      <c r="AA15" s="3084">
        <f t="shared" si="3"/>
        <v>1</v>
      </c>
      <c r="AB15" s="3084">
        <f t="shared" si="4"/>
        <v>1</v>
      </c>
      <c r="AC15" s="3084">
        <f t="shared" si="5"/>
        <v>1</v>
      </c>
    </row>
    <row r="16" spans="1:29" ht="15">
      <c r="A16" s="387"/>
      <c r="B16" s="405"/>
      <c r="C16" s="406"/>
      <c r="D16" s="407"/>
      <c r="E16" s="406"/>
      <c r="F16" s="408"/>
      <c r="G16" s="406"/>
      <c r="H16" s="409"/>
      <c r="I16" s="406"/>
      <c r="J16" s="407"/>
      <c r="K16" s="572"/>
      <c r="L16" s="2952"/>
      <c r="M16" s="2946"/>
      <c r="N16" s="2946"/>
      <c r="O16" s="2946"/>
      <c r="P16" s="3382"/>
      <c r="Q16" s="3083"/>
      <c r="R16" s="714"/>
      <c r="S16" s="715"/>
      <c r="T16" s="714"/>
      <c r="U16" s="715"/>
      <c r="V16" s="714"/>
      <c r="W16" s="715"/>
      <c r="X16" s="3085"/>
      <c r="Y16" s="3375"/>
      <c r="Z16" s="3086"/>
      <c r="AA16" s="3084">
        <v>1</v>
      </c>
      <c r="AB16" s="3084">
        <v>1</v>
      </c>
      <c r="AC16" s="3084">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82"/>
      <c r="Q17" s="3083" t="str">
        <f>B17</f>
        <v>交通便捷度</v>
      </c>
      <c r="R17" s="714" t="s">
        <v>17</v>
      </c>
      <c r="S17" s="715">
        <f>F17</f>
        <v>100</v>
      </c>
      <c r="T17" s="714" t="s">
        <v>17</v>
      </c>
      <c r="U17" s="715">
        <f>H17</f>
        <v>100</v>
      </c>
      <c r="V17" s="714" t="s">
        <v>17</v>
      </c>
      <c r="W17" s="715">
        <f>J17</f>
        <v>100</v>
      </c>
      <c r="X17" s="3085"/>
      <c r="Y17" s="3375"/>
      <c r="Z17" s="3086" t="str">
        <f>Q17</f>
        <v>交通便捷度</v>
      </c>
      <c r="AA17" s="3084">
        <f t="shared" si="3"/>
        <v>1</v>
      </c>
      <c r="AB17" s="3084">
        <f t="shared" si="4"/>
        <v>1</v>
      </c>
      <c r="AC17" s="3084">
        <f t="shared" si="5"/>
        <v>1</v>
      </c>
    </row>
    <row r="18" spans="1:29" ht="15">
      <c r="A18" s="387"/>
      <c r="B18" s="415"/>
      <c r="C18" s="2088"/>
      <c r="D18" s="409"/>
      <c r="E18" s="2090"/>
      <c r="F18" s="412"/>
      <c r="G18" s="2089"/>
      <c r="H18" s="407"/>
      <c r="I18" s="2090"/>
      <c r="J18" s="407"/>
      <c r="K18" s="572"/>
      <c r="L18" s="2952"/>
      <c r="M18" s="2946"/>
      <c r="N18" s="2946"/>
      <c r="O18" s="2946"/>
      <c r="P18" s="3382"/>
      <c r="Q18" s="3083"/>
      <c r="R18" s="714"/>
      <c r="S18" s="715"/>
      <c r="T18" s="714"/>
      <c r="U18" s="715"/>
      <c r="V18" s="714"/>
      <c r="W18" s="715"/>
      <c r="X18" s="3085"/>
      <c r="Y18" s="3375"/>
      <c r="Z18" s="3086"/>
      <c r="AA18" s="3084">
        <v>1</v>
      </c>
      <c r="AB18" s="3084">
        <v>1</v>
      </c>
      <c r="AC18" s="3084">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82"/>
      <c r="Q19" s="3083" t="str">
        <f>B19</f>
        <v>公共配套设施</v>
      </c>
      <c r="R19" s="714" t="s">
        <v>17</v>
      </c>
      <c r="S19" s="715">
        <f>F19</f>
        <v>100</v>
      </c>
      <c r="T19" s="714" t="s">
        <v>17</v>
      </c>
      <c r="U19" s="715">
        <f>H19</f>
        <v>100</v>
      </c>
      <c r="V19" s="714" t="s">
        <v>17</v>
      </c>
      <c r="W19" s="715">
        <f>J19</f>
        <v>100</v>
      </c>
      <c r="X19" s="3085"/>
      <c r="Y19" s="3375"/>
      <c r="Z19" s="3086" t="str">
        <f>Q19</f>
        <v>公共配套设施</v>
      </c>
      <c r="AA19" s="3084">
        <f t="shared" si="3"/>
        <v>1</v>
      </c>
      <c r="AB19" s="3084">
        <f t="shared" si="4"/>
        <v>1</v>
      </c>
      <c r="AC19" s="3084">
        <f t="shared" si="5"/>
        <v>1</v>
      </c>
    </row>
    <row r="20" spans="1:29" ht="15">
      <c r="A20" s="387"/>
      <c r="B20" s="415"/>
      <c r="C20" s="406"/>
      <c r="D20" s="407"/>
      <c r="E20" s="2085"/>
      <c r="F20" s="408"/>
      <c r="G20" s="2084"/>
      <c r="H20" s="407"/>
      <c r="I20" s="2085"/>
      <c r="J20" s="407"/>
      <c r="K20" s="572"/>
      <c r="L20" s="2952"/>
      <c r="M20" s="2946"/>
      <c r="N20" s="2946"/>
      <c r="O20" s="2946"/>
      <c r="P20" s="3382"/>
      <c r="Q20" s="3083"/>
      <c r="R20" s="714"/>
      <c r="S20" s="715"/>
      <c r="T20" s="714"/>
      <c r="U20" s="715"/>
      <c r="V20" s="714"/>
      <c r="W20" s="715"/>
      <c r="X20" s="3085"/>
      <c r="Y20" s="3375"/>
      <c r="Z20" s="3086"/>
      <c r="AA20" s="3084">
        <v>1</v>
      </c>
      <c r="AB20" s="3084">
        <v>1</v>
      </c>
      <c r="AC20" s="3084">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82"/>
      <c r="Q21" s="3083" t="str">
        <f>B21</f>
        <v>基础设施水平</v>
      </c>
      <c r="R21" s="714" t="s">
        <v>17</v>
      </c>
      <c r="S21" s="715">
        <f>F21</f>
        <v>100</v>
      </c>
      <c r="T21" s="714" t="s">
        <v>17</v>
      </c>
      <c r="U21" s="715">
        <f>H21</f>
        <v>100</v>
      </c>
      <c r="V21" s="714" t="s">
        <v>17</v>
      </c>
      <c r="W21" s="715">
        <f>J21</f>
        <v>100</v>
      </c>
      <c r="X21" s="3085"/>
      <c r="Y21" s="3375"/>
      <c r="Z21" s="3086" t="str">
        <f>Q21</f>
        <v>基础设施水平</v>
      </c>
      <c r="AA21" s="3084">
        <f t="shared" ref="AA21" si="8">D21/F21</f>
        <v>1</v>
      </c>
      <c r="AB21" s="3084">
        <f t="shared" ref="AB21" si="9">D21/H21</f>
        <v>1</v>
      </c>
      <c r="AC21" s="3084">
        <f t="shared" ref="AC21" si="10">D21/J21</f>
        <v>1</v>
      </c>
    </row>
    <row r="22" spans="1:29" ht="15">
      <c r="A22" s="387"/>
      <c r="B22" s="1293"/>
      <c r="C22" s="2088"/>
      <c r="D22" s="407"/>
      <c r="E22" s="406"/>
      <c r="F22" s="408"/>
      <c r="G22" s="406"/>
      <c r="H22" s="407"/>
      <c r="I22" s="406"/>
      <c r="J22" s="407"/>
      <c r="K22" s="1292"/>
      <c r="L22" s="2952"/>
      <c r="M22" s="2946"/>
      <c r="N22" s="2946"/>
      <c r="O22" s="2946"/>
      <c r="P22" s="3382"/>
      <c r="Q22" s="3083"/>
      <c r="R22" s="714"/>
      <c r="S22" s="715"/>
      <c r="T22" s="714"/>
      <c r="U22" s="715"/>
      <c r="V22" s="714"/>
      <c r="W22" s="715"/>
      <c r="X22" s="3085"/>
      <c r="Y22" s="3375"/>
      <c r="Z22" s="3086"/>
      <c r="AA22" s="3084">
        <v>1</v>
      </c>
      <c r="AB22" s="3084">
        <v>1</v>
      </c>
      <c r="AC22" s="3084">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82"/>
      <c r="Q23" s="3083" t="str">
        <f>B23</f>
        <v>自然及人文环境</v>
      </c>
      <c r="R23" s="714" t="s">
        <v>17</v>
      </c>
      <c r="S23" s="715">
        <f>F23</f>
        <v>100</v>
      </c>
      <c r="T23" s="714" t="s">
        <v>17</v>
      </c>
      <c r="U23" s="715">
        <f>H23</f>
        <v>100</v>
      </c>
      <c r="V23" s="714" t="s">
        <v>17</v>
      </c>
      <c r="W23" s="715">
        <f>J23</f>
        <v>100</v>
      </c>
      <c r="X23" s="3085"/>
      <c r="Y23" s="3375"/>
      <c r="Z23" s="3086" t="str">
        <f>Q23</f>
        <v>自然及人文环境</v>
      </c>
      <c r="AA23" s="3084">
        <f t="shared" si="3"/>
        <v>1</v>
      </c>
      <c r="AB23" s="3084">
        <f t="shared" si="4"/>
        <v>1</v>
      </c>
      <c r="AC23" s="3084">
        <f t="shared" si="5"/>
        <v>1</v>
      </c>
    </row>
    <row r="24" spans="1:29" ht="15">
      <c r="A24" s="387"/>
      <c r="B24" s="415"/>
      <c r="C24" s="406"/>
      <c r="D24" s="407"/>
      <c r="E24" s="2085"/>
      <c r="F24" s="408"/>
      <c r="G24" s="2084"/>
      <c r="H24" s="407"/>
      <c r="I24" s="2085"/>
      <c r="J24" s="407"/>
      <c r="K24" s="572"/>
      <c r="L24" s="2952"/>
      <c r="M24" s="2946"/>
      <c r="N24" s="2946"/>
      <c r="O24" s="2946"/>
      <c r="P24" s="3382"/>
      <c r="Q24" s="3083"/>
      <c r="R24" s="714"/>
      <c r="S24" s="715"/>
      <c r="T24" s="714"/>
      <c r="U24" s="715"/>
      <c r="V24" s="714"/>
      <c r="W24" s="715"/>
      <c r="X24" s="3085"/>
      <c r="Y24" s="3375"/>
      <c r="Z24" s="3086"/>
      <c r="AA24" s="3084">
        <v>1</v>
      </c>
      <c r="AB24" s="3084">
        <v>1</v>
      </c>
      <c r="AC24" s="3084">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82"/>
      <c r="Q25" s="3083" t="str">
        <f t="shared" ref="Q25:Q46" si="11">B25</f>
        <v>临街状况</v>
      </c>
      <c r="R25" s="714" t="s">
        <v>17</v>
      </c>
      <c r="S25" s="715">
        <f>F25</f>
        <v>100</v>
      </c>
      <c r="T25" s="714" t="s">
        <v>17</v>
      </c>
      <c r="U25" s="715">
        <f>H25</f>
        <v>100</v>
      </c>
      <c r="V25" s="714" t="s">
        <v>17</v>
      </c>
      <c r="W25" s="715">
        <f>J25</f>
        <v>100</v>
      </c>
      <c r="X25" s="3085"/>
      <c r="Y25" s="3375"/>
      <c r="Z25" s="3086" t="str">
        <f>Q25</f>
        <v>临街状况</v>
      </c>
      <c r="AA25" s="3084">
        <f t="shared" si="3"/>
        <v>1</v>
      </c>
      <c r="AB25" s="3084">
        <f t="shared" si="4"/>
        <v>1</v>
      </c>
      <c r="AC25" s="3084">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82"/>
      <c r="Q26" s="3083" t="str">
        <f t="shared" si="11"/>
        <v>平面位置/可视性</v>
      </c>
      <c r="R26" s="714" t="s">
        <v>17</v>
      </c>
      <c r="S26" s="715">
        <f>F26</f>
        <v>100</v>
      </c>
      <c r="T26" s="714" t="s">
        <v>17</v>
      </c>
      <c r="U26" s="715">
        <f>H26</f>
        <v>100</v>
      </c>
      <c r="V26" s="714" t="s">
        <v>17</v>
      </c>
      <c r="W26" s="715">
        <f>J26</f>
        <v>100</v>
      </c>
      <c r="X26" s="3085"/>
      <c r="Y26" s="3375"/>
      <c r="Z26" s="3086" t="str">
        <f>Q26</f>
        <v>平面位置/可视性</v>
      </c>
      <c r="AA26" s="3084">
        <f t="shared" si="3"/>
        <v>1</v>
      </c>
      <c r="AB26" s="3084">
        <f t="shared" si="4"/>
        <v>1</v>
      </c>
      <c r="AC26" s="3084">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82"/>
      <c r="Q27" s="3081" t="str">
        <f t="shared" si="11"/>
        <v>人流量</v>
      </c>
      <c r="R27" s="710" t="s">
        <v>17</v>
      </c>
      <c r="S27" s="711">
        <f>F27</f>
        <v>100</v>
      </c>
      <c r="T27" s="710" t="s">
        <v>17</v>
      </c>
      <c r="U27" s="711">
        <f>H27</f>
        <v>100</v>
      </c>
      <c r="V27" s="710" t="s">
        <v>17</v>
      </c>
      <c r="W27" s="711">
        <f>J27</f>
        <v>100</v>
      </c>
      <c r="X27" s="712"/>
      <c r="Y27" s="3375"/>
      <c r="Z27" s="3080" t="str">
        <f>Q27</f>
        <v>人流量</v>
      </c>
      <c r="AA27" s="3084">
        <f>D27/F27</f>
        <v>1</v>
      </c>
      <c r="AB27" s="3084">
        <f>D27/H27</f>
        <v>1</v>
      </c>
      <c r="AC27" s="3084">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82"/>
      <c r="Q28" s="3083" t="str">
        <f t="shared" si="11"/>
        <v>楼层</v>
      </c>
      <c r="R28" s="714" t="s">
        <v>17</v>
      </c>
      <c r="S28" s="715">
        <f t="shared" ref="S28:S46" si="12">F28</f>
        <v>100</v>
      </c>
      <c r="T28" s="714" t="s">
        <v>17</v>
      </c>
      <c r="U28" s="715">
        <f t="shared" ref="U28:U46" si="13">H28</f>
        <v>100</v>
      </c>
      <c r="V28" s="714" t="s">
        <v>17</v>
      </c>
      <c r="W28" s="715">
        <f t="shared" ref="W28:W46" si="14">J28</f>
        <v>100</v>
      </c>
      <c r="X28" s="3085"/>
      <c r="Y28" s="3375"/>
      <c r="Z28" s="3086" t="str">
        <f t="shared" ref="Z28:Z46" si="15">Q28</f>
        <v>楼层</v>
      </c>
      <c r="AA28" s="3084">
        <f t="shared" si="3"/>
        <v>1</v>
      </c>
      <c r="AB28" s="3084">
        <f t="shared" si="4"/>
        <v>1</v>
      </c>
      <c r="AC28" s="308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82"/>
      <c r="Q29" s="3083">
        <f t="shared" si="11"/>
        <v>111</v>
      </c>
      <c r="R29" s="714" t="s">
        <v>17</v>
      </c>
      <c r="S29" s="715">
        <f t="shared" si="12"/>
        <v>100</v>
      </c>
      <c r="T29" s="714" t="s">
        <v>17</v>
      </c>
      <c r="U29" s="715">
        <f t="shared" si="13"/>
        <v>100</v>
      </c>
      <c r="V29" s="714" t="s">
        <v>17</v>
      </c>
      <c r="W29" s="715">
        <f t="shared" si="14"/>
        <v>100</v>
      </c>
      <c r="X29" s="3085"/>
      <c r="Y29" s="3375"/>
      <c r="Z29" s="3086">
        <f t="shared" si="15"/>
        <v>111</v>
      </c>
      <c r="AA29" s="3084">
        <f t="shared" si="3"/>
        <v>1</v>
      </c>
      <c r="AB29" s="3084">
        <f t="shared" si="4"/>
        <v>1</v>
      </c>
      <c r="AC29" s="308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82"/>
      <c r="Q30" s="3083">
        <f t="shared" si="11"/>
        <v>111</v>
      </c>
      <c r="R30" s="714" t="s">
        <v>17</v>
      </c>
      <c r="S30" s="715">
        <f t="shared" si="12"/>
        <v>100</v>
      </c>
      <c r="T30" s="714" t="s">
        <v>17</v>
      </c>
      <c r="U30" s="715">
        <f t="shared" si="13"/>
        <v>100</v>
      </c>
      <c r="V30" s="714" t="s">
        <v>17</v>
      </c>
      <c r="W30" s="715">
        <f t="shared" si="14"/>
        <v>100</v>
      </c>
      <c r="X30" s="3085"/>
      <c r="Y30" s="3375"/>
      <c r="Z30" s="3086">
        <f t="shared" si="15"/>
        <v>111</v>
      </c>
      <c r="AA30" s="3084">
        <f t="shared" si="3"/>
        <v>1</v>
      </c>
      <c r="AB30" s="3084">
        <f t="shared" si="4"/>
        <v>1</v>
      </c>
      <c r="AC30" s="308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82"/>
      <c r="Q31" s="3083">
        <f t="shared" si="11"/>
        <v>111</v>
      </c>
      <c r="R31" s="714" t="s">
        <v>17</v>
      </c>
      <c r="S31" s="715">
        <f t="shared" si="12"/>
        <v>100</v>
      </c>
      <c r="T31" s="714" t="s">
        <v>17</v>
      </c>
      <c r="U31" s="715">
        <f t="shared" si="13"/>
        <v>100</v>
      </c>
      <c r="V31" s="714" t="s">
        <v>17</v>
      </c>
      <c r="W31" s="715">
        <f t="shared" si="14"/>
        <v>100</v>
      </c>
      <c r="X31" s="3085"/>
      <c r="Y31" s="3375"/>
      <c r="Z31" s="3086">
        <f t="shared" si="15"/>
        <v>111</v>
      </c>
      <c r="AA31" s="3084">
        <f t="shared" si="3"/>
        <v>1</v>
      </c>
      <c r="AB31" s="3084">
        <f t="shared" si="4"/>
        <v>1</v>
      </c>
      <c r="AC31" s="3084">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76" t="s">
        <v>2386</v>
      </c>
      <c r="Q32" s="3083" t="str">
        <f t="shared" si="11"/>
        <v>商业类型</v>
      </c>
      <c r="R32" s="714" t="s">
        <v>17</v>
      </c>
      <c r="S32" s="715">
        <f t="shared" si="12"/>
        <v>100</v>
      </c>
      <c r="T32" s="714" t="s">
        <v>17</v>
      </c>
      <c r="U32" s="715">
        <f t="shared" si="13"/>
        <v>100</v>
      </c>
      <c r="V32" s="714" t="s">
        <v>17</v>
      </c>
      <c r="W32" s="715">
        <f t="shared" si="14"/>
        <v>100</v>
      </c>
      <c r="X32" s="3085"/>
      <c r="Y32" s="3379" t="s">
        <v>2386</v>
      </c>
      <c r="Z32" s="3086" t="str">
        <f t="shared" si="15"/>
        <v>商业类型</v>
      </c>
      <c r="AA32" s="3084">
        <f t="shared" si="3"/>
        <v>1</v>
      </c>
      <c r="AB32" s="3084">
        <f t="shared" si="4"/>
        <v>1</v>
      </c>
      <c r="AC32" s="3084">
        <f t="shared" si="5"/>
        <v>1</v>
      </c>
    </row>
    <row r="33" spans="1:29" s="430" customFormat="1" ht="15">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377"/>
      <c r="Q33" s="716" t="str">
        <f t="shared" si="11"/>
        <v>项目建筑规模</v>
      </c>
      <c r="R33" s="717" t="s">
        <v>17</v>
      </c>
      <c r="S33" s="718">
        <f t="shared" si="12"/>
        <v>100</v>
      </c>
      <c r="T33" s="717" t="s">
        <v>17</v>
      </c>
      <c r="U33" s="718">
        <f t="shared" si="13"/>
        <v>100</v>
      </c>
      <c r="V33" s="717" t="s">
        <v>17</v>
      </c>
      <c r="W33" s="718">
        <f t="shared" si="14"/>
        <v>100</v>
      </c>
      <c r="X33" s="719"/>
      <c r="Y33" s="3379"/>
      <c r="Z33" s="720" t="str">
        <f t="shared" si="15"/>
        <v>项目建筑规模</v>
      </c>
      <c r="AA33" s="3084">
        <f t="shared" si="3"/>
        <v>1</v>
      </c>
      <c r="AB33" s="3084">
        <f t="shared" si="4"/>
        <v>1</v>
      </c>
      <c r="AC33" s="3084">
        <f t="shared" si="5"/>
        <v>1</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77"/>
      <c r="Q34" s="3083" t="str">
        <f t="shared" si="11"/>
        <v>建筑结构</v>
      </c>
      <c r="R34" s="714" t="s">
        <v>17</v>
      </c>
      <c r="S34" s="715">
        <f t="shared" si="12"/>
        <v>100</v>
      </c>
      <c r="T34" s="714" t="s">
        <v>17</v>
      </c>
      <c r="U34" s="715">
        <f t="shared" si="13"/>
        <v>100</v>
      </c>
      <c r="V34" s="714" t="s">
        <v>17</v>
      </c>
      <c r="W34" s="715">
        <f t="shared" si="14"/>
        <v>100</v>
      </c>
      <c r="X34" s="3085"/>
      <c r="Y34" s="3379"/>
      <c r="Z34" s="3086" t="str">
        <f t="shared" si="15"/>
        <v>建筑结构</v>
      </c>
      <c r="AA34" s="3084">
        <f t="shared" si="3"/>
        <v>1</v>
      </c>
      <c r="AB34" s="3084">
        <f t="shared" si="4"/>
        <v>1</v>
      </c>
      <c r="AC34" s="3084">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77"/>
      <c r="Q35" s="3083" t="str">
        <f t="shared" si="11"/>
        <v>公共部分装修</v>
      </c>
      <c r="R35" s="714" t="s">
        <v>17</v>
      </c>
      <c r="S35" s="715">
        <f t="shared" si="12"/>
        <v>100</v>
      </c>
      <c r="T35" s="714" t="s">
        <v>17</v>
      </c>
      <c r="U35" s="715">
        <f t="shared" si="13"/>
        <v>100</v>
      </c>
      <c r="V35" s="714" t="s">
        <v>17</v>
      </c>
      <c r="W35" s="715">
        <f t="shared" si="14"/>
        <v>100</v>
      </c>
      <c r="X35" s="3085"/>
      <c r="Y35" s="3379"/>
      <c r="Z35" s="3086" t="str">
        <f t="shared" si="15"/>
        <v>公共部分装修</v>
      </c>
      <c r="AA35" s="3084">
        <f t="shared" si="3"/>
        <v>1</v>
      </c>
      <c r="AB35" s="3084">
        <f t="shared" si="4"/>
        <v>1</v>
      </c>
      <c r="AC35" s="3084">
        <f t="shared" si="5"/>
        <v>1</v>
      </c>
    </row>
    <row r="36" spans="1:29" ht="15">
      <c r="A36" s="431"/>
      <c r="B36" s="381" t="s">
        <v>2483</v>
      </c>
      <c r="C36" s="433">
        <v>0.97</v>
      </c>
      <c r="D36" s="394">
        <v>100</v>
      </c>
      <c r="E36" s="433">
        <v>0.97</v>
      </c>
      <c r="F36" s="420">
        <f>LOOKUP(E36,110:110,111:111)-LOOKUP(C36,110:110,111:111)+100</f>
        <v>100</v>
      </c>
      <c r="G36" s="433">
        <v>0.97</v>
      </c>
      <c r="H36" s="420">
        <f>LOOKUP(G36,110:110,111:111)-LOOKUP(C36,110:110,111:111)+100</f>
        <v>100</v>
      </c>
      <c r="I36" s="433">
        <v>0.97</v>
      </c>
      <c r="J36" s="394">
        <f>LOOKUP(I36,110:110,111:111)-LOOKUP(C36,110:110,111:111)+100</f>
        <v>100</v>
      </c>
      <c r="K36" s="569"/>
      <c r="L36" s="2952"/>
      <c r="M36" s="2946"/>
      <c r="N36" s="2946"/>
      <c r="O36" s="2946"/>
      <c r="P36" s="3377"/>
      <c r="Q36" s="3083" t="str">
        <f t="shared" si="11"/>
        <v>成新度</v>
      </c>
      <c r="R36" s="714" t="s">
        <v>17</v>
      </c>
      <c r="S36" s="715">
        <f t="shared" si="12"/>
        <v>100</v>
      </c>
      <c r="T36" s="714" t="s">
        <v>17</v>
      </c>
      <c r="U36" s="715">
        <f t="shared" si="13"/>
        <v>100</v>
      </c>
      <c r="V36" s="714" t="s">
        <v>17</v>
      </c>
      <c r="W36" s="715">
        <f t="shared" si="14"/>
        <v>100</v>
      </c>
      <c r="X36" s="3085"/>
      <c r="Y36" s="3379"/>
      <c r="Z36" s="3086" t="str">
        <f t="shared" si="15"/>
        <v>成新度</v>
      </c>
      <c r="AA36" s="3084">
        <f t="shared" si="3"/>
        <v>1</v>
      </c>
      <c r="AB36" s="3084">
        <f t="shared" si="4"/>
        <v>1</v>
      </c>
      <c r="AC36" s="3084">
        <f t="shared" si="5"/>
        <v>1</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77"/>
      <c r="Q37" s="3081" t="str">
        <f t="shared" si="11"/>
        <v>市政基础设施</v>
      </c>
      <c r="R37" s="710" t="s">
        <v>17</v>
      </c>
      <c r="S37" s="711">
        <f t="shared" si="12"/>
        <v>100</v>
      </c>
      <c r="T37" s="710" t="s">
        <v>17</v>
      </c>
      <c r="U37" s="711">
        <f t="shared" si="13"/>
        <v>100</v>
      </c>
      <c r="V37" s="710" t="s">
        <v>17</v>
      </c>
      <c r="W37" s="711">
        <f t="shared" si="14"/>
        <v>100</v>
      </c>
      <c r="X37" s="712"/>
      <c r="Y37" s="3379"/>
      <c r="Z37" s="3080"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77" t="s">
        <v>2386</v>
      </c>
      <c r="Q38" s="3083" t="str">
        <f t="shared" si="11"/>
        <v>业态</v>
      </c>
      <c r="R38" s="714" t="s">
        <v>17</v>
      </c>
      <c r="S38" s="715">
        <f t="shared" si="12"/>
        <v>100</v>
      </c>
      <c r="T38" s="714" t="s">
        <v>17</v>
      </c>
      <c r="U38" s="715">
        <f t="shared" si="13"/>
        <v>100</v>
      </c>
      <c r="V38" s="714" t="s">
        <v>17</v>
      </c>
      <c r="W38" s="715">
        <f t="shared" si="14"/>
        <v>100</v>
      </c>
      <c r="X38" s="3085"/>
      <c r="Y38" s="3379" t="s">
        <v>2386</v>
      </c>
      <c r="Z38" s="3086" t="str">
        <f t="shared" si="15"/>
        <v>业态</v>
      </c>
      <c r="AA38" s="3084">
        <f t="shared" si="3"/>
        <v>1</v>
      </c>
      <c r="AB38" s="3084">
        <f t="shared" si="4"/>
        <v>1</v>
      </c>
      <c r="AC38" s="3084">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77"/>
      <c r="Q39" s="3083" t="str">
        <f t="shared" si="11"/>
        <v>层高</v>
      </c>
      <c r="R39" s="714" t="s">
        <v>17</v>
      </c>
      <c r="S39" s="715">
        <f t="shared" si="12"/>
        <v>100</v>
      </c>
      <c r="T39" s="714" t="s">
        <v>17</v>
      </c>
      <c r="U39" s="715">
        <f t="shared" si="13"/>
        <v>100</v>
      </c>
      <c r="V39" s="714" t="s">
        <v>17</v>
      </c>
      <c r="W39" s="715">
        <f t="shared" si="14"/>
        <v>100</v>
      </c>
      <c r="X39" s="3085"/>
      <c r="Y39" s="3379"/>
      <c r="Z39" s="3086" t="str">
        <f t="shared" si="15"/>
        <v>层高</v>
      </c>
      <c r="AA39" s="3084">
        <f t="shared" si="3"/>
        <v>1</v>
      </c>
      <c r="AB39" s="3084">
        <f t="shared" si="4"/>
        <v>1</v>
      </c>
      <c r="AC39" s="3084">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77"/>
      <c r="Q40" s="3083" t="str">
        <f t="shared" si="11"/>
        <v>单套建筑面积</v>
      </c>
      <c r="R40" s="714" t="s">
        <v>17</v>
      </c>
      <c r="S40" s="715">
        <f t="shared" si="12"/>
        <v>100</v>
      </c>
      <c r="T40" s="714" t="s">
        <v>17</v>
      </c>
      <c r="U40" s="715">
        <f t="shared" si="13"/>
        <v>100</v>
      </c>
      <c r="V40" s="714" t="s">
        <v>17</v>
      </c>
      <c r="W40" s="715">
        <f t="shared" si="14"/>
        <v>100</v>
      </c>
      <c r="X40" s="3085"/>
      <c r="Y40" s="3379"/>
      <c r="Z40" s="3086" t="str">
        <f t="shared" si="15"/>
        <v>单套建筑面积</v>
      </c>
      <c r="AA40" s="3084">
        <f t="shared" si="3"/>
        <v>1</v>
      </c>
      <c r="AB40" s="3084">
        <f t="shared" si="4"/>
        <v>1</v>
      </c>
      <c r="AC40" s="3084">
        <f t="shared" si="5"/>
        <v>1</v>
      </c>
    </row>
    <row r="41" spans="1:29" s="430" customFormat="1" ht="15">
      <c r="A41" s="427"/>
      <c r="B41" s="308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77"/>
      <c r="Q41" s="716" t="str">
        <f t="shared" si="11"/>
        <v>进深比</v>
      </c>
      <c r="R41" s="717" t="s">
        <v>17</v>
      </c>
      <c r="S41" s="718">
        <f t="shared" si="12"/>
        <v>100</v>
      </c>
      <c r="T41" s="717" t="s">
        <v>17</v>
      </c>
      <c r="U41" s="718">
        <f t="shared" si="13"/>
        <v>100</v>
      </c>
      <c r="V41" s="717" t="s">
        <v>17</v>
      </c>
      <c r="W41" s="718">
        <f t="shared" si="14"/>
        <v>100</v>
      </c>
      <c r="X41" s="719"/>
      <c r="Y41" s="3379"/>
      <c r="Z41" s="720" t="str">
        <f t="shared" si="15"/>
        <v>进深比</v>
      </c>
      <c r="AA41" s="3084">
        <f t="shared" si="3"/>
        <v>1</v>
      </c>
      <c r="AB41" s="3084">
        <f t="shared" si="4"/>
        <v>1</v>
      </c>
      <c r="AC41" s="3084">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77"/>
      <c r="Q42" s="3083" t="str">
        <f t="shared" si="11"/>
        <v>内部装修</v>
      </c>
      <c r="R42" s="714" t="s">
        <v>17</v>
      </c>
      <c r="S42" s="715">
        <f t="shared" si="12"/>
        <v>100</v>
      </c>
      <c r="T42" s="714" t="s">
        <v>17</v>
      </c>
      <c r="U42" s="715">
        <f t="shared" si="13"/>
        <v>100</v>
      </c>
      <c r="V42" s="714" t="s">
        <v>17</v>
      </c>
      <c r="W42" s="715">
        <f t="shared" si="14"/>
        <v>100</v>
      </c>
      <c r="X42" s="3085"/>
      <c r="Y42" s="3379"/>
      <c r="Z42" s="3086" t="str">
        <f t="shared" si="15"/>
        <v>内部装修</v>
      </c>
      <c r="AA42" s="3084">
        <f t="shared" si="3"/>
        <v>1</v>
      </c>
      <c r="AB42" s="3084">
        <f t="shared" si="4"/>
        <v>1</v>
      </c>
      <c r="AC42" s="3084">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77"/>
      <c r="Q43" s="3083" t="str">
        <f t="shared" si="11"/>
        <v>内部装修维护情况</v>
      </c>
      <c r="R43" s="714" t="s">
        <v>17</v>
      </c>
      <c r="S43" s="715">
        <f t="shared" si="12"/>
        <v>100</v>
      </c>
      <c r="T43" s="714" t="s">
        <v>17</v>
      </c>
      <c r="U43" s="715">
        <f t="shared" si="13"/>
        <v>100</v>
      </c>
      <c r="V43" s="714" t="s">
        <v>17</v>
      </c>
      <c r="W43" s="715">
        <f t="shared" si="14"/>
        <v>100</v>
      </c>
      <c r="X43" s="3085"/>
      <c r="Y43" s="3379"/>
      <c r="Z43" s="3086" t="str">
        <f t="shared" si="15"/>
        <v>内部装修维护情况</v>
      </c>
      <c r="AA43" s="3084">
        <f t="shared" si="3"/>
        <v>1</v>
      </c>
      <c r="AB43" s="3084">
        <f t="shared" si="4"/>
        <v>1</v>
      </c>
      <c r="AC43" s="308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77"/>
      <c r="Q44" s="3081">
        <f t="shared" si="11"/>
        <v>111</v>
      </c>
      <c r="R44" s="710" t="s">
        <v>17</v>
      </c>
      <c r="S44" s="711">
        <f t="shared" si="12"/>
        <v>100</v>
      </c>
      <c r="T44" s="710" t="s">
        <v>17</v>
      </c>
      <c r="U44" s="711">
        <f t="shared" si="13"/>
        <v>100</v>
      </c>
      <c r="V44" s="710" t="s">
        <v>17</v>
      </c>
      <c r="W44" s="711">
        <f t="shared" si="14"/>
        <v>100</v>
      </c>
      <c r="X44" s="712"/>
      <c r="Y44" s="3379"/>
      <c r="Z44" s="3080">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77"/>
      <c r="Q45" s="3083">
        <f t="shared" si="11"/>
        <v>111</v>
      </c>
      <c r="R45" s="714" t="s">
        <v>17</v>
      </c>
      <c r="S45" s="715">
        <f t="shared" si="12"/>
        <v>100</v>
      </c>
      <c r="T45" s="714" t="s">
        <v>17</v>
      </c>
      <c r="U45" s="715">
        <f t="shared" si="13"/>
        <v>100</v>
      </c>
      <c r="V45" s="714" t="s">
        <v>17</v>
      </c>
      <c r="W45" s="715">
        <f t="shared" si="14"/>
        <v>100</v>
      </c>
      <c r="X45" s="3085"/>
      <c r="Y45" s="3379"/>
      <c r="Z45" s="3086">
        <f t="shared" si="15"/>
        <v>111</v>
      </c>
      <c r="AA45" s="3084">
        <f t="shared" si="3"/>
        <v>1</v>
      </c>
      <c r="AB45" s="3084">
        <f t="shared" si="4"/>
        <v>1</v>
      </c>
      <c r="AC45" s="3084">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78"/>
      <c r="Q46" s="3083">
        <f t="shared" si="11"/>
        <v>111</v>
      </c>
      <c r="R46" s="714" t="s">
        <v>17</v>
      </c>
      <c r="S46" s="715">
        <f t="shared" si="12"/>
        <v>100</v>
      </c>
      <c r="T46" s="714" t="s">
        <v>17</v>
      </c>
      <c r="U46" s="715">
        <f t="shared" si="13"/>
        <v>100</v>
      </c>
      <c r="V46" s="714" t="s">
        <v>17</v>
      </c>
      <c r="W46" s="715">
        <f t="shared" si="14"/>
        <v>100</v>
      </c>
      <c r="X46" s="3085"/>
      <c r="Y46" s="3380"/>
      <c r="Z46" s="3086">
        <f t="shared" si="15"/>
        <v>111</v>
      </c>
      <c r="AA46" s="3084">
        <f t="shared" si="3"/>
        <v>1</v>
      </c>
      <c r="AB46" s="3084">
        <f t="shared" si="4"/>
        <v>1</v>
      </c>
      <c r="AC46" s="3084">
        <f t="shared" si="5"/>
        <v>1</v>
      </c>
    </row>
    <row r="47" spans="1:29" ht="15">
      <c r="A47" s="438" t="s">
        <v>2398</v>
      </c>
      <c r="B47" s="439"/>
      <c r="C47" s="1316" t="s">
        <v>1</v>
      </c>
      <c r="D47" s="1317"/>
      <c r="E47" s="1318">
        <f>'数据-取费表'!W27*50000</f>
        <v>20000</v>
      </c>
      <c r="F47" s="1319"/>
      <c r="G47" s="1320">
        <f>'数据-取费表'!W27*50000</f>
        <v>20000</v>
      </c>
      <c r="H47" s="1321"/>
      <c r="I47" s="1318">
        <f>'数据-取费表'!W27*50000</f>
        <v>20000</v>
      </c>
      <c r="J47" s="1321"/>
      <c r="K47" s="723"/>
      <c r="L47" s="2954"/>
      <c r="M47" s="2955"/>
      <c r="N47" s="2946"/>
      <c r="O47" s="2955"/>
      <c r="P47" s="3372" t="str">
        <f>A47</f>
        <v>成交单价（元/平方米）</v>
      </c>
      <c r="Q47" s="3372"/>
      <c r="R47" s="3367">
        <f>E47</f>
        <v>20000</v>
      </c>
      <c r="S47" s="3367"/>
      <c r="T47" s="3367">
        <f>G47</f>
        <v>20000</v>
      </c>
      <c r="U47" s="3367"/>
      <c r="V47" s="3367">
        <f>I47</f>
        <v>20000</v>
      </c>
      <c r="W47" s="3367"/>
      <c r="X47" s="699"/>
      <c r="Y47" s="721"/>
      <c r="Z47" s="699"/>
      <c r="AA47" s="699"/>
      <c r="AB47" s="699"/>
      <c r="AC47" s="699"/>
    </row>
    <row r="48" spans="1:29" ht="15.75" thickBot="1">
      <c r="A48" s="445" t="s">
        <v>2399</v>
      </c>
      <c r="B48" s="446"/>
      <c r="C48" s="1322">
        <f>R49</f>
        <v>20000</v>
      </c>
      <c r="D48" s="2539" t="s">
        <v>2879</v>
      </c>
      <c r="E48" s="1323">
        <f>R48</f>
        <v>20000</v>
      </c>
      <c r="F48" s="2540"/>
      <c r="G48" s="1322">
        <f>T48</f>
        <v>20000</v>
      </c>
      <c r="H48" s="2540"/>
      <c r="I48" s="1323">
        <f>V48</f>
        <v>20000</v>
      </c>
      <c r="J48" s="2540"/>
      <c r="K48" s="2542">
        <f>F48+H48+J48</f>
        <v>0</v>
      </c>
      <c r="L48" s="2954"/>
      <c r="M48" s="2955"/>
      <c r="N48" s="2946"/>
      <c r="O48" s="2955"/>
      <c r="P48" s="3372" t="str">
        <f>A48</f>
        <v>比较价值（元/平方米）</v>
      </c>
      <c r="Q48" s="3372"/>
      <c r="R48" s="3373">
        <f>IF(F1="售价",ROUND(PRODUCT(R47,AA7:AA46),0),ROUND(PRODUCT(R47,AA7:AA46),1))</f>
        <v>20000</v>
      </c>
      <c r="S48" s="3373"/>
      <c r="T48" s="3373">
        <f>IF(F1="售价",ROUND(PRODUCT(T47,AB7:AB46),0),ROUND(PRODUCT(T47,AB7:AB46),1))</f>
        <v>20000</v>
      </c>
      <c r="U48" s="3373"/>
      <c r="V48" s="3373">
        <f>IF(F1="售价",ROUND(PRODUCT(V47,AC7:AC46),0),ROUND(PRODUCT(V47,AC7:AC46),1))</f>
        <v>20000</v>
      </c>
      <c r="W48" s="3373"/>
      <c r="X48" s="699"/>
      <c r="Y48" s="699"/>
      <c r="Z48" s="699"/>
      <c r="AA48" s="699"/>
      <c r="AB48" s="699"/>
      <c r="AC48" s="699"/>
    </row>
    <row r="49" spans="1:29" ht="15.75" thickBot="1">
      <c r="A49" s="449" t="s">
        <v>2400</v>
      </c>
      <c r="B49" s="450"/>
      <c r="C49" s="1325">
        <f>R49</f>
        <v>20000</v>
      </c>
      <c r="D49" s="1325"/>
      <c r="E49" s="1325"/>
      <c r="F49" s="1325"/>
      <c r="G49" s="1325"/>
      <c r="H49" s="1325"/>
      <c r="I49" s="1325"/>
      <c r="J49" s="1325"/>
      <c r="K49" s="724"/>
      <c r="L49" s="2954"/>
      <c r="M49" s="2955"/>
      <c r="N49" s="2946"/>
      <c r="O49" s="2955"/>
      <c r="P49" s="3369" t="str">
        <f>A49</f>
        <v>估价对象XX用房的比较价值（楼面单价，元/平方米）</v>
      </c>
      <c r="Q49" s="3370"/>
      <c r="R49" s="3371">
        <f>IF(F1="售价",ROUND(IF(D48="简单平均",AVERAGE(R48:V48),R48*F48+T48*H48+V48*J48),0),ROUND(IF(D48="简单平均",AVERAGE(R48:V48),R48*F48+T48*H48+V48*J48),1))</f>
        <v>20000</v>
      </c>
      <c r="S49" s="3371"/>
      <c r="T49" s="3371"/>
      <c r="U49" s="3371"/>
      <c r="V49" s="3371"/>
      <c r="W49" s="337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2401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2402</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2403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2404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2408</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v>0</v>
      </c>
      <c r="D68" s="506">
        <v>1</v>
      </c>
      <c r="E68" s="506">
        <v>2</v>
      </c>
      <c r="F68" s="506">
        <v>3</v>
      </c>
      <c r="G68" s="506">
        <v>4</v>
      </c>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0(含)-100</v>
      </c>
      <c r="D102" s="535" t="str">
        <f t="shared" ref="D102:L102" si="23">D103&amp;"(含)"&amp;"-"&amp;E103</f>
        <v>100(含)-200</v>
      </c>
      <c r="E102" s="535" t="str">
        <f t="shared" si="23"/>
        <v>200(含)-300</v>
      </c>
      <c r="F102" s="535" t="str">
        <f t="shared" si="23"/>
        <v>300(含)-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v>100</v>
      </c>
      <c r="E103" s="552">
        <v>200</v>
      </c>
      <c r="F103" s="552">
        <v>300</v>
      </c>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67" sqref="A67"/>
    </sheetView>
  </sheetViews>
  <sheetFormatPr defaultRowHeight="13.5"/>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9" sqref="K69"/>
    </sheetView>
  </sheetViews>
  <sheetFormatPr defaultRowHeight="13.5"/>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13" t="s">
        <v>1627</v>
      </c>
      <c r="B1" s="3113"/>
      <c r="C1" s="3113"/>
      <c r="D1" s="3113"/>
    </row>
    <row r="2" spans="1:4" ht="18">
      <c r="A2" s="3114" t="s">
        <v>1611</v>
      </c>
      <c r="B2" s="3114"/>
      <c r="C2" s="3114"/>
      <c r="D2" s="311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14" t="s">
        <v>1617</v>
      </c>
      <c r="B6" s="3114"/>
      <c r="C6" s="3114"/>
      <c r="D6" s="311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15" t="s">
        <v>1620</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1621</v>
      </c>
      <c r="B16" s="3119"/>
      <c r="C16" s="3119"/>
      <c r="D16" s="3119"/>
    </row>
    <row r="17" spans="1:4" ht="144" customHeight="1">
      <c r="A17" s="3119" t="s">
        <v>1622</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1623</v>
      </c>
      <c r="B22" s="3121"/>
      <c r="C22" s="3121"/>
      <c r="D22" s="312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27" t="s">
        <v>1634</v>
      </c>
      <c r="B15" s="3122" t="s">
        <v>136</v>
      </c>
      <c r="C15" s="3123"/>
    </row>
    <row r="16" spans="1:7" ht="13.5">
      <c r="A16" s="3128"/>
      <c r="B16" s="3122" t="s">
        <v>69</v>
      </c>
      <c r="C16" s="3123"/>
    </row>
    <row r="17" spans="1:3" ht="13.5">
      <c r="A17" s="3128"/>
      <c r="B17" s="3125" t="s">
        <v>1635</v>
      </c>
      <c r="C17" s="1718" t="s">
        <v>1634</v>
      </c>
    </row>
    <row r="18" spans="1:3" ht="13.5">
      <c r="A18" s="3128"/>
      <c r="B18" s="3125"/>
      <c r="C18" s="1718" t="s">
        <v>1636</v>
      </c>
    </row>
    <row r="19" spans="1:3" ht="13.5">
      <c r="A19" s="3128"/>
      <c r="B19" s="3125"/>
      <c r="C19" s="1718" t="s">
        <v>1637</v>
      </c>
    </row>
    <row r="20" spans="1:3" ht="13.5">
      <c r="A20" s="3129"/>
      <c r="B20" s="3124" t="s">
        <v>1638</v>
      </c>
      <c r="C20" s="3123"/>
    </row>
    <row r="21" spans="1:3" ht="13.5">
      <c r="A21" s="1719" t="s">
        <v>1639</v>
      </c>
      <c r="B21" s="1720"/>
      <c r="C21" s="1721"/>
    </row>
    <row r="22" spans="1:3" ht="13.5">
      <c r="A22" s="3126" t="s">
        <v>1640</v>
      </c>
      <c r="B22" s="3124" t="s">
        <v>1641</v>
      </c>
      <c r="C22" s="3123"/>
    </row>
    <row r="23" spans="1:3" ht="13.5">
      <c r="A23" s="3126"/>
      <c r="B23" s="3124" t="s">
        <v>1642</v>
      </c>
      <c r="C23" s="3123"/>
    </row>
    <row r="24" spans="1:3" ht="13.5">
      <c r="A24" s="3126"/>
      <c r="B24" s="3124" t="s">
        <v>1643</v>
      </c>
      <c r="C24" s="3123"/>
    </row>
    <row r="25" spans="1:3" ht="13.5">
      <c r="A25" s="3126"/>
      <c r="B25" s="3125" t="s">
        <v>1644</v>
      </c>
      <c r="C25" s="1718" t="s">
        <v>1645</v>
      </c>
    </row>
    <row r="26" spans="1:3" ht="13.5">
      <c r="A26" s="3126"/>
      <c r="B26" s="3125"/>
      <c r="C26" s="1718" t="s">
        <v>1646</v>
      </c>
    </row>
    <row r="27" spans="1:3" ht="13.5">
      <c r="A27" s="3126"/>
      <c r="B27" s="3125"/>
      <c r="C27" s="1718" t="s">
        <v>1647</v>
      </c>
    </row>
    <row r="28" spans="1:3" ht="13.5">
      <c r="A28" s="3126"/>
      <c r="B28" s="3125"/>
      <c r="C28" s="1718" t="s">
        <v>1648</v>
      </c>
    </row>
    <row r="29" spans="1:3" ht="13.5">
      <c r="A29" s="3126"/>
      <c r="B29" s="3125"/>
      <c r="C29" s="1718" t="s">
        <v>1649</v>
      </c>
    </row>
    <row r="30" spans="1:3" ht="13.5">
      <c r="A30" s="3126"/>
      <c r="B30" s="3125"/>
      <c r="C30" s="1718" t="s">
        <v>1650</v>
      </c>
    </row>
    <row r="31" spans="1:3" ht="13.5">
      <c r="A31" s="3126"/>
      <c r="B31" s="3125"/>
      <c r="C31" s="1718" t="s">
        <v>1651</v>
      </c>
    </row>
    <row r="32" spans="1:3" ht="13.5">
      <c r="A32" s="3126"/>
      <c r="B32" s="3125"/>
      <c r="C32" s="1718" t="s">
        <v>1652</v>
      </c>
    </row>
    <row r="33" spans="1:3" ht="13.5">
      <c r="A33" s="3126"/>
      <c r="B33" s="3125"/>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44264</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30" t="s">
        <v>2901</v>
      </c>
      <c r="B17" s="3130"/>
      <c r="C17" s="3130"/>
      <c r="D17" s="3130"/>
      <c r="E17" s="3130"/>
      <c r="F17" s="3130"/>
      <c r="G17" s="3130"/>
      <c r="H17" s="3130"/>
    </row>
    <row r="18" spans="1:8" ht="24" customHeight="1">
      <c r="A18" s="3131" t="s">
        <v>2902</v>
      </c>
      <c r="B18" s="3131"/>
      <c r="C18" s="3131"/>
      <c r="D18" s="2567"/>
      <c r="E18" s="3132" t="s">
        <v>2903</v>
      </c>
      <c r="F18" s="3131"/>
      <c r="G18" s="3131"/>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2021-03-09T02:02:46Z</dcterms:modified>
</cp:coreProperties>
</file>