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曦\☆报告☆\2018\2018-1-0242西北旺项目\"/>
    </mc:Choice>
  </mc:AlternateContent>
  <bookViews>
    <workbookView xWindow="480" yWindow="210" windowWidth="12120" windowHeight="762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state="hidden" r:id="rId32"/>
    <sheet name="不动产收益法-商业"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0" i="39" l="1"/>
  <c r="E38" i="9"/>
  <c r="E37" i="9"/>
  <c r="AO8" i="1" l="1"/>
  <c r="M13" i="3" l="1"/>
  <c r="AF13" i="3"/>
  <c r="AT13" i="3"/>
  <c r="C15" i="66" l="1"/>
  <c r="B15" i="66"/>
  <c r="I40" i="39" l="1"/>
  <c r="G40" i="39"/>
  <c r="I13" i="39"/>
  <c r="G13" i="39"/>
  <c r="E13" i="39"/>
  <c r="I9" i="39"/>
  <c r="G9" i="39"/>
  <c r="E9" i="39"/>
  <c r="I7" i="39"/>
  <c r="G7" i="39"/>
  <c r="E7" i="39"/>
  <c r="C7" i="39"/>
  <c r="I48" i="39"/>
  <c r="G48" i="39"/>
  <c r="E48" i="39"/>
  <c r="C38" i="9"/>
  <c r="C37" i="9"/>
  <c r="AM8" i="1"/>
  <c r="AL8" i="1"/>
  <c r="AK8" i="1"/>
  <c r="AM9" i="1"/>
  <c r="AL9" i="1"/>
  <c r="AK9" i="1"/>
  <c r="E9" i="6"/>
  <c r="F22" i="6"/>
  <c r="AD13" i="3"/>
  <c r="D3" i="4"/>
  <c r="G16" i="66" l="1"/>
  <c r="C40" i="39" l="1"/>
  <c r="E11" i="39"/>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1" i="67"/>
  <c r="B8" i="67"/>
  <c r="E10" i="67"/>
  <c r="B13" i="67"/>
  <c r="E8" i="67"/>
  <c r="E9" i="67"/>
  <c r="F8" i="67"/>
  <c r="F9" i="67"/>
  <c r="E13" i="67"/>
  <c r="E12" i="67"/>
  <c r="B11" i="67"/>
  <c r="B9" i="67"/>
  <c r="B10" i="67"/>
  <c r="F10" i="67"/>
  <c r="E14" i="67"/>
  <c r="F12" i="67"/>
  <c r="B14" i="67"/>
  <c r="F13" i="67"/>
  <c r="B12" i="67"/>
  <c r="F11" i="67"/>
  <c r="F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4" i="65"/>
  <c r="N5" i="65"/>
  <c r="N3" i="65"/>
  <c r="N6" i="65"/>
  <c r="I6" i="65"/>
  <c r="C4" i="65" l="1"/>
  <c r="B39" i="1" s="1"/>
  <c r="I4" i="65"/>
  <c r="I3" i="65"/>
  <c r="J3" i="65"/>
  <c r="J4" i="65"/>
  <c r="I7" i="65"/>
  <c r="I5" i="65"/>
  <c r="J5" i="65"/>
  <c r="J7" i="65"/>
  <c r="J6"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F36" i="34"/>
  <c r="S36" i="34" s="1"/>
  <c r="S34" i="34"/>
  <c r="H39" i="33"/>
  <c r="AB39" i="33" s="1"/>
  <c r="W38" i="33"/>
  <c r="S40" i="33"/>
  <c r="S33" i="33"/>
  <c r="W33" i="33"/>
  <c r="U38" i="33"/>
  <c r="W8" i="21"/>
  <c r="H39" i="37"/>
  <c r="AB39" i="37" s="1"/>
  <c r="AB27" i="35"/>
  <c r="S10" i="40"/>
  <c r="W10" i="40"/>
  <c r="S11" i="40"/>
  <c r="U11" i="40"/>
  <c r="S36" i="40"/>
  <c r="U36" i="40"/>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F43" i="33"/>
  <c r="AA43" i="33" s="1"/>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5" i="3"/>
  <c r="BA14" i="3"/>
  <c r="AZ14" i="3" s="1"/>
  <c r="J57" i="39"/>
  <c r="H13" i="40"/>
  <c r="U13" i="40" s="1"/>
  <c r="H12" i="48"/>
  <c r="I4" i="4"/>
  <c r="I59" i="40"/>
  <c r="C59"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BL174" i="3"/>
  <c r="G175" i="3"/>
  <c r="BA178" i="3"/>
  <c r="BL179" i="3"/>
  <c r="G180" i="3"/>
  <c r="AZ35" i="3"/>
  <c r="AZ51" i="3"/>
  <c r="G537" i="3"/>
  <c r="BL181" i="3"/>
  <c r="AZ181" i="3" s="1"/>
  <c r="G182" i="3"/>
  <c r="BA184" i="3"/>
  <c r="BL185" i="3"/>
  <c r="AZ185" i="3" s="1"/>
  <c r="G186" i="3"/>
  <c r="BA188" i="3"/>
  <c r="BL189" i="3"/>
  <c r="AZ189" i="3" s="1"/>
  <c r="G190" i="3"/>
  <c r="BA192" i="3"/>
  <c r="BL193" i="3"/>
  <c r="AZ193" i="3" s="1"/>
  <c r="G194" i="3"/>
  <c r="BA196" i="3"/>
  <c r="BL197" i="3"/>
  <c r="AZ197" i="3" s="1"/>
  <c r="G198" i="3"/>
  <c r="BA200" i="3"/>
  <c r="AZ200" i="3" s="1"/>
  <c r="BL201" i="3"/>
  <c r="AZ201" i="3" s="1"/>
  <c r="AZ82" i="3"/>
  <c r="AZ84" i="3"/>
  <c r="AZ86" i="3"/>
  <c r="AZ102" i="3"/>
  <c r="G491" i="3"/>
  <c r="BA298" i="3"/>
  <c r="AZ298" i="3" s="1"/>
  <c r="BA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AZ170" i="3"/>
  <c r="AZ179" i="3"/>
  <c r="AZ199" i="3"/>
  <c r="AZ203" i="3"/>
  <c r="G523" i="3"/>
  <c r="BL297" i="3"/>
  <c r="G298" i="3"/>
  <c r="BA300" i="3"/>
  <c r="AZ300" i="3" s="1"/>
  <c r="BL301" i="3"/>
  <c r="G302" i="3"/>
  <c r="BA304" i="3"/>
  <c r="AZ304" i="3" s="1"/>
  <c r="BL305" i="3"/>
  <c r="G306" i="3"/>
  <c r="BA308" i="3"/>
  <c r="AZ308" i="3" s="1"/>
  <c r="BL309" i="3"/>
  <c r="AZ309" i="3" s="1"/>
  <c r="G310" i="3"/>
  <c r="BA310" i="3"/>
  <c r="AZ310" i="3" s="1"/>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33" i="3"/>
  <c r="AZ237" i="3"/>
  <c r="AZ317" i="3"/>
  <c r="AZ321" i="3"/>
  <c r="AZ325" i="3"/>
  <c r="AZ363"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426" i="3"/>
  <c r="AZ455" i="3"/>
  <c r="AZ471"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U32" i="33"/>
  <c r="AB17" i="37"/>
  <c r="AZ488" i="3"/>
  <c r="AZ508" i="3"/>
  <c r="AZ524"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15"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469" i="3"/>
  <c r="AZ388" i="3"/>
  <c r="AZ207" i="3"/>
  <c r="AZ215" i="3"/>
  <c r="AZ220" i="3"/>
  <c r="AZ239" i="3"/>
  <c r="AZ244" i="3"/>
  <c r="AZ273" i="3"/>
  <c r="AZ276" i="3"/>
  <c r="AZ140" i="3"/>
  <c r="M7" i="46"/>
  <c r="M11" i="46"/>
  <c r="N3" i="46"/>
  <c r="N6" i="46"/>
  <c r="N10" i="46"/>
  <c r="AZ164" i="3"/>
  <c r="J13" i="40"/>
  <c r="W13" i="40" s="1"/>
  <c r="F34" i="44"/>
  <c r="F72" i="9"/>
  <c r="AB32" i="40"/>
  <c r="S47" i="39"/>
  <c r="U37" i="34"/>
  <c r="AB37" i="34"/>
  <c r="AC41" i="40"/>
  <c r="W41" i="40"/>
  <c r="U41" i="40"/>
  <c r="J23" i="40"/>
  <c r="AC23" i="40" s="1"/>
  <c r="F23" i="40"/>
  <c r="S23" i="40" s="1"/>
  <c r="AC15" i="40"/>
  <c r="AB16" i="39"/>
  <c r="AB23" i="35"/>
  <c r="H20" i="35"/>
  <c r="AB20" i="35" s="1"/>
  <c r="F20" i="35"/>
  <c r="S20" i="35" s="1"/>
  <c r="H15" i="34"/>
  <c r="AB15" i="34" s="1"/>
  <c r="F78" i="34"/>
  <c r="G78" i="34" s="1"/>
  <c r="J15" i="34"/>
  <c r="AC15" i="34" s="1"/>
  <c r="H41" i="33"/>
  <c r="U41" i="33" s="1"/>
  <c r="F30" i="40"/>
  <c r="AA30" i="40" s="1"/>
  <c r="AZ504" i="3"/>
  <c r="AZ537" i="3"/>
  <c r="AB37" i="39"/>
  <c r="J29" i="39"/>
  <c r="AC29" i="39" s="1"/>
  <c r="AB21" i="39"/>
  <c r="AB33" i="36"/>
  <c r="AA11" i="36"/>
  <c r="G99" i="37"/>
  <c r="F33" i="37" s="1"/>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F97" i="39"/>
  <c r="G97" i="39" s="1"/>
  <c r="S16" i="39"/>
  <c r="AA15" i="34"/>
  <c r="AA41" i="33"/>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J11" i="34"/>
  <c r="W11" i="34" s="1"/>
  <c r="F25" i="40"/>
  <c r="AA25" i="40" s="1"/>
  <c r="J11" i="33"/>
  <c r="W11" i="33" s="1"/>
  <c r="H33" i="37"/>
  <c r="AB33" i="37" s="1"/>
  <c r="W15" i="34"/>
  <c r="W23" i="40"/>
  <c r="D73" i="9"/>
  <c r="N73" i="9" s="1"/>
  <c r="B11" i="1"/>
  <c r="E11" i="1" s="1"/>
  <c r="K11" i="1"/>
  <c r="M11" i="1" s="1"/>
  <c r="B9" i="1"/>
  <c r="E9" i="1" s="1"/>
  <c r="K9" i="1"/>
  <c r="M9" i="1" s="1"/>
  <c r="B7" i="1"/>
  <c r="E7" i="1" s="1"/>
  <c r="C20" i="43"/>
  <c r="E2" i="65"/>
  <c r="W29" i="35" l="1"/>
  <c r="U29" i="35"/>
  <c r="AC16" i="35"/>
  <c r="AA14" i="35"/>
  <c r="U20" i="35"/>
  <c r="AB16" i="35"/>
  <c r="AB10" i="35"/>
  <c r="S10" i="35"/>
  <c r="W31" i="35"/>
  <c r="J43" i="39"/>
  <c r="W43" i="39" s="1"/>
  <c r="F43" i="39"/>
  <c r="AA43" i="39" s="1"/>
  <c r="E21" i="6"/>
  <c r="B38" i="9"/>
  <c r="E20" i="6"/>
  <c r="D9" i="12" s="1"/>
  <c r="B37" i="9"/>
  <c r="G35" i="9" s="1"/>
  <c r="C43" i="9" s="1"/>
  <c r="K47" i="9" s="1"/>
  <c r="G13" i="3"/>
  <c r="S43" i="39"/>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AZ25" i="3" s="1"/>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C10" i="12" s="1"/>
  <c r="U27" i="33"/>
  <c r="AB27" i="33"/>
  <c r="U45" i="33"/>
  <c r="AB45" i="33"/>
  <c r="U27" i="37"/>
  <c r="AB27" i="37"/>
  <c r="BA570" i="3"/>
  <c r="AZ570" i="3" s="1"/>
  <c r="BT5" i="3"/>
  <c r="BI5" i="3"/>
  <c r="H42" i="39"/>
  <c r="AB42" i="39" s="1"/>
  <c r="A14" i="55"/>
  <c r="B65" i="63"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36"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7" i="69"/>
  <c r="F13" i="15"/>
  <c r="J17" i="44"/>
  <c r="F28" i="44"/>
  <c r="M11" i="44"/>
  <c r="F7" i="15"/>
  <c r="F10" i="44"/>
  <c r="F40" i="44"/>
  <c r="F43" i="44"/>
  <c r="M28" i="44"/>
  <c r="F18" i="44"/>
  <c r="F42" i="15"/>
  <c r="F38" i="44"/>
  <c r="M30" i="44"/>
  <c r="M25" i="44"/>
  <c r="F9" i="44"/>
  <c r="M24" i="44"/>
  <c r="M22" i="15"/>
  <c r="F11" i="44"/>
  <c r="F45" i="44"/>
  <c r="F43" i="15"/>
  <c r="F16" i="15"/>
  <c r="F8" i="44"/>
  <c r="M6" i="15"/>
  <c r="M28" i="15"/>
  <c r="M10" i="44"/>
  <c r="L49" i="44"/>
  <c r="M26" i="44"/>
  <c r="L48" i="44"/>
  <c r="F43" i="69"/>
  <c r="F9" i="15"/>
  <c r="M31" i="44"/>
  <c r="F26" i="15"/>
  <c r="F39" i="44"/>
  <c r="M9" i="15"/>
  <c r="F15" i="44"/>
  <c r="M8" i="44"/>
  <c r="M23" i="15"/>
  <c r="F8" i="15"/>
  <c r="AC9" i="35" l="1"/>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C27" i="15"/>
  <c r="F50" i="15"/>
  <c r="M7" i="15"/>
  <c r="F49" i="15"/>
  <c r="F70" i="15"/>
  <c r="G66" i="36"/>
  <c r="J18" i="36"/>
  <c r="M17" i="15"/>
  <c r="F31" i="15"/>
  <c r="F33" i="44"/>
  <c r="M19" i="44"/>
  <c r="F58" i="15"/>
  <c r="AE6" i="1"/>
  <c r="M26" i="15"/>
  <c r="L48" i="69"/>
  <c r="M9" i="69"/>
  <c r="F9" i="68"/>
  <c r="M22" i="69"/>
  <c r="M29" i="69"/>
  <c r="J15" i="69"/>
  <c r="F6" i="69"/>
  <c r="J15" i="15"/>
  <c r="M23" i="69"/>
  <c r="F38" i="68"/>
  <c r="L48" i="15"/>
  <c r="L47" i="15"/>
  <c r="M26" i="68"/>
  <c r="F37" i="69"/>
  <c r="M24" i="15"/>
  <c r="F9" i="69"/>
  <c r="M26" i="69"/>
  <c r="F16" i="68"/>
  <c r="M8" i="68"/>
  <c r="C16" i="15"/>
  <c r="C18" i="44"/>
  <c r="F42" i="69"/>
  <c r="F42" i="68"/>
  <c r="M24" i="68"/>
  <c r="J36" i="68"/>
  <c r="M9" i="68"/>
  <c r="M27" i="68"/>
  <c r="M23" i="68"/>
  <c r="J15" i="68"/>
  <c r="F6" i="15"/>
  <c r="F46" i="44"/>
  <c r="F36" i="15"/>
  <c r="L47" i="69"/>
  <c r="F36" i="68"/>
  <c r="M28" i="69"/>
  <c r="J36" i="69"/>
  <c r="F40" i="68"/>
  <c r="F37" i="68"/>
  <c r="F38" i="69"/>
  <c r="M28" i="68"/>
  <c r="F40" i="69"/>
  <c r="M6" i="69"/>
  <c r="M22" i="68"/>
  <c r="F6" i="68"/>
  <c r="F36" i="69"/>
  <c r="F8" i="69"/>
  <c r="F26" i="68"/>
  <c r="F13" i="68"/>
  <c r="F13" i="69"/>
  <c r="M24" i="69"/>
  <c r="M29" i="15"/>
  <c r="F16" i="69"/>
  <c r="F38" i="15"/>
  <c r="M8" i="15"/>
  <c r="M8" i="69"/>
  <c r="F7" i="68"/>
  <c r="F40" i="15"/>
  <c r="F43" i="68"/>
  <c r="M29" i="68"/>
  <c r="M27" i="69"/>
  <c r="M6" i="68"/>
  <c r="F8" i="68"/>
  <c r="F26" i="69"/>
  <c r="L47" i="68"/>
  <c r="F37" i="15"/>
  <c r="L48" i="68"/>
  <c r="J36" i="15"/>
  <c r="V38" i="35" l="1"/>
  <c r="I38" i="35" s="1"/>
  <c r="G43" i="35" s="1"/>
  <c r="H43" i="35" s="1"/>
  <c r="O6" i="1"/>
  <c r="P6" i="1" s="1"/>
  <c r="C15" i="12" s="1"/>
  <c r="J53" i="15"/>
  <c r="F1" i="15" s="1"/>
  <c r="I54" i="15"/>
  <c r="C39" i="46"/>
  <c r="G39" i="46" s="1"/>
  <c r="I39" i="46" s="1"/>
  <c r="C38" i="46"/>
  <c r="G38" i="46" s="1"/>
  <c r="I38" i="46" s="1"/>
  <c r="T13" i="46"/>
  <c r="V13" i="46" s="1"/>
  <c r="T9" i="46"/>
  <c r="V9" i="46" s="1"/>
  <c r="T14" i="46"/>
  <c r="V14" i="46" s="1"/>
  <c r="C29" i="46"/>
  <c r="E29" i="46"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C48" i="69" s="1"/>
  <c r="C47" i="69" s="1"/>
  <c r="J6" i="69"/>
  <c r="J5" i="69" s="1"/>
  <c r="J18" i="69" s="1"/>
  <c r="O7" i="1"/>
  <c r="P7" i="1"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C48" i="15"/>
  <c r="AC12" i="40"/>
  <c r="W12" i="40"/>
  <c r="E46" i="37"/>
  <c r="F46" i="37" s="1"/>
  <c r="C48" i="33"/>
  <c r="C49" i="33"/>
  <c r="B3" i="33" s="1"/>
  <c r="B2" i="33" s="1"/>
  <c r="M27" i="15"/>
  <c r="C16" i="68"/>
  <c r="AE9" i="1"/>
  <c r="C16" i="69"/>
  <c r="M29" i="44"/>
  <c r="L52" i="44"/>
  <c r="Q53" i="15" l="1"/>
  <c r="K15" i="1"/>
  <c r="K16" i="1" s="1"/>
  <c r="C30" i="46"/>
  <c r="E30" i="46" s="1"/>
  <c r="C27" i="46" s="1"/>
  <c r="C5" i="15"/>
  <c r="C32" i="15" s="1"/>
  <c r="Q61" i="15"/>
  <c r="S7" i="37"/>
  <c r="AB12" i="39"/>
  <c r="I53" i="34"/>
  <c r="J53" i="34" s="1"/>
  <c r="Q62" i="15"/>
  <c r="C10" i="69"/>
  <c r="C5" i="69" s="1"/>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F41" i="15"/>
  <c r="F7" i="67"/>
  <c r="C17" i="15"/>
  <c r="C19" i="44"/>
  <c r="C17" i="69"/>
  <c r="AE7" i="1"/>
  <c r="C17" i="68"/>
  <c r="E7" i="67"/>
  <c r="C38" i="15" l="1"/>
  <c r="F68" i="15"/>
  <c r="B2" i="35"/>
  <c r="E10" i="12" s="1"/>
  <c r="E8" i="12"/>
  <c r="M19" i="6"/>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C14" i="69"/>
  <c r="J29" i="69" l="1"/>
  <c r="F68" i="69"/>
  <c r="C15" i="69"/>
  <c r="C1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8"/>
  <c r="C17" i="11" l="1"/>
  <c r="C18" i="11"/>
  <c r="C19" i="69"/>
  <c r="C20" i="69" s="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7" i="44"/>
  <c r="M21" i="68"/>
  <c r="F35" i="69"/>
  <c r="M23" i="44"/>
  <c r="F35" i="15"/>
  <c r="M21" i="15"/>
  <c r="M21" i="69"/>
  <c r="C19" i="11" l="1"/>
  <c r="C20" i="11" s="1"/>
  <c r="C21" i="11" s="1"/>
  <c r="C22" i="11" s="1"/>
  <c r="C23" i="11" s="1"/>
  <c r="B2" i="11" s="1"/>
  <c r="B3" i="11" s="1"/>
  <c r="C26" i="69"/>
  <c r="C23"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B5" i="11" l="1"/>
  <c r="B4" i="11"/>
  <c r="C29" i="69"/>
  <c r="C13" i="69" s="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J13" i="69"/>
  <c r="J23" i="69" s="1"/>
  <c r="J16" i="69" s="1"/>
  <c r="J25" i="69" s="1"/>
  <c r="C57" i="69"/>
  <c r="C66" i="69" s="1"/>
  <c r="C67" i="69" s="1"/>
  <c r="C70"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D46" i="9" l="1"/>
  <c r="I14" i="66"/>
  <c r="B8" i="66" s="1"/>
  <c r="F46" i="9"/>
  <c r="E46" i="9"/>
  <c r="O41" i="9"/>
  <c r="R8" i="54" s="1"/>
  <c r="B54" i="63" s="1"/>
  <c r="C8" i="66" l="1"/>
  <c r="D8" i="66"/>
  <c r="C46" i="9" l="1"/>
  <c r="K33" i="9"/>
  <c r="K34" i="9"/>
  <c r="AE8" i="1"/>
  <c r="C6" i="12" l="1"/>
  <c r="F41" i="68"/>
  <c r="F68" i="68" l="1"/>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D28" i="9" s="1"/>
  <c r="L43" i="9"/>
  <c r="C20" i="9"/>
  <c r="C21" i="9"/>
  <c r="N43" i="9" l="1"/>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O39" i="9"/>
  <c r="E14" i="66"/>
  <c r="F14" i="66"/>
  <c r="C90" i="9" l="1"/>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K29" i="9"/>
  <c r="K30" i="9"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F15" i="66" l="1"/>
  <c r="B5" i="66"/>
  <c r="E15" i="66"/>
  <c r="D5" i="66" l="1"/>
  <c r="C5" i="66"/>
  <c r="G15" i="66"/>
  <c r="B6" i="66" s="1"/>
  <c r="C6" i="66" l="1"/>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<sst xmlns="http://schemas.openxmlformats.org/spreadsheetml/2006/main" count="8719" uniqueCount="3368">
  <si>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</si>
  <si>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</si>
  <si>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</si>
  <si>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</si>
  <si>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</si>
  <si>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</si>
  <si>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</si>
  <si>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</si>
  <si>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</si>
  <si>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</si>
  <si>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</si>
  <si>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</si>
  <si>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</si>
  <si>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</si>
  <si>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</si>
  <si>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</si>
  <si>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</si>
  <si>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</si>
  <si>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</si>
  <si>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</si>
  <si>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</si>
  <si>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</si>
  <si>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</si>
  <si>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</si>
  <si>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</si>
  <si>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</si>
  <si>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</si>
  <si>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</si>
  <si>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</si>
  <si>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</si>
  <si>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</si>
  <si>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</si>
  <si>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</si>
  <si>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</si>
  <si>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</si>
  <si>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</si>
  <si>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</si>
  <si>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</si>
  <si>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</si>
  <si>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</si>
  <si>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</si>
  <si>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</si>
  <si>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</si>
  <si>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</si>
  <si>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</si>
  <si>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</si>
  <si>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</si>
  <si>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</si>
  <si>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</si>
  <si>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</si>
  <si>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</si>
  <si>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</si>
  <si>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</si>
  <si>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</si>
  <si>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</si>
  <si>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</si>
  <si>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</si>
  <si>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</si>
  <si>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</si>
  <si>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</si>
  <si>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</si>
  <si>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</si>
  <si>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</si>
  <si>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</si>
  <si>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</si>
  <si>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</si>
  <si>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</si>
  <si>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</si>
  <si>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</si>
  <si>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</si>
  <si>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</si>
  <si>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</si>
  <si>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</si>
  <si>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</si>
  <si>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</si>
  <si>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</si>
  <si>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</si>
  <si>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</si>
  <si>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</si>
  <si>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</si>
  <si>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</si>
  <si>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</si>
  <si>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</si>
  <si>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</si>
  <si>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</si>
  <si>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</si>
  <si>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</si>
  <si>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</si>
  <si>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</si>
  <si>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</si>
  <si>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</si>
  <si>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</si>
  <si>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</si>
  <si>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</si>
  <si>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</si>
  <si>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</si>
  <si>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</si>
  <si>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</si>
  <si>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</si>
  <si>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</si>
  <si>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</si>
  <si>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</si>
  <si>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</si>
  <si>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</si>
  <si>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</si>
  <si>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</si>
  <si>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</si>
  <si>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</si>
  <si>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</si>
  <si>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</si>
  <si>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</si>
  <si>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</si>
  <si>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</si>
  <si>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</si>
  <si>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</si>
  <si>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</si>
  <si>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</si>
  <si>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</si>
  <si>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</si>
  <si>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</si>
  <si>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</si>
  <si>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</si>
  <si>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</si>
  <si>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</si>
  <si>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</si>
  <si>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</si>
  <si>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</si>
  <si>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</si>
  <si>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</si>
  <si>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</si>
  <si>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</si>
  <si>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</si>
  <si>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</si>
  <si>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</si>
  <si>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</si>
  <si>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</si>
  <si>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</si>
  <si>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</si>
  <si>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</si>
  <si>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</si>
  <si>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</si>
  <si>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</si>
  <si>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</si>
  <si>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</si>
  <si>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</si>
  <si>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</si>
  <si>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</si>
  <si>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</si>
  <si>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</si>
  <si>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</si>
  <si>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</si>
  <si>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</si>
  <si>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</si>
  <si>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</si>
  <si>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</si>
  <si>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</si>
  <si>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</si>
  <si>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</si>
  <si>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</si>
  <si>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</si>
  <si>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</si>
  <si>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</si>
  <si>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</si>
  <si>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</si>
  <si>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</si>
  <si>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</si>
  <si>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</si>
  <si>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</si>
  <si>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</si>
  <si>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</si>
  <si>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</si>
  <si>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</si>
  <si>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</si>
  <si>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</si>
  <si>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</si>
  <si>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</si>
  <si>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</si>
  <si>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</si>
  <si>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</si>
  <si>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</si>
  <si>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</si>
  <si>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</si>
  <si>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</si>
  <si>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</si>
  <si>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</si>
  <si>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</si>
  <si>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</si>
  <si>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</si>
  <si>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</si>
  <si>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</si>
  <si>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</si>
  <si>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</si>
  <si>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</si>
  <si>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</si>
  <si>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</si>
  <si>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</si>
  <si>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</si>
  <si>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</si>
  <si>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</si>
  <si>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</si>
  <si>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</si>
  <si>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</si>
  <si>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</si>
  <si>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</si>
  <si>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</si>
  <si>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</si>
  <si>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</si>
  <si>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</si>
  <si>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</si>
  <si>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</si>
  <si>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</si>
  <si>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</si>
  <si>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</si>
  <si>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</si>
  <si>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</si>
  <si>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</si>
  <si>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</si>
  <si>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</si>
  <si>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</si>
  <si>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</si>
  <si>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</si>
  <si>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</si>
  <si>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</si>
  <si>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</si>
  <si>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</si>
  <si>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</si>
  <si>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</si>
  <si>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</si>
  <si>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</si>
  <si>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</si>
  <si>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</si>
  <si>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</si>
  <si>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</si>
  <si>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</si>
  <si>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</si>
  <si>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</si>
  <si>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</si>
  <si>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</si>
  <si>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</si>
  <si>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</si>
  <si>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</si>
  <si>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</si>
  <si>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</si>
  <si>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</si>
  <si>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</si>
  <si>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</si>
  <si>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</si>
  <si>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</si>
  <si>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</si>
  <si>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</si>
  <si>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</si>
  <si>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</si>
  <si>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</si>
  <si>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</si>
  <si>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</si>
  <si>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</si>
  <si>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</si>
  <si>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</si>
  <si>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</si>
  <si>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</si>
  <si>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</si>
  <si>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</si>
  <si>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</si>
  <si>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</si>
  <si>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</si>
  <si>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</si>
  <si>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</si>
  <si>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</si>
  <si>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</si>
  <si>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</si>
  <si>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</si>
  <si>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</si>
  <si>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</si>
  <si>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</si>
  <si>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</si>
  <si>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</si>
  <si>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</si>
  <si>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</si>
  <si>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</si>
  <si>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</si>
  <si>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</si>
  <si>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</si>
  <si>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</si>
  <si>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</si>
  <si>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</si>
  <si>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</si>
  <si>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</si>
  <si>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</si>
  <si>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</si>
  <si>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</si>
  <si>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</si>
  <si>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</si>
  <si>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</si>
  <si>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</si>
  <si>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</si>
  <si>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</si>
  <si>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</si>
  <si>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</si>
  <si>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</si>
  <si>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</si>
  <si>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</si>
  <si>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</si>
  <si>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</si>
  <si>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</si>
  <si>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</si>
  <si>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</si>
  <si>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</si>
  <si>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</si>
  <si>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</si>
  <si>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</si>
  <si>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</si>
  <si>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</si>
  <si>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</si>
  <si>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</si>
  <si>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</si>
  <si>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</si>
  <si>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</si>
  <si>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</si>
  <si>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</si>
  <si>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</si>
  <si>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</si>
  <si>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</si>
  <si>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</si>
  <si>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</si>
  <si>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</si>
  <si>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</si>
  <si>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</si>
  <si>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</si>
  <si>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</si>
  <si>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</si>
  <si>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</si>
  <si>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</si>
  <si>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</si>
  <si>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</si>
  <si>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</si>
  <si>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</si>
  <si>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</si>
  <si>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</si>
  <si>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</si>
  <si>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</si>
  <si>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</si>
  <si>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</si>
  <si>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</si>
  <si>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</si>
  <si>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</si>
  <si>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</si>
  <si>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</si>
  <si>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</si>
  <si>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</si>
  <si>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</si>
  <si>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</si>
  <si>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</si>
  <si>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</si>
  <si>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</si>
  <si>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</si>
  <si>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</si>
  <si>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</si>
  <si>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</si>
  <si>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</si>
  <si>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</si>
  <si>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</si>
  <si>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</si>
  <si>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</si>
  <si>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</si>
  <si>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</si>
  <si>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</si>
  <si>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</si>
  <si>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</si>
  <si>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</si>
  <si>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</si>
  <si>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</si>
  <si>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</si>
  <si>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</si>
  <si>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</si>
  <si>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</si>
  <si>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</si>
  <si>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</si>
  <si>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</si>
  <si>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</si>
  <si>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</si>
  <si>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</si>
  <si>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</si>
  <si>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</si>
  <si>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</si>
  <si>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</si>
  <si>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</si>
  <si>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</si>
  <si>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</si>
  <si>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</si>
  <si>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</si>
  <si>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</si>
  <si>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</si>
  <si>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</si>
  <si>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</si>
  <si>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</si>
  <si>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</si>
  <si>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</si>
  <si>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</si>
  <si>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</si>
  <si>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</si>
  <si>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</si>
  <si>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</si>
  <si>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</si>
  <si>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</si>
  <si>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</si>
  <si>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</si>
  <si>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</si>
  <si>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</si>
  <si>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</si>
  <si>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</si>
  <si>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</si>
  <si>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</si>
  <si>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</si>
  <si>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</si>
  <si>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</si>
  <si>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</si>
  <si>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</si>
  <si>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</si>
  <si>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</si>
  <si>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</si>
  <si>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</si>
  <si>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</si>
  <si>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</si>
  <si>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</si>
  <si>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</si>
  <si>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</si>
  <si>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</si>
  <si>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</si>
  <si>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</si>
  <si>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</si>
  <si>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</si>
  <si>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</si>
  <si>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</si>
  <si>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</si>
  <si>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</si>
  <si>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</si>
  <si>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</si>
  <si>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</si>
  <si>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</si>
  <si>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</si>
  <si>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</si>
  <si>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</si>
  <si>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</si>
  <si>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</si>
  <si>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</si>
  <si>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</si>
  <si>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</si>
  <si>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</si>
  <si>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</si>
  <si>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</si>
  <si>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</si>
  <si>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</si>
  <si>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</si>
  <si>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</si>
  <si>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</si>
  <si>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</si>
  <si>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</si>
  <si>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</si>
  <si>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</si>
  <si>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</si>
  <si>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</si>
  <si>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</si>
  <si>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</si>
  <si>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</si>
  <si>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</si>
  <si>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</si>
  <si>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</si>
  <si>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</si>
  <si>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</si>
  <si>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</si>
  <si>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</si>
  <si>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</si>
  <si>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</si>
  <si>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</si>
  <si>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</si>
  <si>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</si>
  <si>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</si>
  <si>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</si>
  <si>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</si>
  <si>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</si>
  <si>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</si>
  <si>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</si>
  <si>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</si>
  <si>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</si>
  <si>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</si>
  <si>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</si>
  <si>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</si>
  <si>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</si>
  <si>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</si>
  <si>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</si>
  <si>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</si>
  <si>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</si>
  <si>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</si>
  <si>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</si>
  <si>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</si>
  <si>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</si>
  <si>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</si>
  <si>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</si>
  <si>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</si>
  <si>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</si>
  <si>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</si>
  <si>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</si>
  <si>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</si>
  <si>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</si>
  <si>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</si>
  <si>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</si>
  <si>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</si>
  <si>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</si>
  <si>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</si>
  <si>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</si>
  <si>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</si>
  <si>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</si>
  <si>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</si>
  <si>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</si>
  <si>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</si>
  <si>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</si>
  <si>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</si>
  <si>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</si>
  <si>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</si>
  <si>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</si>
  <si>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</si>
  <si>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</si>
  <si>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</si>
  <si>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</si>
  <si>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</si>
  <si>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</si>
  <si>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</si>
  <si>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</si>
  <si>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</si>
  <si>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</si>
  <si>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</si>
  <si>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</si>
  <si>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</si>
  <si>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</si>
  <si>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</si>
  <si>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</si>
  <si>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</si>
  <si>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</si>
  <si>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</si>
  <si>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</si>
  <si>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</si>
  <si>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</si>
  <si>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</si>
  <si>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</si>
  <si>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</si>
  <si>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</si>
  <si>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</si>
  <si>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</si>
  <si>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</si>
  <si>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</si>
  <si>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</si>
  <si>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</si>
  <si>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</si>
  <si>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</si>
  <si>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</si>
  <si>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</si>
  <si>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</si>
  <si>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</si>
  <si>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</si>
  <si>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</si>
  <si>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</si>
  <si>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</si>
  <si>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</si>
  <si>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</si>
  <si>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</si>
  <si>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</si>
  <si>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</si>
  <si>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</si>
  <si>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</si>
  <si>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</si>
  <si>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</si>
  <si>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</si>
  <si>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</si>
  <si>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</si>
  <si>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</si>
  <si>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</si>
  <si>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</si>
  <si>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</si>
  <si>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</si>
  <si>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</si>
  <si>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</si>
  <si>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</si>
  <si>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</si>
  <si>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</si>
  <si>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</si>
  <si>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</si>
  <si>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</si>
  <si>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</si>
  <si>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</si>
  <si>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</si>
  <si>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</si>
  <si>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</si>
  <si>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</si>
  <si>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</si>
  <si>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</si>
  <si>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</si>
  <si>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</si>
  <si>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</si>
  <si>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</si>
  <si>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</si>
  <si>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</si>
  <si>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</si>
  <si>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</si>
  <si>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</si>
  <si>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</si>
  <si>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</si>
  <si>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</si>
  <si>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</si>
  <si>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</si>
  <si>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</si>
  <si>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</si>
  <si>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</si>
  <si>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</si>
  <si>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</si>
  <si>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</si>
  <si>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</si>
  <si>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</si>
  <si>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</si>
  <si>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</si>
  <si>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</si>
  <si>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</si>
  <si>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</si>
  <si>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</si>
  <si>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</si>
  <si>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</si>
  <si>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</si>
  <si>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</si>
  <si>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</si>
  <si>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</si>
  <si>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</si>
  <si>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</si>
  <si>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</si>
  <si>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</si>
  <si>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</si>
  <si>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</si>
  <si>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</si>
  <si>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</si>
  <si>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</si>
  <si>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</si>
  <si>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</si>
  <si>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</si>
  <si>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</si>
  <si>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</si>
  <si>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</si>
  <si>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</si>
  <si>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</si>
  <si>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</si>
  <si>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</si>
  <si>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</si>
  <si>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</si>
  <si>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</si>
  <si>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</si>
  <si>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</si>
  <si>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</si>
  <si>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</si>
  <si>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</si>
  <si>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</si>
  <si>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</si>
  <si>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</si>
  <si>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</si>
  <si>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</si>
  <si>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</si>
  <si>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</si>
  <si>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</si>
  <si>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</si>
  <si>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</si>
  <si>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</si>
  <si>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</si>
  <si>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</si>
  <si>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</si>
  <si>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</si>
  <si>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</si>
  <si>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</si>
  <si>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</si>
  <si>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</si>
  <si>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</si>
  <si>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</si>
  <si>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</si>
  <si>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</si>
  <si>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</si>
  <si>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</si>
  <si>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</si>
  <si>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</si>
  <si>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</si>
  <si>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</si>
  <si>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</si>
  <si>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</si>
  <si>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</si>
  <si>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</si>
  <si>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</si>
  <si>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</si>
  <si>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</si>
  <si>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</si>
  <si>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</si>
  <si>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</si>
  <si>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</si>
  <si>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</si>
  <si>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</si>
  <si>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</si>
  <si>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</si>
  <si>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</si>
  <si>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</si>
  <si>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</si>
  <si>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</si>
  <si>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</si>
  <si>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</si>
  <si>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</si>
  <si>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</si>
  <si>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</si>
  <si>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</si>
  <si>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</si>
  <si>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</si>
  <si>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</si>
  <si>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</si>
  <si>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</si>
  <si>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</si>
  <si>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</si>
  <si>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</si>
  <si>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</si>
  <si>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</si>
  <si>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</si>
  <si>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</si>
  <si>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</si>
  <si>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</si>
  <si>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</si>
  <si>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</si>
  <si>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</si>
  <si>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</si>
  <si>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</si>
  <si>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</si>
  <si>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</si>
  <si>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</si>
  <si>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</si>
  <si>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</si>
  <si>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</si>
  <si>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</si>
  <si>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</si>
  <si>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</si>
  <si>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</si>
  <si>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</si>
  <si>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</si>
  <si>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</si>
  <si>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</si>
  <si>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</si>
  <si>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</si>
  <si>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</si>
  <si>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</si>
  <si>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</si>
  <si>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</si>
  <si>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</si>
  <si>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</si>
  <si>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</si>
  <si>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</si>
  <si>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</si>
  <si>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</si>
  <si>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</si>
  <si>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</si>
  <si>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</si>
  <si>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</si>
  <si>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</si>
  <si>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</si>
  <si>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</si>
  <si>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</si>
  <si>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</si>
  <si>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</si>
  <si>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</si>
  <si>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</si>
  <si>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</si>
  <si>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</si>
  <si>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</si>
  <si>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</si>
  <si>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</si>
  <si>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</si>
  <si>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</si>
  <si>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</si>
  <si>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</si>
  <si>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</si>
  <si>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</si>
  <si>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</si>
  <si>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</si>
  <si>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</si>
  <si>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</si>
  <si>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</si>
  <si>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</si>
  <si>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</si>
  <si>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</si>
  <si>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</si>
  <si>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</si>
  <si>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</si>
  <si>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</si>
  <si>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</si>
  <si>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</si>
  <si>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</si>
  <si>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</si>
  <si>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</si>
  <si>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</si>
  <si>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</si>
  <si>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</si>
  <si>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</si>
  <si>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</si>
  <si>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</si>
  <si>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</si>
  <si>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</si>
  <si>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</si>
  <si>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</si>
  <si>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</si>
  <si>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</si>
  <si>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</si>
  <si>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</si>
  <si>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</si>
  <si>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</si>
  <si>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</si>
  <si>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</si>
  <si>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</si>
  <si>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</si>
  <si>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</si>
  <si>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</si>
  <si>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</si>
  <si>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</si>
  <si>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</si>
  <si>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</si>
  <si>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</si>
  <si>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</si>
  <si>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</si>
  <si>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</si>
  <si>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</si>
  <si>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</si>
  <si>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</si>
  <si>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</si>
  <si>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</si>
  <si>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</si>
  <si>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</si>
  <si>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</si>
  <si>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</si>
  <si>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</si>
  <si>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</si>
  <si>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</si>
  <si>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</si>
  <si>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</si>
  <si>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</si>
  <si>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</si>
  <si>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</si>
  <si>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</si>
  <si>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</si>
  <si>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</si>
  <si>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</si>
  <si>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</si>
  <si>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</si>
  <si>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</si>
  <si>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</si>
  <si>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</si>
  <si>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</si>
  <si>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</si>
  <si>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</si>
  <si>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</si>
  <si>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</si>
  <si>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</si>
  <si>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</si>
  <si>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</si>
  <si>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</si>
  <si>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</si>
  <si>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</si>
  <si>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</si>
  <si>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</si>
  <si>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</si>
  <si>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</si>
  <si>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</si>
  <si>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</si>
  <si>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</si>
  <si>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</si>
  <si>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</si>
  <si>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</si>
  <si>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</si>
  <si>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</si>
  <si>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</si>
  <si>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</si>
  <si>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</si>
  <si>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</si>
  <si>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</si>
  <si>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</si>
  <si>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</si>
  <si>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</si>
  <si>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</si>
  <si>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</si>
  <si>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</si>
  <si>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</si>
  <si>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</si>
  <si>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</si>
  <si>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</si>
  <si>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</si>
  <si>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</si>
  <si>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</si>
  <si>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</si>
  <si>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</si>
  <si>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</si>
  <si>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</si>
  <si>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</si>
  <si>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</si>
  <si>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</si>
  <si>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</si>
  <si>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</si>
  <si>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</si>
  <si>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</si>
  <si>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</si>
  <si>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</si>
  <si>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</si>
  <si>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</si>
  <si>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</si>
  <si>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</si>
  <si>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</si>
  <si>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</si>
  <si>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</si>
  <si>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</si>
  <si>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</si>
  <si>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</si>
  <si>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</si>
  <si>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</si>
  <si>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</si>
  <si>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</si>
  <si>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</si>
  <si>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</si>
  <si>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</si>
  <si>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</si>
  <si>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</si>
  <si>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</si>
  <si>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</si>
  <si>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</si>
  <si>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</si>
  <si>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</si>
  <si>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</si>
  <si>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</si>
  <si>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</si>
  <si>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</si>
  <si>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</si>
  <si>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</si>
  <si>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</si>
  <si>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</si>
  <si>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</si>
  <si>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</si>
  <si>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</si>
  <si>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</si>
  <si>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</si>
  <si>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</si>
  <si>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</si>
  <si>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</si>
  <si>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</si>
  <si>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</si>
  <si>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</si>
  <si>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</si>
  <si>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</si>
  <si>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</si>
  <si>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</si>
  <si>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</si>
  <si>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</si>
  <si>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</si>
  <si>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</si>
  <si>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</si>
  <si>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</si>
  <si>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</si>
  <si>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</si>
  <si>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</si>
  <si>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</si>
  <si>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</si>
  <si>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</si>
  <si>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</si>
  <si>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</si>
  <si>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</si>
  <si>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</si>
  <si>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</si>
  <si>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</si>
  <si>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</si>
  <si>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</si>
  <si>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</si>
  <si>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</si>
  <si>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</si>
  <si>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</si>
  <si>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</si>
  <si>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</si>
  <si>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</si>
  <si>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</si>
  <si>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</si>
  <si>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</si>
  <si>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</si>
  <si>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</si>
  <si>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</si>
  <si>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</si>
  <si>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</si>
  <si>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</si>
  <si>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</si>
  <si>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</si>
  <si>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</si>
  <si>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</si>
  <si>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</si>
  <si>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</si>
  <si>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</si>
  <si>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</si>
  <si>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</si>
  <si>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</si>
  <si>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</si>
  <si>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</si>
  <si>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</si>
  <si>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</si>
  <si>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</si>
  <si>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</si>
  <si>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</si>
  <si>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</si>
  <si>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</si>
  <si>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</si>
  <si>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</si>
  <si>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</si>
  <si>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</si>
  <si>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</si>
  <si>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</si>
  <si>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</si>
  <si>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</si>
  <si>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</si>
  <si>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</si>
  <si>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</si>
  <si>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</si>
  <si>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</si>
  <si>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</si>
  <si>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</si>
  <si>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</si>
  <si>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</si>
  <si>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</si>
  <si>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</si>
  <si>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</si>
  <si>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</si>
  <si>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</si>
  <si>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</si>
  <si>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</si>
  <si>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</si>
  <si>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</si>
  <si>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</si>
  <si>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</si>
  <si>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</si>
  <si>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</si>
  <si>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</si>
  <si>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</si>
  <si>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</si>
  <si>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</si>
  <si>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</si>
  <si>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</si>
  <si>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</si>
  <si>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</si>
  <si>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</si>
  <si>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</si>
  <si>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</si>
  <si>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</si>
  <si>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</si>
  <si>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</si>
  <si>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</si>
  <si>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</si>
  <si>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</si>
  <si>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</si>
  <si>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</si>
  <si>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</si>
  <si>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</si>
  <si>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</si>
  <si>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</si>
  <si>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</si>
  <si>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</si>
  <si>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</si>
  <si>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</si>
  <si>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</si>
  <si>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</si>
  <si>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</si>
  <si>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</si>
  <si>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</si>
  <si>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</si>
  <si>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</si>
  <si>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</si>
  <si>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</si>
  <si>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</si>
  <si>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</si>
  <si>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</si>
  <si>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</si>
  <si>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</si>
  <si>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</si>
  <si>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</si>
  <si>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</si>
  <si>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</si>
  <si>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</si>
  <si>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</si>
  <si>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</si>
  <si>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</si>
  <si>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</si>
  <si>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</si>
  <si>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</si>
  <si>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</si>
  <si>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</si>
  <si>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</si>
  <si>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</si>
  <si>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</si>
  <si>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</si>
  <si>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</si>
  <si>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</si>
  <si>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</si>
  <si>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</si>
  <si>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</si>
  <si>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</si>
  <si>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</si>
  <si>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</si>
  <si>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</si>
  <si>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</si>
  <si>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</si>
  <si>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</si>
  <si>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</si>
  <si>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</si>
  <si>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</si>
  <si>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</si>
  <si>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</si>
  <si>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</si>
  <si>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</si>
  <si>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</si>
  <si>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</si>
  <si>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</si>
  <si>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</si>
  <si>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</si>
  <si>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</si>
  <si>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</si>
  <si>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</si>
  <si>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</si>
  <si>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</si>
  <si>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</si>
  <si>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</si>
  <si>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</si>
  <si>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</si>
  <si>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</si>
  <si>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</si>
  <si>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</si>
  <si>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</si>
  <si>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</si>
  <si>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</si>
  <si>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</si>
  <si>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</si>
  <si>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</si>
  <si>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</si>
  <si>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</si>
  <si>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</si>
  <si>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</si>
  <si>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</si>
  <si>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</si>
  <si>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</si>
  <si>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</si>
  <si>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</si>
  <si>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</si>
  <si>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</si>
  <si>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</si>
  <si>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</si>
  <si>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</si>
  <si>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</si>
  <si>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</si>
  <si>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</si>
  <si>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</si>
  <si>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</si>
  <si>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</si>
  <si>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</si>
  <si>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</si>
  <si>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</si>
  <si>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</si>
  <si>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</si>
  <si>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</si>
  <si>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</si>
  <si>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</si>
  <si>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</si>
  <si>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</si>
  <si>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</si>
  <si>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</si>
  <si>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</si>
  <si>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</si>
  <si>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</si>
  <si>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</si>
  <si>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</si>
  <si>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</si>
  <si>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</si>
  <si>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</si>
  <si>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</si>
  <si>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</si>
  <si>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</si>
  <si>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</si>
  <si>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</si>
  <si>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</si>
  <si>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</si>
  <si>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</si>
  <si>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</si>
  <si>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</si>
  <si>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</si>
  <si>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</si>
  <si>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</si>
  <si>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</si>
  <si>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</si>
  <si>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</si>
  <si>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</si>
  <si>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</si>
  <si>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</si>
  <si>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</si>
  <si>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</si>
  <si>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</si>
  <si>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</si>
  <si>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</si>
  <si>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</si>
  <si>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</si>
  <si>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</si>
  <si>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</si>
  <si>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</si>
  <si>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</si>
  <si>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</si>
  <si>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</si>
  <si>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</si>
  <si>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</si>
  <si>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</si>
  <si>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</si>
  <si>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</si>
  <si>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</si>
  <si>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</si>
  <si>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</si>
  <si>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</si>
  <si>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</si>
  <si>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</si>
  <si>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</si>
  <si>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</si>
  <si>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</si>
  <si>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</si>
  <si>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</si>
  <si>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</si>
  <si>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</si>
  <si>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</si>
  <si>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</si>
  <si>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</si>
  <si>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</si>
  <si>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</si>
  <si>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</si>
  <si>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</si>
  <si>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</si>
  <si>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</si>
  <si>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</si>
  <si>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</si>
  <si>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</si>
  <si>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</si>
  <si>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</si>
  <si>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</si>
  <si>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</si>
  <si>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</si>
  <si>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</si>
  <si>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</si>
  <si>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</si>
  <si>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</si>
  <si>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</si>
  <si>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</si>
  <si>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</si>
  <si>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</si>
  <si>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</si>
  <si>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</si>
  <si>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</si>
  <si>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</si>
  <si>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</si>
  <si>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</si>
  <si>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</si>
  <si>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</si>
  <si>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</si>
  <si>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</si>
  <si>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</si>
  <si>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</si>
  <si>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</si>
  <si>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</si>
  <si>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</si>
  <si>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</si>
  <si>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</si>
  <si>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</si>
  <si>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</si>
  <si>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</si>
  <si>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</si>
  <si>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</si>
  <si>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</si>
  <si>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</si>
  <si>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</si>
  <si>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</si>
  <si>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</si>
  <si>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</si>
  <si>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</si>
  <si>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</si>
  <si>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</si>
  <si>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</si>
  <si>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</si>
  <si>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</si>
  <si>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</si>
  <si>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</si>
  <si>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</si>
  <si>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</si>
  <si>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</si>
  <si>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</si>
  <si>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</si>
  <si>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</si>
  <si>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</si>
  <si>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</si>
  <si>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</si>
  <si>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</si>
  <si>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</si>
  <si>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</si>
  <si>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</si>
  <si>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</si>
  <si>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</si>
  <si>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</si>
  <si>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</si>
  <si>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</si>
  <si>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</si>
  <si>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</si>
  <si>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</si>
  <si>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</si>
  <si>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</si>
  <si>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</si>
  <si>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</si>
  <si>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</si>
  <si>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</si>
  <si>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</si>
  <si>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</si>
  <si>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</si>
  <si>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</si>
  <si>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</si>
  <si>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</si>
  <si>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</si>
  <si>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</si>
  <si>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</si>
  <si>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</si>
  <si>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</si>
  <si>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</si>
  <si>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</si>
  <si>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</si>
  <si>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</si>
  <si>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</si>
  <si>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</si>
  <si>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</si>
  <si>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</si>
  <si>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</si>
  <si>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</si>
  <si>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</si>
  <si>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</si>
  <si>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</si>
  <si>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</si>
  <si>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</si>
  <si>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</si>
  <si>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</si>
  <si>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</si>
  <si>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</si>
  <si>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</si>
  <si>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</si>
  <si>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</si>
  <si>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</si>
  <si>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</si>
  <si>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</si>
  <si>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</si>
  <si>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</si>
  <si>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</si>
  <si>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</si>
  <si>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</si>
  <si>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</si>
  <si>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</si>
  <si>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</si>
  <si>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</si>
  <si>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</si>
  <si>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</si>
  <si>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</si>
  <si>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</si>
  <si>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</si>
  <si>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</si>
  <si>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</si>
  <si>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</si>
  <si>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</si>
  <si>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</si>
  <si>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</si>
  <si>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</si>
  <si>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</si>
  <si>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</si>
  <si>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</si>
  <si>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</si>
  <si>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</si>
  <si>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</si>
  <si>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</si>
  <si>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</si>
  <si>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</si>
  <si>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</si>
  <si>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</si>
  <si>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</si>
  <si>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</si>
  <si>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</si>
  <si>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</si>
  <si>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</si>
  <si>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</si>
  <si>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</si>
  <si>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</si>
  <si>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</si>
  <si>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</si>
  <si>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</si>
  <si>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</si>
  <si>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</si>
  <si>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</si>
  <si>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</si>
  <si>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</si>
  <si>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</si>
  <si>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</si>
  <si>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</si>
  <si>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</si>
  <si>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</si>
  <si>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</si>
  <si>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</si>
  <si>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</si>
  <si>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</si>
  <si>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</si>
  <si>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</si>
  <si>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</si>
  <si>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</si>
  <si>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</si>
  <si>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</si>
  <si>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</si>
  <si>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</si>
  <si>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</si>
  <si>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</si>
  <si>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</si>
  <si>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</si>
  <si>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</si>
  <si>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</si>
  <si>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</si>
  <si>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</si>
  <si>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</si>
  <si>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</si>
  <si>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</si>
  <si>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</si>
  <si>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</si>
  <si>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</si>
  <si>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</si>
  <si>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</si>
  <si>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</si>
  <si>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</si>
  <si>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</si>
  <si>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</si>
  <si>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</si>
  <si>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</si>
  <si>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</si>
  <si>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</si>
  <si>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</si>
  <si>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</si>
  <si>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</si>
  <si>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</si>
  <si>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</si>
  <si>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</si>
  <si>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</si>
  <si>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</si>
  <si>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</si>
  <si>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</si>
  <si>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</si>
  <si>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</si>
  <si>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</si>
  <si>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</si>
  <si>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</si>
  <si>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</si>
  <si>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</si>
  <si>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</si>
  <si>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</si>
  <si>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</si>
  <si>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</si>
  <si>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</si>
  <si>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</si>
  <si>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</si>
  <si>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</si>
  <si>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</si>
  <si>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</si>
  <si>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</si>
  <si>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</si>
  <si>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</si>
  <si>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</si>
  <si>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</si>
  <si>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</si>
  <si>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</si>
  <si>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</si>
  <si>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</si>
  <si>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</si>
  <si>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</si>
  <si>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</si>
  <si>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</si>
  <si>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</si>
  <si>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</si>
  <si>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</si>
  <si>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</si>
  <si>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</si>
  <si>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</si>
  <si>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</si>
  <si>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</si>
  <si>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</si>
  <si>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</si>
  <si>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</si>
  <si>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</si>
  <si>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</si>
  <si>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</si>
  <si>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</si>
  <si>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</si>
  <si>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</si>
  <si>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</si>
  <si>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</si>
  <si>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</si>
  <si>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</si>
  <si>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</si>
  <si>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</si>
  <si>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</si>
  <si>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</si>
  <si>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</si>
  <si>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</si>
  <si>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</si>
  <si>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</si>
  <si>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</si>
  <si>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</si>
  <si>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</si>
  <si>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</si>
  <si>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</si>
  <si>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</si>
  <si>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</si>
  <si>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</si>
  <si>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</si>
  <si>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</si>
  <si>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</si>
  <si>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</si>
  <si>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</si>
  <si>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</si>
  <si>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</si>
  <si>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</si>
  <si>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</si>
  <si>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</si>
  <si>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</si>
  <si>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</si>
  <si>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</si>
  <si>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</si>
  <si>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</si>
  <si>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</si>
  <si>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</si>
  <si>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</si>
  <si>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</si>
  <si>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</si>
  <si>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</si>
  <si>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</si>
  <si>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</si>
  <si>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</si>
  <si>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</si>
  <si>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</si>
  <si>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</si>
  <si>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</si>
  <si>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</si>
  <si>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</si>
  <si>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</si>
  <si>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</si>
  <si>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</si>
  <si>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</si>
  <si>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</si>
  <si>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</si>
  <si>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</si>
  <si>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</si>
  <si>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</si>
  <si>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</si>
  <si>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</si>
  <si>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</si>
  <si>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</si>
  <si>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</si>
  <si>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</si>
  <si>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</si>
  <si>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</si>
  <si>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</si>
  <si>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</si>
  <si>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</si>
  <si>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</si>
  <si>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</si>
  <si>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</si>
  <si>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</si>
  <si>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</si>
  <si>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</si>
  <si>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</si>
  <si>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</si>
  <si>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</si>
  <si>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</si>
  <si>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</si>
  <si>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</si>
  <si>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</si>
  <si>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</si>
  <si>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</si>
  <si>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</si>
  <si>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</si>
  <si>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</si>
  <si>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</si>
  <si>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</si>
  <si>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</si>
  <si>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</si>
  <si>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</si>
  <si>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</si>
  <si>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</si>
  <si>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</si>
  <si>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</si>
  <si>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</si>
  <si>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</si>
  <si>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</si>
  <si>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</si>
  <si>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</si>
  <si>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</si>
  <si>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</si>
  <si>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</si>
  <si>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</si>
  <si>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</si>
  <si>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</si>
  <si>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</si>
  <si>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</si>
  <si>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</si>
  <si>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</si>
  <si>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</si>
  <si>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</si>
  <si>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</si>
  <si>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</si>
  <si>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</si>
  <si>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</si>
  <si>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</si>
  <si>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</si>
  <si>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</si>
  <si>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</si>
  <si>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</si>
  <si>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</si>
  <si>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</si>
  <si>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</si>
  <si>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</si>
  <si>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</si>
  <si>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</si>
  <si>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</si>
  <si>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</si>
  <si>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</si>
  <si>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</si>
  <si>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</si>
  <si>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</si>
  <si>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</si>
  <si>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</si>
  <si>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</si>
  <si>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</si>
  <si>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</si>
  <si>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</si>
  <si>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</si>
  <si>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</si>
  <si>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</si>
  <si>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</si>
  <si>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</si>
  <si>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</si>
  <si>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</si>
  <si>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</si>
  <si>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</si>
  <si>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</si>
  <si>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</si>
  <si>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</si>
  <si>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</si>
  <si>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</si>
  <si>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</si>
  <si>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</si>
  <si>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</si>
  <si>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</si>
  <si>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</si>
  <si>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</si>
  <si>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</si>
  <si>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</si>
  <si>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</si>
  <si>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</si>
  <si>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</si>
  <si>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</si>
  <si>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</si>
  <si>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</si>
  <si>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</si>
  <si>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</si>
  <si>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</si>
  <si>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</si>
  <si>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</si>
  <si>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</si>
  <si>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</si>
  <si>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</si>
  <si>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</si>
  <si>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</si>
  <si>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</si>
  <si>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</si>
  <si>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</si>
  <si>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</si>
  <si>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</si>
  <si>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</si>
  <si>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</si>
  <si>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</si>
  <si>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</si>
  <si>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</si>
  <si>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</si>
  <si>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</si>
  <si>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</si>
  <si>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</si>
  <si>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</si>
  <si>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</si>
  <si>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</si>
  <si>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</si>
  <si>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</si>
  <si>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</si>
  <si>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</si>
  <si>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</si>
  <si>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</si>
  <si>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</si>
  <si>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</si>
  <si>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</si>
  <si>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</si>
  <si>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</si>
  <si>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</si>
  <si>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</si>
  <si>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</si>
  <si>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</si>
  <si>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</si>
  <si>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</si>
  <si>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</si>
  <si>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</si>
  <si>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</si>
  <si>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</si>
  <si>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</si>
  <si>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</si>
  <si>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</si>
  <si>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</si>
  <si>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</si>
  <si>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</si>
  <si>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</si>
  <si>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</si>
  <si>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</si>
  <si>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</si>
  <si>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</si>
  <si>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</si>
  <si>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</si>
  <si>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</si>
  <si>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</si>
  <si>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</si>
  <si>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</si>
  <si>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</si>
  <si>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</si>
  <si>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</si>
  <si>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</si>
  <si>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</si>
  <si>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</si>
  <si>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</si>
  <si>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</si>
  <si>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</si>
  <si>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</si>
  <si>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</si>
  <si>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</si>
  <si>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</si>
  <si>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</si>
  <si>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</si>
  <si>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</si>
  <si>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</si>
  <si>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</si>
  <si>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</si>
  <si>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</si>
  <si>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</si>
  <si>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</si>
  <si>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</si>
  <si>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</si>
  <si>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</si>
  <si>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</si>
  <si>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</si>
  <si>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</si>
  <si>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</si>
  <si>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</si>
  <si>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</si>
  <si>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</si>
  <si>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</si>
  <si>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</si>
  <si>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</si>
  <si>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</si>
  <si>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</si>
  <si>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</si>
  <si>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</si>
  <si>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</si>
  <si>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</si>
  <si>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</si>
  <si>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</si>
  <si>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</si>
  <si>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</si>
  <si>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</si>
  <si>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</si>
  <si>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</si>
  <si>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</si>
  <si>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</si>
  <si>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</si>
  <si>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</si>
  <si>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</si>
  <si>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</si>
  <si>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</si>
  <si>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</si>
  <si>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</si>
  <si>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</si>
  <si>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</si>
  <si>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</si>
  <si>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</si>
  <si>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</si>
  <si>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</si>
  <si>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</si>
  <si>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</si>
  <si>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</si>
  <si>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</si>
  <si>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</si>
  <si>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</si>
  <si>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</si>
  <si>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</si>
  <si>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</si>
  <si>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</si>
  <si>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</si>
  <si>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</si>
  <si>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</si>
  <si>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</si>
  <si>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</si>
  <si>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</si>
  <si>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</si>
  <si>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</si>
  <si>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</si>
  <si>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</si>
  <si>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</si>
  <si>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</si>
  <si>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</si>
  <si>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</si>
  <si>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</si>
  <si>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</si>
  <si>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</si>
  <si>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</si>
  <si>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</si>
  <si>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</si>
  <si>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</si>
  <si>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</si>
  <si>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</si>
  <si>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</si>
  <si>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</si>
  <si>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</si>
  <si>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</si>
  <si>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</si>
  <si>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</si>
  <si>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</si>
  <si>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</si>
  <si>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</si>
  <si>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</si>
  <si>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</si>
  <si>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</si>
  <si>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</si>
  <si>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</si>
  <si>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</si>
  <si>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</si>
  <si>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</si>
  <si>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</si>
  <si>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</si>
  <si>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</si>
  <si>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</si>
  <si>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</si>
  <si>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</si>
  <si>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</si>
  <si>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</si>
  <si>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</si>
  <si>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</si>
  <si>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</si>
  <si>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</si>
  <si>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</si>
  <si>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</si>
  <si>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</si>
  <si>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</si>
  <si>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</si>
  <si>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</si>
  <si>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</si>
  <si>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</si>
  <si>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</si>
  <si>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</si>
  <si>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</si>
  <si>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</si>
  <si>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</si>
  <si>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</si>
  <si>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</si>
  <si>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</si>
  <si>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</si>
  <si>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</si>
  <si>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</si>
  <si>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</si>
  <si>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</si>
  <si>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</si>
  <si>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</si>
  <si>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</si>
  <si>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</si>
  <si>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</si>
  <si>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</si>
  <si>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</si>
  <si>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</si>
  <si>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</si>
  <si>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</si>
  <si>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</si>
  <si>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</si>
  <si>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</si>
  <si>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</si>
  <si>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</si>
  <si>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</si>
  <si>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</si>
  <si>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</si>
  <si>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</si>
  <si>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</si>
  <si>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</si>
  <si>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</si>
  <si>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</si>
  <si>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</si>
  <si>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</si>
  <si>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</si>
  <si>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</si>
  <si>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</si>
  <si>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</si>
  <si>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</si>
  <si>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</si>
  <si>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</si>
  <si>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</si>
  <si>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</si>
  <si>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</si>
  <si>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</si>
  <si>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</si>
  <si>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</si>
  <si>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</si>
  <si>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</si>
  <si>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</si>
  <si>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</si>
  <si>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</si>
  <si>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</si>
  <si>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</si>
  <si>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</si>
  <si>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</si>
  <si>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</si>
  <si>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</si>
  <si>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</si>
  <si>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</si>
  <si>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</si>
  <si>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</si>
  <si>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</si>
  <si>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</si>
  <si>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</si>
  <si>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</si>
  <si>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</si>
  <si>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</si>
  <si>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</si>
  <si>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</si>
  <si>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</si>
  <si>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</si>
  <si>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</si>
  <si>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</si>
  <si>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</si>
  <si>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</si>
  <si>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</si>
  <si>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</si>
  <si>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</si>
  <si>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</si>
  <si>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</si>
  <si>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</si>
  <si>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</si>
  <si>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</si>
  <si>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</si>
  <si>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</si>
  <si>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</si>
  <si>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</si>
  <si>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</si>
  <si>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</si>
  <si>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</si>
  <si>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</si>
  <si>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</si>
  <si>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</si>
  <si>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</si>
  <si>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</si>
  <si>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</si>
  <si>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</si>
  <si>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</si>
  <si>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</si>
  <si>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</si>
  <si>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</si>
  <si>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</si>
  <si>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</si>
  <si>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</si>
  <si>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</si>
  <si>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</si>
  <si>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</si>
  <si>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</si>
  <si>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</si>
  <si>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</si>
  <si>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</si>
  <si>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</si>
  <si>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</si>
  <si>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</si>
  <si>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</si>
  <si>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</si>
  <si>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</si>
  <si>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</si>
  <si>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</si>
  <si>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</si>
  <si>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</si>
  <si>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</si>
  <si>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</si>
  <si>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</si>
  <si>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</si>
  <si>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</si>
  <si>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</si>
  <si>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</si>
  <si>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</si>
  <si>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</si>
  <si>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</si>
  <si>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</si>
  <si>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</si>
  <si>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</si>
  <si>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</si>
  <si>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</si>
  <si>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</si>
  <si>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</si>
  <si>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</si>
  <si>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</si>
  <si>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</si>
  <si>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</si>
  <si>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</si>
  <si>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</si>
  <si>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</si>
  <si>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</si>
  <si>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</si>
  <si>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</si>
  <si>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</si>
  <si>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</si>
  <si>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</si>
  <si>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</si>
  <si>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</si>
  <si>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</si>
  <si>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</si>
  <si>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</si>
  <si>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</si>
  <si>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</si>
  <si>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</si>
  <si>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</si>
  <si>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</si>
  <si>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</si>
  <si>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</si>
  <si>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</si>
  <si>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</si>
  <si>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</si>
  <si>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</si>
  <si>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</si>
  <si>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</si>
  <si>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</si>
  <si>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</si>
  <si>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</si>
  <si>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</si>
  <si>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</si>
  <si>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</si>
  <si>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</si>
  <si>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</si>
  <si>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</si>
  <si>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</si>
  <si>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</si>
  <si>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</si>
  <si>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</si>
  <si>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</si>
  <si>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</si>
  <si>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</si>
  <si>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</si>
  <si>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</si>
  <si>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</si>
  <si>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</si>
  <si>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</si>
  <si>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</si>
  <si>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</si>
  <si>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</si>
  <si>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</si>
  <si>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</si>
  <si>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</si>
  <si>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</si>
  <si>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</si>
  <si>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</si>
  <si>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</si>
  <si>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</si>
  <si>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</si>
  <si>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</si>
  <si>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</si>
  <si>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</si>
  <si>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</si>
  <si>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</si>
  <si>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</si>
  <si>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</si>
  <si>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</si>
  <si>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</si>
  <si>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</si>
  <si>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</si>
  <si>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</si>
  <si>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</si>
  <si>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</si>
  <si>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</si>
  <si>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</si>
  <si>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</si>
  <si>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</si>
  <si>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</si>
  <si>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</si>
  <si>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</si>
  <si>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</si>
  <si>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</si>
  <si>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</si>
  <si>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</si>
  <si>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</si>
  <si>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</si>
  <si>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</si>
  <si>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</si>
  <si>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</si>
  <si>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</si>
  <si>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</si>
  <si>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</si>
  <si>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</si>
  <si>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</si>
  <si>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</si>
  <si>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</si>
  <si>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</si>
  <si>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</si>
  <si>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</si>
  <si>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</si>
  <si>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</si>
  <si>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</si>
  <si>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</si>
  <si>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</si>
  <si>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</si>
  <si>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</si>
  <si>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</si>
  <si>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</si>
  <si>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</si>
  <si>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</si>
  <si>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</si>
  <si>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</si>
  <si>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</si>
  <si>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</si>
  <si>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</si>
  <si>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</si>
  <si>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</si>
  <si>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</si>
  <si>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</si>
  <si>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</si>
  <si>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</si>
  <si>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</si>
  <si>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</si>
  <si>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</si>
  <si>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</si>
  <si>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</si>
  <si>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</si>
  <si>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</si>
  <si>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</si>
  <si>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</si>
  <si>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</si>
  <si>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</si>
  <si>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</si>
  <si>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</si>
  <si>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</si>
  <si>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</si>
  <si>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</si>
  <si>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</si>
  <si>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</si>
  <si>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</si>
  <si>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</si>
  <si>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</si>
  <si>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</si>
  <si>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</si>
  <si>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</si>
  <si>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</si>
  <si>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</si>
  <si>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</si>
  <si>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</si>
  <si>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</si>
  <si>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</si>
  <si>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</si>
  <si>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</si>
  <si>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</si>
  <si>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</si>
  <si>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</si>
  <si>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</si>
  <si>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</si>
  <si>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</si>
  <si>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</si>
  <si>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</si>
  <si>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</si>
  <si>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</si>
  <si>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</si>
  <si>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</si>
  <si>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</si>
  <si>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</si>
  <si>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</si>
  <si>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</si>
  <si>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</si>
  <si>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</si>
  <si>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</si>
  <si>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</si>
  <si>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</si>
  <si>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</si>
  <si>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</si>
  <si>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</si>
  <si>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</si>
  <si>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</si>
  <si>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</si>
  <si>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</si>
  <si>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</si>
  <si>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</si>
  <si>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</si>
  <si>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</si>
  <si>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</si>
  <si>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</si>
  <si>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</si>
  <si>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</si>
  <si>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</si>
  <si>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</si>
  <si>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</si>
  <si>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</si>
  <si>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</si>
  <si>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</si>
  <si>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</si>
  <si>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</si>
  <si>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</si>
  <si>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</si>
  <si>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</si>
  <si>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</si>
  <si>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</si>
  <si>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</si>
  <si>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</si>
  <si>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</si>
  <si>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</si>
  <si>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</si>
  <si>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</si>
  <si>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</si>
  <si>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</si>
  <si>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</si>
  <si>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</si>
  <si>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</si>
  <si>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</si>
  <si>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</si>
  <si>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</si>
  <si>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</si>
  <si>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</si>
  <si>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</si>
  <si>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</si>
  <si>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</si>
  <si>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</si>
  <si>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</si>
  <si>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</si>
  <si>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</si>
  <si>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</si>
  <si>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</si>
  <si>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</si>
  <si>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</si>
  <si>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</si>
  <si>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</si>
  <si>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</si>
  <si>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</si>
  <si>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</si>
  <si>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</si>
  <si>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</si>
  <si>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</si>
  <si>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</si>
  <si>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</si>
  <si>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</si>
  <si>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</si>
  <si>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</si>
  <si>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</si>
  <si>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</si>
  <si>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</si>
  <si>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</si>
  <si>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</si>
  <si>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</si>
  <si>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</si>
  <si>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</si>
  <si>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</si>
  <si>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</si>
  <si>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</si>
  <si>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</si>
  <si>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</si>
  <si>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</si>
  <si>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</si>
  <si>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</si>
  <si>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</si>
  <si>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</si>
  <si>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</si>
  <si>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</si>
  <si>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</si>
  <si>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</si>
  <si>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</si>
  <si>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</si>
  <si>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</si>
  <si>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</si>
  <si>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</si>
  <si>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</si>
  <si>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</si>
  <si>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</si>
  <si>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</si>
  <si>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</si>
  <si>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</si>
  <si>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</si>
  <si>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</si>
  <si>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</si>
  <si>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</si>
  <si>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</si>
  <si>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</si>
  <si>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</si>
  <si>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</si>
  <si>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</si>
  <si>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</si>
  <si>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</si>
  <si>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</si>
  <si>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</si>
  <si>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</si>
  <si>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</si>
  <si>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</si>
  <si>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</si>
  <si>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</si>
  <si>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</si>
  <si>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</si>
  <si>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</si>
  <si>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</si>
  <si>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</si>
  <si>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</si>
  <si>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</si>
  <si>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</si>
  <si>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</si>
  <si>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</si>
  <si>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</si>
  <si>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</si>
  <si>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</si>
  <si>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</si>
  <si>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</si>
  <si>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</si>
  <si>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</si>
  <si>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</si>
  <si>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</si>
  <si>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</si>
  <si>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</si>
  <si>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</si>
  <si>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</si>
  <si>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</si>
  <si>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</si>
  <si>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</si>
  <si>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</si>
  <si>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</si>
  <si>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</si>
  <si>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</si>
  <si>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</si>
  <si>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</si>
  <si>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</si>
  <si>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</si>
  <si>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</si>
  <si>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</si>
  <si>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</si>
  <si>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</si>
  <si>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</si>
  <si>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</si>
  <si>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</si>
  <si>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</si>
  <si>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</si>
  <si>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</si>
  <si>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</si>
  <si>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</si>
  <si>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</si>
  <si>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</si>
  <si>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</si>
  <si>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</si>
  <si>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</si>
  <si>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</si>
  <si>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</si>
  <si>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</si>
  <si>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</si>
  <si>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</si>
  <si>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</si>
  <si>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</si>
  <si>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</si>
  <si>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</si>
  <si>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</si>
  <si>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</si>
  <si>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</si>
  <si>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</si>
  <si>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</si>
  <si>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</si>
  <si>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</si>
  <si>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</si>
  <si>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</si>
  <si>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</si>
  <si>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</si>
  <si>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</si>
  <si>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</si>
  <si>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</si>
  <si>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</si>
  <si>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</si>
  <si>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</si>
  <si>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</si>
  <si>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</si>
  <si>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</si>
  <si>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</si>
  <si>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</si>
  <si>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</si>
  <si>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</si>
  <si>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</si>
  <si>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</si>
  <si>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</si>
  <si>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</si>
  <si>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</si>
  <si>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</si>
  <si>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</si>
  <si>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</si>
  <si>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</si>
  <si>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</si>
  <si>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</si>
  <si>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</si>
  <si>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</si>
  <si>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</si>
  <si>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</si>
  <si>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</si>
  <si>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</si>
  <si>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</si>
  <si>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</si>
  <si>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</si>
  <si>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</si>
  <si>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</si>
  <si>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</si>
  <si>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</si>
  <si>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</si>
  <si>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</si>
  <si>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</si>
  <si>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</si>
  <si>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</si>
  <si>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</si>
  <si>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</si>
  <si>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</si>
  <si>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</si>
  <si>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</si>
  <si>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</si>
  <si>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</si>
  <si>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</si>
  <si>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</si>
  <si>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</si>
  <si>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</si>
  <si>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</si>
  <si>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</si>
  <si>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</si>
  <si>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</si>
  <si>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</si>
  <si>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</si>
  <si>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</si>
  <si>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</si>
  <si>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</si>
  <si>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</si>
  <si>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</si>
  <si>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</si>
  <si>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</si>
  <si>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</si>
  <si>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</si>
  <si>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</si>
  <si>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</si>
  <si>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</si>
  <si>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</si>
  <si>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</si>
  <si>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</si>
  <si>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</si>
  <si>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</si>
  <si>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</si>
  <si>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</si>
  <si>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</si>
  <si>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</si>
  <si>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</si>
  <si>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</si>
  <si>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</si>
  <si>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</si>
  <si>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</si>
  <si>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</si>
  <si>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</si>
  <si>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</si>
  <si>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</si>
  <si>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</si>
  <si>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</si>
  <si>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</si>
  <si>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</si>
  <si>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</si>
  <si>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</si>
  <si>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</si>
  <si>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</si>
  <si>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</si>
  <si>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</si>
  <si>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</si>
  <si>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</si>
  <si>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</si>
  <si>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</si>
  <si>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</si>
  <si>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</si>
  <si>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</si>
  <si>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</si>
  <si>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</si>
  <si>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</si>
  <si>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</si>
  <si>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</si>
  <si>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</si>
  <si>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</si>
  <si>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</si>
  <si>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</si>
  <si>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</si>
  <si>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</si>
  <si>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</si>
  <si>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</si>
  <si>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</si>
  <si>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</si>
  <si>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</si>
  <si>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</si>
  <si>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</si>
  <si>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</si>
  <si>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</si>
  <si>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</si>
  <si>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</si>
  <si>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</si>
  <si>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</si>
  <si>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</si>
  <si>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</si>
  <si>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</si>
  <si>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</si>
  <si>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</si>
  <si>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</si>
  <si>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</si>
  <si>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</si>
  <si>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</si>
  <si>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</si>
  <si>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</si>
  <si>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</si>
  <si>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</si>
  <si>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</si>
  <si>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</si>
  <si>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</si>
  <si>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</si>
  <si>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</si>
  <si>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</si>
  <si>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</si>
  <si>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</si>
  <si>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</si>
  <si>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</si>
  <si>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</si>
  <si>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</si>
  <si>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</si>
  <si>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</si>
  <si>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</si>
  <si>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</si>
  <si>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</si>
  <si>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</si>
  <si>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</si>
  <si>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</si>
  <si>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</si>
  <si>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</si>
  <si>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</si>
  <si>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</si>
  <si>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</si>
  <si>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</si>
  <si>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</si>
  <si>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</si>
  <si>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</si>
  <si>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</si>
  <si>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</si>
  <si>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</si>
  <si>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</si>
  <si>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</si>
  <si>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</si>
  <si>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</si>
  <si>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</si>
  <si>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</si>
  <si>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</si>
  <si>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</si>
  <si>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</si>
  <si>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</si>
  <si>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</si>
  <si>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</si>
  <si>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</si>
  <si>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</si>
  <si>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</si>
  <si>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</si>
  <si>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</si>
  <si>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</si>
  <si>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</si>
  <si>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</si>
  <si>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</si>
  <si>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</si>
  <si>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</si>
  <si>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</si>
  <si>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</si>
  <si>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</si>
  <si>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</si>
  <si>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</si>
  <si>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</si>
  <si>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</si>
  <si>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</si>
  <si>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</si>
  <si>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</si>
  <si>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</si>
  <si>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</si>
  <si>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</si>
  <si>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</si>
  <si>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</si>
  <si>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</si>
  <si>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</si>
  <si>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</si>
  <si>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</si>
  <si>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</si>
  <si>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</si>
  <si>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</si>
  <si>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</si>
  <si>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</si>
  <si>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</si>
  <si>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</si>
  <si>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</si>
  <si>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</si>
  <si>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</si>
  <si>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</si>
  <si>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</si>
  <si>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</si>
  <si>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</si>
  <si>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</si>
  <si>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</si>
  <si>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</si>
  <si>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</si>
  <si>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</si>
  <si>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</si>
  <si>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</si>
  <si>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</si>
  <si>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</si>
  <si>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</si>
  <si>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</si>
  <si>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</si>
  <si>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</si>
  <si>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</si>
  <si>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</si>
  <si>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</si>
  <si>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</si>
  <si>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</si>
  <si>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</si>
  <si>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</si>
  <si>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</si>
  <si>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</si>
  <si>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</si>
  <si>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</si>
  <si>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</si>
  <si>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</si>
  <si>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</si>
  <si>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</si>
  <si>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</si>
  <si>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</si>
  <si>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</si>
  <si>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</si>
  <si>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</si>
  <si>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</si>
  <si>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</si>
  <si>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</si>
  <si>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</si>
  <si>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</si>
  <si>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</si>
  <si>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</si>
  <si>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</si>
  <si>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</si>
  <si>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</si>
  <si>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</si>
  <si>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</si>
  <si>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</si>
  <si>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</si>
  <si>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</si>
  <si>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</si>
  <si>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</si>
  <si>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</si>
  <si>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</si>
  <si>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</si>
  <si>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</si>
  <si>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</si>
  <si>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</si>
  <si>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</si>
  <si>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</si>
  <si>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</si>
  <si>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</si>
  <si>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</si>
  <si>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</si>
  <si>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</si>
  <si>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</si>
  <si>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</si>
  <si>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</si>
  <si>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</si>
  <si>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</si>
  <si>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</si>
  <si>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</si>
  <si>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</si>
  <si>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</si>
  <si>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</si>
  <si>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</si>
  <si>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</si>
  <si>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</si>
  <si>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</si>
  <si>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</si>
  <si>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</si>
  <si>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</si>
  <si>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</si>
  <si>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</si>
  <si>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</si>
  <si>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</si>
  <si>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</si>
  <si>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</si>
  <si>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</si>
  <si>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</si>
  <si>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</si>
  <si>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</si>
  <si>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</si>
  <si>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</si>
  <si>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</si>
  <si>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</si>
  <si>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</si>
  <si>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</si>
  <si>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</si>
  <si>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</si>
  <si>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</si>
  <si>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</si>
  <si>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</si>
  <si>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</si>
  <si>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</si>
  <si>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</si>
  <si>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</si>
  <si>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</si>
  <si>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</si>
  <si>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</si>
  <si>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</si>
  <si>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</si>
  <si>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</si>
  <si>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</si>
  <si>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</si>
  <si>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</si>
  <si>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</si>
  <si>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</si>
  <si>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</si>
  <si>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</si>
  <si>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</si>
  <si>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</si>
  <si>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</si>
  <si>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</si>
  <si>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</si>
  <si>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</si>
  <si>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</si>
  <si>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</si>
  <si>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</si>
  <si>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</si>
  <si>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</si>
  <si>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</si>
  <si>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</si>
  <si>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</si>
  <si>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</si>
  <si>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</si>
  <si>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</si>
  <si>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</si>
  <si>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</si>
  <si>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</si>
  <si>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</si>
  <si>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</si>
  <si>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</si>
  <si>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</si>
  <si>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</si>
  <si>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</si>
  <si>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</si>
  <si>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</si>
  <si>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</si>
  <si>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</si>
  <si>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</si>
  <si>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</si>
  <si>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</si>
  <si>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</si>
  <si>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</si>
  <si>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</si>
  <si>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</si>
  <si>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</si>
  <si>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</si>
  <si>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</si>
  <si>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</si>
  <si>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</si>
  <si>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</si>
  <si>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</si>
  <si>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</si>
  <si>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</si>
  <si>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</si>
  <si>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</si>
  <si>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</si>
  <si>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</si>
  <si>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</si>
  <si>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</si>
  <si>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</si>
  <si>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</si>
  <si>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</si>
  <si>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</si>
  <si>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</si>
  <si>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</si>
  <si>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</si>
  <si>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</si>
  <si>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</si>
  <si>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</si>
  <si>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</si>
  <si>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</si>
  <si>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</si>
  <si>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</si>
  <si>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</si>
  <si>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</si>
  <si>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</si>
  <si>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</si>
  <si>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</si>
  <si>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</si>
  <si>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</si>
  <si>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</si>
  <si>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</si>
  <si>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</si>
  <si>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</si>
  <si>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</si>
  <si>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</si>
  <si>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</si>
  <si>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</si>
  <si>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</si>
  <si>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</si>
  <si>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</si>
  <si>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</si>
  <si>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</si>
  <si>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</si>
  <si>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</si>
  <si>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</si>
  <si>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</si>
  <si>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</si>
  <si>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</si>
  <si>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</si>
  <si>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</si>
  <si>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</si>
  <si>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</si>
  <si>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</si>
  <si>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</si>
  <si>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</si>
  <si>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</si>
  <si>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</si>
  <si>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</si>
  <si>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</si>
  <si>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</si>
  <si>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</si>
  <si>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</si>
  <si>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</si>
  <si>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</si>
  <si>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</si>
  <si>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</si>
  <si>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</si>
  <si>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</si>
  <si>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</si>
  <si>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</si>
  <si>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</si>
  <si>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</si>
  <si>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</si>
  <si>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</si>
  <si>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</si>
  <si>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</si>
  <si>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</si>
  <si>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</si>
  <si>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</si>
  <si>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</si>
  <si>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</si>
  <si>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</si>
  <si>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</si>
  <si>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</si>
  <si>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</si>
  <si>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</si>
  <si>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</si>
  <si>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</si>
  <si>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</si>
  <si>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</si>
  <si>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</si>
  <si>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</si>
  <si>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</si>
  <si>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</si>
  <si>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</si>
  <si>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</si>
  <si>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</si>
  <si>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</si>
  <si>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</si>
  <si>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</si>
  <si>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</si>
  <si>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</si>
  <si>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</si>
  <si>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</si>
  <si>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</si>
  <si>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</si>
  <si>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</si>
  <si>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</si>
  <si>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</si>
  <si>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</si>
  <si>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</si>
  <si>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</si>
  <si>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</si>
  <si>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</si>
  <si>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</si>
  <si>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</si>
  <si>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</si>
  <si>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</si>
  <si>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</si>
  <si>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</si>
  <si>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</si>
  <si>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</si>
  <si>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</si>
  <si>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</si>
  <si>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</si>
  <si>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</si>
  <si>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</si>
  <si>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</si>
  <si>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</si>
  <si>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</si>
  <si>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</si>
  <si>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</si>
  <si>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</si>
  <si>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</si>
  <si>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</si>
  <si>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</si>
  <si>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</si>
  <si>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</si>
  <si>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</si>
  <si>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</si>
  <si>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</si>
  <si>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</si>
  <si>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</si>
  <si>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</si>
  <si>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</si>
  <si>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</si>
  <si>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</si>
  <si>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</si>
  <si>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</si>
  <si>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</si>
  <si>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</si>
  <si>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</si>
  <si>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</si>
  <si>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</si>
  <si>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</si>
  <si>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</si>
  <si>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</si>
  <si>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</si>
  <si>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</si>
  <si>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</si>
  <si>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</si>
  <si>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</si>
  <si>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</si>
  <si>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</si>
  <si>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</si>
  <si>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</si>
  <si>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</si>
  <si>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</si>
  <si>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</si>
  <si>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</si>
  <si>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</si>
  <si>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</si>
  <si>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</si>
  <si>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</si>
  <si>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</si>
  <si>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</si>
  <si>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</si>
  <si>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</si>
  <si>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</si>
  <si>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</si>
  <si>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</si>
  <si>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</si>
  <si>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</si>
  <si>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</si>
  <si>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</si>
  <si>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</si>
  <si>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</si>
  <si>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</si>
  <si>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</si>
  <si>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</si>
  <si>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</si>
  <si>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</si>
  <si>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</si>
  <si>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</si>
  <si>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</si>
  <si>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</si>
  <si>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</si>
  <si>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</si>
  <si>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</si>
  <si>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</si>
  <si>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</si>
  <si>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</si>
  <si>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</si>
  <si>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</si>
  <si>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</si>
  <si>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</si>
  <si>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</si>
  <si>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</si>
  <si>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</si>
  <si>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</si>
  <si>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</si>
  <si>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北京万永房地产开发有限公司</t>
    <phoneticPr fontId="6" type="noConversion"/>
  </si>
  <si>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</si>
  <si>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</si>
  <si>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</si>
  <si>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</si>
  <si>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</si>
  <si>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</si>
  <si>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</si>
  <si>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</si>
  <si>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</si>
  <si>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</si>
  <si>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</si>
  <si>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</si>
  <si>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</si>
  <si>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</si>
  <si>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</si>
  <si>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</si>
  <si>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</si>
  <si>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</si>
  <si>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</si>
  <si>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</si>
  <si>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</si>
  <si>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《不动产权证书》[京（2017）海不动产权第0000099号]</t>
    <phoneticPr fontId="3" type="noConversion"/>
  </si>
  <si>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</si>
  <si>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</si>
  <si>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</si>
  <si>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</si>
  <si>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</si>
  <si>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</si>
  <si>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</si>
  <si>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</si>
  <si>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</si>
  <si>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</si>
  <si>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</si>
  <si>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</si>
  <si>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</si>
  <si>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</si>
  <si>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</si>
  <si>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</si>
  <si>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</si>
  <si>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</si>
  <si>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</si>
  <si>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</si>
  <si>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</si>
  <si>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</si>
  <si>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</si>
  <si>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</si>
  <si>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</si>
  <si>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</si>
  <si>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</si>
  <si>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</si>
  <si>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</si>
  <si>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</si>
  <si>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</si>
  <si>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</si>
  <si>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</si>
  <si>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</si>
  <si>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</si>
  <si>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</si>
  <si>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</si>
  <si>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</si>
  <si>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</si>
  <si>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</si>
  <si>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</si>
  <si>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</si>
  <si>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</si>
  <si>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</si>
  <si>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</si>
  <si>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</si>
  <si>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</si>
  <si>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</si>
  <si>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</si>
  <si>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</si>
  <si>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</si>
  <si>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</si>
  <si>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</si>
  <si>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</si>
  <si>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</si>
  <si>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</si>
  <si>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</si>
  <si>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</si>
  <si>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</si>
  <si>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</si>
  <si>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</si>
  <si>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</si>
  <si>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</si>
  <si>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</si>
  <si>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</si>
  <si>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</si>
  <si>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</si>
  <si>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</si>
  <si>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</si>
  <si>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</si>
  <si>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</si>
  <si>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</si>
  <si>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</si>
  <si>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</si>
  <si>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</si>
  <si>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</si>
  <si>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</si>
  <si>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</si>
  <si>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</si>
  <si>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</si>
  <si>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</si>
  <si>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</si>
  <si>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</si>
  <si>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</si>
  <si>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</si>
  <si>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</si>
  <si>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</si>
  <si>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</si>
  <si>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</si>
  <si>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</si>
  <si>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</si>
  <si>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</si>
  <si>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</si>
  <si>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</si>
  <si>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</si>
  <si>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</si>
  <si>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</si>
  <si>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</si>
  <si>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</si>
  <si>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</si>
  <si>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</si>
  <si>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</si>
  <si>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</si>
  <si>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</si>
  <si>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</si>
  <si>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</si>
  <si>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</si>
  <si>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</si>
  <si>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</si>
  <si>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</si>
  <si>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</si>
  <si>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</si>
  <si>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</si>
  <si>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</si>
  <si>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</si>
  <si>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</si>
  <si>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</si>
  <si>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</si>
  <si>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</si>
  <si>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</si>
  <si>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</si>
  <si>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</si>
  <si>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</si>
  <si>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</si>
  <si>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</si>
  <si>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</si>
  <si>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</si>
  <si>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</si>
  <si>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</si>
  <si>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</si>
  <si>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</si>
  <si>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</si>
  <si>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</si>
  <si>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</si>
  <si>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</si>
  <si>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</si>
  <si>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</si>
  <si>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</si>
  <si>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</si>
  <si>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</si>
  <si>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</si>
  <si>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</si>
  <si>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</si>
  <si>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</si>
  <si>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</si>
  <si>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</si>
  <si>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</si>
  <si>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</si>
  <si>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</si>
  <si>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</si>
  <si>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</si>
  <si>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</si>
  <si>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</si>
  <si>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</si>
  <si>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</si>
  <si>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</si>
  <si>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</si>
  <si>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</si>
  <si>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</si>
  <si>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</si>
  <si>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</si>
  <si>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</si>
  <si>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</si>
  <si>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</si>
  <si>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</si>
  <si>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</si>
  <si>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</si>
  <si>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</si>
  <si>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</si>
  <si>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</si>
  <si>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</si>
  <si>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</si>
  <si>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</si>
  <si>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</si>
  <si>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</si>
  <si>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</si>
  <si>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</si>
  <si>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</si>
  <si>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</si>
  <si>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</si>
  <si>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</si>
  <si>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</si>
  <si>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</si>
  <si>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</si>
  <si>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</si>
  <si>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</si>
  <si>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</si>
  <si>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</si>
  <si>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</si>
  <si>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</si>
  <si>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</si>
  <si>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</si>
  <si>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</si>
  <si>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</si>
  <si>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</si>
  <si>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</si>
  <si>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</si>
  <si>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</si>
  <si>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</si>
  <si>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</si>
  <si>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</si>
  <si>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</si>
  <si>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</si>
  <si>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</si>
  <si>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</si>
  <si>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</si>
  <si>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</si>
  <si>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</si>
  <si>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</si>
  <si>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</si>
  <si>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</si>
  <si>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</si>
  <si>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</si>
  <si>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</si>
  <si>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</si>
  <si>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</si>
  <si>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</si>
  <si>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</si>
  <si>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</si>
  <si>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</si>
  <si>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</si>
  <si>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</si>
  <si>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</si>
  <si>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</si>
  <si>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</si>
  <si>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</si>
  <si>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</si>
  <si>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</si>
  <si>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</si>
  <si>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</si>
  <si>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</si>
  <si>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</si>
  <si>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</si>
  <si>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</si>
  <si>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</si>
  <si>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</si>
  <si>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</si>
  <si>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</si>
  <si>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</si>
  <si>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</si>
  <si>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</si>
  <si>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</si>
  <si>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</si>
  <si>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</si>
  <si>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</si>
  <si>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</si>
  <si>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</si>
  <si>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</si>
  <si>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</si>
  <si>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</si>
  <si>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</si>
  <si>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</si>
  <si>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</si>
  <si>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</si>
  <si>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</si>
  <si>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</si>
  <si>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</si>
  <si>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</si>
  <si>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</si>
  <si>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</si>
  <si>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</si>
  <si>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</si>
  <si>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</si>
  <si>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</si>
  <si>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</si>
  <si>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</si>
  <si>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</si>
  <si>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朝阳区管庄乡塔营村1208-605地块</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</si>
  <si>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</si>
  <si>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</si>
  <si>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</si>
  <si>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</si>
  <si>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</si>
  <si>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</si>
  <si>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</si>
  <si>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</si>
  <si>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</si>
  <si>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</si>
  <si>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</si>
  <si>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</si>
  <si>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</si>
  <si>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</si>
  <si>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</si>
  <si>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</si>
  <si>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</si>
  <si>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</si>
  <si>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</si>
  <si>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</si>
  <si>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</si>
  <si>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</si>
  <si>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</si>
  <si>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</si>
  <si>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</si>
  <si>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</si>
  <si>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</si>
  <si>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</si>
  <si>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</si>
  <si>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</si>
  <si>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</si>
  <si>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</si>
  <si>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</si>
  <si>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</si>
  <si>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</si>
  <si>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</si>
  <si>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</si>
  <si>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</si>
  <si>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</si>
  <si>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</si>
  <si>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</si>
  <si>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</si>
  <si>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</si>
  <si>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</si>
  <si>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</si>
  <si>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</si>
  <si>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</si>
  <si>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</si>
  <si>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</si>
  <si>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</si>
  <si>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</si>
  <si>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</si>
  <si>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</si>
  <si>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</si>
  <si>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</si>
  <si>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</si>
  <si>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</si>
  <si>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</si>
  <si>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</si>
  <si>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</si>
  <si>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</si>
  <si>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</si>
  <si>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</si>
  <si>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r>
      <t>68.77</t>
    </r>
    <r>
      <rPr>
        <sz val="11"/>
        <color rgb="FFFF0000"/>
        <rFont val="宋体"/>
        <family val="3"/>
        <charset val="134"/>
      </rPr>
      <t>、</t>
    </r>
    <r>
      <rPr>
        <sz val="11"/>
        <color rgb="FFFF0000"/>
        <rFont val="Arial"/>
        <family val="2"/>
      </rPr>
      <t>48.76</t>
    </r>
    <r>
      <rPr>
        <sz val="11"/>
        <color rgb="FFFF0000"/>
        <rFont val="宋体"/>
        <family val="3"/>
        <charset val="134"/>
      </rPr>
      <t>、</t>
    </r>
    <r>
      <rPr>
        <sz val="11"/>
        <color rgb="FFFF0000"/>
        <rFont val="Arial"/>
        <family val="2"/>
      </rPr>
      <t>38.75</t>
    </r>
    <phoneticPr fontId="26" type="noConversion"/>
  </si>
  <si>
    <t>居住全部为共有产权住房</t>
    <phoneticPr fontId="26" type="noConversion"/>
  </si>
  <si>
    <t>居住全部为自住型商品房</t>
    <phoneticPr fontId="26" type="noConversion"/>
  </si>
  <si>
    <t>六通</t>
  </si>
  <si>
    <t>多面临街</t>
  </si>
  <si>
    <r>
      <t>R2</t>
    </r>
    <r>
      <rPr>
        <sz val="11"/>
        <color indexed="8"/>
        <rFont val="宋体"/>
        <family val="3"/>
        <charset val="134"/>
      </rPr>
      <t>二类居住用地、</t>
    </r>
    <r>
      <rPr>
        <sz val="11"/>
        <color indexed="8"/>
        <rFont val="Arial"/>
        <family val="2"/>
      </rPr>
      <t>A8</t>
    </r>
    <r>
      <rPr>
        <sz val="11"/>
        <color indexed="8"/>
        <rFont val="宋体"/>
        <family val="3"/>
        <charset val="134"/>
      </rPr>
      <t>社区综合服务设施用地、</t>
    </r>
    <r>
      <rPr>
        <sz val="11"/>
        <color indexed="8"/>
        <rFont val="Arial"/>
        <family val="2"/>
      </rPr>
      <t>A334</t>
    </r>
    <r>
      <rPr>
        <sz val="11"/>
        <color indexed="8"/>
        <rFont val="宋体"/>
        <family val="3"/>
        <charset val="134"/>
      </rPr>
      <t>托幼用地</t>
    </r>
    <phoneticPr fontId="26" type="noConversion"/>
  </si>
  <si>
    <t>售价</t>
  </si>
  <si>
    <t>西北旺项目</t>
    <phoneticPr fontId="3" type="noConversion"/>
  </si>
  <si>
    <t>海淀区</t>
    <phoneticPr fontId="3" type="noConversion"/>
  </si>
  <si>
    <t>海淀区</t>
    <phoneticPr fontId="3" type="noConversion"/>
  </si>
  <si>
    <t>五矿万科。如园</t>
    <phoneticPr fontId="3" type="noConversion"/>
  </si>
  <si>
    <t>北京城建。世华龙樾</t>
    <phoneticPr fontId="3" type="noConversion"/>
  </si>
  <si>
    <t>冠城大通百旺府</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</si>
  <si>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</si>
  <si>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</si>
  <si>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</si>
  <si>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</si>
  <si>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</si>
  <si>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</si>
  <si>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</si>
  <si>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</si>
  <si>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</si>
  <si>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</si>
  <si>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</si>
  <si>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</si>
  <si>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</si>
  <si>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</si>
  <si>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</si>
  <si>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</si>
  <si>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</si>
  <si>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一般</t>
    <phoneticPr fontId="27" type="noConversion"/>
  </si>
  <si>
    <t>好</t>
  </si>
  <si>
    <t>精装修</t>
  </si>
  <si>
    <t>平面车位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</si>
</sst>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47539.05</v>
          </cell>
          <cell r="L38">
            <v>174979.57</v>
          </cell>
          <cell r="O38">
            <v>329075</v>
          </cell>
        </row>
        <row r="39">
          <cell r="O39">
            <v>320164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北京万永房地产开发有限公司</v>
      </c>
    </row>
    <row r="4" spans="1:55" s="2903" customFormat="1">
      <c r="A4" s="2901" t="s">
        <v>2662</v>
      </c>
      <c r="B4" s="2902" t="str">
        <f>'预评函-封皮'!B46</f>
        <v>欧红伟、崔锴</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2018年4月17日（评估专业人员勘察现场之日）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根据《国有土地使用证》[]，估价对象（分摊）出让国有建设用地使用权面积为31512.72平方米。根据《建设工程规划许可证》[]、《出让合同》[]，估价对象规划建筑面积为113422.4平方米。</v>
      </c>
    </row>
    <row r="16" spans="1:55" s="2900" customFormat="1">
      <c r="A16" s="2901" t="s">
        <v>2669</v>
      </c>
      <c r="B16" s="2902" t="str">
        <f>'预评函-1'!A22</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估价期日：2018年4月17日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31512.720000000001</v>
      </c>
    </row>
    <row r="44" spans="1:2">
      <c r="A44" s="2901" t="s">
        <v>2740</v>
      </c>
      <c r="B44" s="2902" t="str">
        <f>'预评函-2'!O3</f>
        <v>规划建筑面积/㎡</v>
      </c>
    </row>
    <row r="45" spans="1:2">
      <c r="A45" s="2901" t="s">
        <v>2722</v>
      </c>
      <c r="B45" s="2902">
        <f>'预评函-2'!O5</f>
        <v>113422.40000000001</v>
      </c>
    </row>
    <row r="46" spans="1:2">
      <c r="A46" s="2901" t="s">
        <v>2723</v>
      </c>
      <c r="B46" s="2902">
        <f ca="1">'预评函-2'!P5</f>
        <v>66171</v>
      </c>
    </row>
    <row r="47" spans="1:2">
      <c r="A47" s="2901" t="s">
        <v>2724</v>
      </c>
      <c r="B47" s="2902">
        <f ca="1">'预评函-2'!Q5</f>
        <v>18385</v>
      </c>
    </row>
    <row r="48" spans="1:2">
      <c r="A48" s="2901" t="s">
        <v>2725</v>
      </c>
      <c r="B48" s="2902">
        <f ca="1">'预评函-2'!R5</f>
        <v>208524</v>
      </c>
    </row>
    <row r="49" spans="1:2">
      <c r="A49" s="2901" t="s">
        <v>2741</v>
      </c>
      <c r="B49" s="2902" t="str">
        <f>'预评函-2'!A6</f>
        <v>抵押价格</v>
      </c>
    </row>
    <row r="50" spans="1:2">
      <c r="A50" s="2901" t="s">
        <v>2726</v>
      </c>
      <c r="B50" s="2902">
        <f ca="1">'预评函-2'!R6</f>
        <v>203210</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综上，本次评估估价师知悉的法定优先受偿款为人民币5314万元整。</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0" t="str">
        <f>IF(B10="北京市","北京市",C10)&amp;F10&amp;B16&amp;"国有建设用地使用权"&amp;B9&amp;"预评估"</f>
        <v>北京市海淀区“海淀北部地区整体开发”西北旺镇亮甲店村HD00-0404-6005地块R2二类居住用地出让国有建设用地使用权抵押价格预评估</v>
      </c>
      <c r="C1" s="3271"/>
      <c r="D1" s="3271"/>
      <c r="E1" s="3271"/>
      <c r="F1" s="3271"/>
      <c r="G1" s="3271"/>
      <c r="H1" s="3271"/>
      <c r="I1" s="3272"/>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3213</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43207</v>
      </c>
      <c r="C3" s="1661" t="s">
        <v>1995</v>
      </c>
      <c r="D3" s="1660">
        <f>B3</f>
        <v>43207</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2979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5" thickTop="1">
      <c r="A5" s="1663" t="s">
        <v>1943</v>
      </c>
      <c r="B5" s="3212" t="s">
        <v>2980</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北京万永房地产开发有限公司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2981</v>
      </c>
      <c r="C8" s="1669"/>
      <c r="D8" s="3276" t="s">
        <v>1946</v>
      </c>
      <c r="E8" s="1842" t="s">
        <v>2982</v>
      </c>
      <c r="F8" s="1670"/>
      <c r="G8" s="1658"/>
      <c r="H8" s="1658"/>
      <c r="I8" s="1705"/>
      <c r="J8" s="1692"/>
      <c r="K8" s="1772"/>
      <c r="L8" s="1721"/>
      <c r="M8" s="1721"/>
      <c r="N8" s="1692"/>
      <c r="O8" s="1693"/>
      <c r="P8" s="1692"/>
      <c r="Q8" s="1692"/>
      <c r="R8" s="1692"/>
      <c r="S8" s="1692"/>
      <c r="T8" s="1692"/>
      <c r="U8" s="1692"/>
    </row>
    <row r="9" spans="1:21" ht="15" thickBot="1">
      <c r="A9" s="1671" t="s">
        <v>1945</v>
      </c>
      <c r="B9" s="1672" t="s">
        <v>2982</v>
      </c>
      <c r="C9" s="1673"/>
      <c r="D9" s="3277"/>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3215</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北京万永房地产开发有限公司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3" t="s">
        <v>2985</v>
      </c>
      <c r="C12" s="3274"/>
      <c r="D12" s="3275"/>
      <c r="E12" s="1697" t="s">
        <v>2061</v>
      </c>
      <c r="F12" s="3291" t="s">
        <v>2987</v>
      </c>
      <c r="G12" s="3292"/>
      <c r="H12" s="3292"/>
      <c r="I12" s="3293"/>
      <c r="J12" s="1692"/>
      <c r="K12" s="1772"/>
      <c r="L12" s="1721"/>
      <c r="M12" s="1721"/>
      <c r="N12" s="1692"/>
      <c r="O12" s="1693"/>
      <c r="P12" s="1692"/>
      <c r="Q12" s="1692"/>
      <c r="R12" s="1692"/>
      <c r="S12" s="1692"/>
      <c r="T12" s="1692"/>
      <c r="U12" s="1692"/>
    </row>
    <row r="13" spans="1:21">
      <c r="A13" s="1685" t="s">
        <v>2059</v>
      </c>
      <c r="B13" s="3273" t="s">
        <v>2986</v>
      </c>
      <c r="C13" s="3274"/>
      <c r="D13" s="3275"/>
      <c r="E13" s="1697" t="s">
        <v>2061</v>
      </c>
      <c r="F13" s="3291" t="s">
        <v>2988</v>
      </c>
      <c r="G13" s="3292"/>
      <c r="H13" s="3292"/>
      <c r="I13" s="3293"/>
      <c r="J13" s="1692"/>
      <c r="K13" s="1772"/>
      <c r="L13" s="1721"/>
      <c r="M13" s="1721"/>
      <c r="N13" s="1692"/>
      <c r="O13" s="1693"/>
      <c r="P13" s="1692"/>
      <c r="Q13" s="1692"/>
      <c r="R13" s="1692"/>
      <c r="S13" s="1692"/>
      <c r="T13" s="1692"/>
      <c r="U13" s="1692"/>
    </row>
    <row r="14" spans="1:21">
      <c r="A14" s="1659" t="s">
        <v>2062</v>
      </c>
      <c r="B14" s="1697"/>
      <c r="C14" s="1843" t="s">
        <v>2989</v>
      </c>
      <c r="D14" s="1731" t="str">
        <f>IF(C14="不一致","是否符合证载地类范围","")</f>
        <v/>
      </c>
      <c r="E14" s="1697"/>
      <c r="F14" s="1788" t="s">
        <v>2990</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2991</v>
      </c>
      <c r="C16" s="1697" t="s">
        <v>1950</v>
      </c>
      <c r="D16" s="2669" t="s">
        <v>1951</v>
      </c>
      <c r="E16" s="1720" t="s">
        <v>3009</v>
      </c>
      <c r="F16" s="1720"/>
      <c r="G16" s="1720" t="s">
        <v>35</v>
      </c>
      <c r="H16" s="1720" t="s">
        <v>3008</v>
      </c>
      <c r="I16" s="1684" t="s">
        <v>1956</v>
      </c>
      <c r="J16" s="1692"/>
      <c r="K16" s="2479" t="str">
        <f>IF(D17="","",D16&amp;TEXT(D17,"yyyy年m月d日;;"))</f>
        <v>住宅2086年12月25日</v>
      </c>
      <c r="L16" s="1697" t="str">
        <f>IF(OR(K16="",M16=""),"","、")</f>
        <v>、</v>
      </c>
      <c r="M16" s="2479" t="str">
        <f>IF(E17="","",E16&amp;TEXT(E17,"yyyy年m月d日;;"))</f>
        <v>商业2056年12月25日</v>
      </c>
      <c r="N16" s="1697" t="str">
        <f>IF(OR(M16="",O16=""),"","、")</f>
        <v/>
      </c>
      <c r="O16" s="2479" t="str">
        <f>IF(F17="","",F16&amp;TEXT(F17,"yyyy年m月d日;;"))</f>
        <v/>
      </c>
      <c r="P16" s="1697" t="str">
        <f>IF(OR(O16="",Q16=""),"","、")</f>
        <v/>
      </c>
      <c r="Q16" s="2479" t="str">
        <f>IF(G17="","",G16&amp;TEXT(G17,"yyyy年m月d日;;"))</f>
        <v>地下车库2066年12月25日</v>
      </c>
      <c r="R16" s="1697" t="str">
        <f>IF(OR(Q16="",S16=""),"","、")</f>
        <v>、</v>
      </c>
      <c r="S16" s="2479" t="str">
        <f>IF(H17="","",H16&amp;TEXT(H17,"yyyy年m月d日;;"))</f>
        <v>地下仓储2066年12月25日</v>
      </c>
      <c r="T16" s="1697" t="str">
        <f>IF(OR(S16="",U16=""),"","、")</f>
        <v/>
      </c>
      <c r="U16" s="2479" t="str">
        <f>IF(I17="","",I16&amp;TEXT(I17,"yyyy年m月d日;;"))</f>
        <v/>
      </c>
    </row>
    <row r="17" spans="1:21">
      <c r="A17" s="1761"/>
      <c r="B17" s="1680"/>
      <c r="C17" s="1681" t="s">
        <v>1957</v>
      </c>
      <c r="D17" s="3213">
        <v>68296</v>
      </c>
      <c r="E17" s="3213">
        <v>57339</v>
      </c>
      <c r="F17" s="3213"/>
      <c r="G17" s="3213">
        <v>60991</v>
      </c>
      <c r="H17" s="3213">
        <v>60991</v>
      </c>
      <c r="I17" s="1698"/>
      <c r="J17" s="1692"/>
      <c r="K17" s="2478" t="str">
        <f>CONCATENATE(K16,L16,M16,N16,O16,P16,Q16,R16,S16,T16,,U16)</f>
        <v>住宅2086年12月25日、商业2056年12月25日地下车库2066年12月25日、地下仓储2066年12月25日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68.73</v>
      </c>
      <c r="E19" s="1683">
        <f>IF(B16="出让",IF(E17="","",ROUNDDOWN(MIN((E17-$D$3)/365,E18),2)),E18)</f>
        <v>38.71</v>
      </c>
      <c r="F19" s="1683" t="str">
        <f>IF(B16="出让",IF(F17="","",ROUNDDOWN(MIN((F17-$D$3)/365,F18),2)),F18)</f>
        <v/>
      </c>
      <c r="G19" s="1683">
        <f>IF(B16="出让",IF(G17="","",ROUNDDOWN(MIN((G17-$D$3)/365,G18),2)),G18)</f>
        <v>48.72</v>
      </c>
      <c r="H19" s="1683">
        <f>IF(B16="出让",IF(H17="","",ROUNDDOWN(MIN((H17-$D$3)/365,H18),2)),H18)</f>
        <v>48.72</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8"/>
      <c r="E20" s="3289"/>
      <c r="F20" s="3289"/>
      <c r="G20" s="3289"/>
      <c r="H20" s="3289"/>
      <c r="I20" s="3290"/>
      <c r="J20" s="1692"/>
      <c r="K20" s="1772"/>
      <c r="L20" s="1721"/>
      <c r="M20" s="1721"/>
      <c r="N20" s="1692"/>
      <c r="O20" s="1693"/>
      <c r="P20" s="1692"/>
      <c r="Q20" s="1692"/>
      <c r="R20" s="1692"/>
      <c r="S20" s="1692"/>
      <c r="T20" s="1692"/>
      <c r="U20" s="1692"/>
    </row>
    <row r="21" spans="1:21">
      <c r="A21" s="1761" t="s">
        <v>1960</v>
      </c>
      <c r="B21" s="1762" t="s">
        <v>1961</v>
      </c>
      <c r="C21" s="1757">
        <f>'数据-汇总表'!E3</f>
        <v>113422.40000000001</v>
      </c>
      <c r="D21" s="1758" t="s">
        <v>1962</v>
      </c>
      <c r="E21" s="3278" t="s">
        <v>1998</v>
      </c>
      <c r="F21" s="3279"/>
      <c r="G21" s="3279"/>
      <c r="H21" s="3279"/>
      <c r="I21" s="3280"/>
      <c r="J21" s="1692"/>
      <c r="K21" s="1772"/>
      <c r="L21" s="1721"/>
      <c r="M21" s="1721"/>
      <c r="N21" s="1692"/>
      <c r="O21" s="1693"/>
      <c r="P21" s="1692"/>
      <c r="Q21" s="1692"/>
      <c r="R21" s="1692"/>
      <c r="S21" s="1692"/>
      <c r="T21" s="1692"/>
      <c r="U21" s="1692"/>
    </row>
    <row r="22" spans="1:21">
      <c r="A22" s="3174" t="s">
        <v>951</v>
      </c>
      <c r="B22" s="1659" t="s">
        <v>1963</v>
      </c>
      <c r="C22" s="1684">
        <f>'数据-汇总表'!D3</f>
        <v>31512.720000000001</v>
      </c>
      <c r="D22" s="1685" t="s">
        <v>1962</v>
      </c>
      <c r="E22" s="3278" t="s">
        <v>2889</v>
      </c>
      <c r="F22" s="3279"/>
      <c r="G22" s="3279"/>
      <c r="H22" s="3279"/>
      <c r="I22" s="3280"/>
      <c r="J22" s="1692"/>
      <c r="K22" s="1772"/>
      <c r="L22" s="1721"/>
      <c r="M22" s="1721"/>
      <c r="N22" s="1692"/>
      <c r="O22" s="1693"/>
      <c r="P22" s="1692"/>
      <c r="Q22" s="1692"/>
      <c r="R22" s="1692"/>
      <c r="S22" s="1692"/>
      <c r="T22" s="1692"/>
      <c r="U22" s="1692"/>
    </row>
    <row r="23" spans="1:21" ht="29.25" thickBot="1">
      <c r="A23" s="1763" t="s">
        <v>1964</v>
      </c>
      <c r="B23" s="1699" t="s">
        <v>1965</v>
      </c>
      <c r="C23" s="1700" t="s">
        <v>2992</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1" t="s">
        <v>1968</v>
      </c>
      <c r="C24" s="3282"/>
      <c r="D24" s="3283" t="s">
        <v>1969</v>
      </c>
      <c r="E24" s="3284"/>
      <c r="F24" s="1706" t="s">
        <v>1970</v>
      </c>
      <c r="G24" s="1692"/>
      <c r="H24" s="1692"/>
      <c r="I24" s="1705"/>
      <c r="J24" s="1692"/>
      <c r="K24" s="3269"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6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6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55" t="s">
        <v>2001</v>
      </c>
      <c r="B31" s="1762" t="s">
        <v>2002</v>
      </c>
      <c r="C31" s="3294" t="s">
        <v>2993</v>
      </c>
      <c r="D31" s="3295"/>
      <c r="E31" s="1692"/>
      <c r="F31" s="1692"/>
      <c r="G31" s="1692"/>
      <c r="H31" s="1692"/>
      <c r="I31" s="1705"/>
      <c r="J31" s="1692"/>
      <c r="K31" s="2481"/>
      <c r="L31" s="1692"/>
      <c r="M31" s="1692"/>
      <c r="N31" s="1692"/>
      <c r="O31" s="1692"/>
      <c r="P31" s="1692"/>
      <c r="Q31" s="1692"/>
      <c r="R31" s="1692"/>
      <c r="S31" s="1692"/>
      <c r="T31" s="1692"/>
      <c r="U31" s="1692"/>
    </row>
    <row r="32" spans="1:21">
      <c r="A32" s="3255"/>
      <c r="B32" s="1659" t="s">
        <v>2003</v>
      </c>
      <c r="C32" s="1717" t="s">
        <v>2994</v>
      </c>
      <c r="D32" s="1718"/>
      <c r="E32" s="1692"/>
      <c r="F32" s="1692"/>
      <c r="G32" s="1692"/>
      <c r="H32" s="1692"/>
      <c r="I32" s="1705"/>
      <c r="J32" s="1692"/>
      <c r="K32" s="2481"/>
      <c r="L32" s="1692"/>
      <c r="M32" s="1692"/>
      <c r="N32" s="1692"/>
      <c r="O32" s="1692"/>
      <c r="P32" s="1692"/>
      <c r="Q32" s="1692"/>
      <c r="R32" s="1692"/>
      <c r="S32" s="1692"/>
      <c r="T32" s="1692"/>
      <c r="U32" s="1692"/>
    </row>
    <row r="33" spans="1:21">
      <c r="A33" s="3255"/>
      <c r="B33" s="1659" t="s">
        <v>2004</v>
      </c>
      <c r="C33" s="1719" t="s">
        <v>2992</v>
      </c>
      <c r="D33" s="1836"/>
      <c r="E33" s="1692"/>
      <c r="F33" s="1692"/>
      <c r="G33" s="1692"/>
      <c r="H33" s="1692"/>
      <c r="I33" s="1705"/>
      <c r="J33" s="1692"/>
      <c r="K33" s="2481"/>
      <c r="L33" s="1692"/>
      <c r="M33" s="1692"/>
      <c r="N33" s="1692"/>
      <c r="O33" s="1692"/>
      <c r="P33" s="1692"/>
      <c r="Q33" s="1692"/>
      <c r="R33" s="1692"/>
      <c r="S33" s="1692"/>
      <c r="T33" s="1692"/>
      <c r="U33" s="1692"/>
    </row>
    <row r="34" spans="1:21">
      <c r="A34" s="3256"/>
      <c r="B34" s="1659" t="s">
        <v>2005</v>
      </c>
      <c r="C34" s="3257"/>
      <c r="D34" s="3258"/>
      <c r="E34" s="1692"/>
      <c r="F34" s="1692"/>
      <c r="G34" s="1692"/>
      <c r="H34" s="1692"/>
      <c r="I34" s="1705"/>
      <c r="J34" s="1692"/>
      <c r="K34" s="2481"/>
      <c r="L34" s="1692"/>
      <c r="M34" s="1692"/>
      <c r="N34" s="1692"/>
      <c r="O34" s="1692"/>
      <c r="P34" s="1692"/>
      <c r="Q34" s="1692"/>
      <c r="R34" s="1692"/>
      <c r="S34" s="1692"/>
      <c r="T34" s="1692"/>
      <c r="U34" s="1692"/>
    </row>
    <row r="35" spans="1:21">
      <c r="A35" s="3259" t="s">
        <v>846</v>
      </c>
      <c r="B35" s="1720" t="s">
        <v>2995</v>
      </c>
      <c r="C35" s="1774" t="str">
        <f>IF(B35="场地平整","——","具体情况：")</f>
        <v>——</v>
      </c>
      <c r="D35" s="3261"/>
      <c r="E35" s="3262"/>
      <c r="F35" s="3262"/>
      <c r="G35" s="3262"/>
      <c r="H35" s="3262"/>
      <c r="I35" s="3263"/>
      <c r="J35" s="1692"/>
      <c r="K35" s="1773"/>
      <c r="L35" s="1721"/>
      <c r="M35" s="1721"/>
      <c r="N35" s="1692"/>
      <c r="O35" s="1693"/>
      <c r="P35" s="1692"/>
      <c r="Q35" s="1692"/>
      <c r="R35" s="1692"/>
      <c r="S35" s="1692"/>
      <c r="T35" s="1692"/>
      <c r="U35" s="1692"/>
    </row>
    <row r="36" spans="1:21">
      <c r="A36" s="3255"/>
      <c r="B36" s="3264" t="s">
        <v>2054</v>
      </c>
      <c r="C36" s="3265"/>
      <c r="D36" s="1790" t="s">
        <v>2996</v>
      </c>
      <c r="E36" s="3266"/>
      <c r="F36" s="3266"/>
      <c r="G36" s="1685" t="str">
        <f>IF(B35="场地未平整","估价结果处理","")</f>
        <v/>
      </c>
      <c r="H36" s="3267"/>
      <c r="I36" s="3267"/>
      <c r="J36" s="1692"/>
      <c r="K36" s="1773"/>
      <c r="L36" s="1721"/>
      <c r="M36" s="1721"/>
      <c r="N36" s="1692"/>
      <c r="O36" s="1693"/>
      <c r="P36" s="1692"/>
      <c r="Q36" s="1692"/>
      <c r="R36" s="1692"/>
      <c r="S36" s="1692"/>
      <c r="T36" s="1692"/>
      <c r="U36" s="1692"/>
    </row>
    <row r="37" spans="1:21" ht="28.5">
      <c r="A37" s="3255"/>
      <c r="B37" s="328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5"/>
      <c r="B38" s="3286"/>
      <c r="C38" s="1667" t="s">
        <v>849</v>
      </c>
      <c r="D38" s="1789">
        <f>ROUNDDOWN(MIN(('数据-取费表'!$B$2-D37)/365,D34),1)</f>
        <v>118.3</v>
      </c>
      <c r="E38" s="1725" t="s">
        <v>850</v>
      </c>
      <c r="F38" s="1692"/>
      <c r="G38" s="1692"/>
      <c r="H38" s="1692"/>
      <c r="I38" s="1705"/>
      <c r="J38" s="1692"/>
      <c r="K38" s="1773"/>
      <c r="L38" s="1692"/>
      <c r="M38" s="1692"/>
      <c r="N38" s="1692"/>
      <c r="O38" s="1692"/>
      <c r="P38" s="1692"/>
      <c r="Q38" s="1692"/>
      <c r="R38" s="1692"/>
      <c r="S38" s="1692"/>
      <c r="T38" s="1692"/>
      <c r="U38" s="1692"/>
    </row>
    <row r="39" spans="1:21">
      <c r="A39" s="3256"/>
      <c r="B39" s="328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2997</v>
      </c>
      <c r="C40" s="1688" t="s">
        <v>2998</v>
      </c>
      <c r="D40" s="1688" t="s">
        <v>2999</v>
      </c>
      <c r="E40" s="1688" t="s">
        <v>3000</v>
      </c>
      <c r="F40" s="1688" t="s">
        <v>3001</v>
      </c>
      <c r="G40" s="1688"/>
      <c r="H40" s="1688"/>
      <c r="I40" s="1705"/>
      <c r="J40" s="1692"/>
      <c r="K40" s="1728">
        <f>COUNTIF(B40:H40,"——")</f>
        <v>0</v>
      </c>
      <c r="L40" s="1697" t="s">
        <v>1978</v>
      </c>
      <c r="M40" s="1694" t="s">
        <v>1979</v>
      </c>
      <c r="N40" s="1694" t="s">
        <v>1980</v>
      </c>
      <c r="O40" s="1694" t="s">
        <v>1981</v>
      </c>
      <c r="P40" s="1694" t="s">
        <v>1982</v>
      </c>
      <c r="Q40" s="1694" t="s">
        <v>1983</v>
      </c>
      <c r="R40" s="1694" t="s">
        <v>1984</v>
      </c>
      <c r="S40" s="3268" t="s">
        <v>1985</v>
      </c>
      <c r="T40" s="1729" t="str">
        <f>NUMBERSTRING(7-K40,1)&amp;"通"</f>
        <v>七通</v>
      </c>
      <c r="U40" s="1692"/>
    </row>
    <row r="41" spans="1:21">
      <c r="A41" s="1661"/>
      <c r="B41" s="3260" t="s">
        <v>1721</v>
      </c>
      <c r="C41" s="3260"/>
      <c r="D41" s="3260"/>
      <c r="E41" s="3260"/>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68"/>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3" sqref="A3"/>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33843.809000000001</v>
      </c>
      <c r="B3" s="22">
        <f>IF(C3="否",G5-AT5,G5)</f>
        <v>121812.6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121812.6</v>
      </c>
      <c r="H5" s="27">
        <f t="shared" ref="H5:AT5" si="0">SUM(H13:H641)</f>
        <v>105474.41</v>
      </c>
      <c r="I5" s="27">
        <f t="shared" si="0"/>
        <v>71686.3</v>
      </c>
      <c r="J5" s="27">
        <f t="shared" si="0"/>
        <v>0</v>
      </c>
      <c r="K5" s="27">
        <f t="shared" si="0"/>
        <v>8977.4699999999993</v>
      </c>
      <c r="L5" s="27">
        <f t="shared" si="0"/>
        <v>0</v>
      </c>
      <c r="M5" s="27">
        <f t="shared" si="0"/>
        <v>24706.579999999998</v>
      </c>
      <c r="N5" s="27">
        <f t="shared" si="0"/>
        <v>0</v>
      </c>
      <c r="O5" s="27">
        <f t="shared" si="0"/>
        <v>104.06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7947.9900000000007</v>
      </c>
      <c r="AD5" s="27">
        <f t="shared" si="0"/>
        <v>2366.02</v>
      </c>
      <c r="AE5" s="27">
        <f t="shared" si="0"/>
        <v>0</v>
      </c>
      <c r="AF5" s="27">
        <f t="shared" si="0"/>
        <v>2301.34</v>
      </c>
      <c r="AG5" s="27">
        <f t="shared" si="0"/>
        <v>0</v>
      </c>
      <c r="AH5" s="27">
        <f t="shared" si="0"/>
        <v>100</v>
      </c>
      <c r="AI5" s="27">
        <f t="shared" si="0"/>
        <v>0</v>
      </c>
      <c r="AJ5" s="27">
        <f t="shared" si="0"/>
        <v>0</v>
      </c>
      <c r="AK5" s="27">
        <f t="shared" si="0"/>
        <v>0</v>
      </c>
      <c r="AL5" s="27">
        <f t="shared" si="0"/>
        <v>0</v>
      </c>
      <c r="AM5" s="27">
        <f t="shared" si="0"/>
        <v>0</v>
      </c>
      <c r="AN5" s="27">
        <f t="shared" si="0"/>
        <v>3180.63</v>
      </c>
      <c r="AO5" s="27">
        <f t="shared" si="0"/>
        <v>0</v>
      </c>
      <c r="AP5" s="27">
        <f t="shared" si="0"/>
        <v>0</v>
      </c>
      <c r="AQ5" s="27">
        <f t="shared" si="0"/>
        <v>0</v>
      </c>
      <c r="AR5" s="27">
        <f t="shared" si="0"/>
        <v>0</v>
      </c>
      <c r="AS5" s="27">
        <f t="shared" si="0"/>
        <v>0</v>
      </c>
      <c r="AT5" s="27">
        <f t="shared" si="0"/>
        <v>8390.2000000000007</v>
      </c>
      <c r="AU5" s="988"/>
      <c r="AV5" s="26" t="s">
        <v>167</v>
      </c>
      <c r="AW5" s="989"/>
      <c r="AX5" s="989"/>
      <c r="AY5" s="28" t="s">
        <v>3</v>
      </c>
      <c r="AZ5" s="29">
        <f t="shared" ref="AZ5:BT5" si="1">SUM(AZ13:AZ641)</f>
        <v>113422.40000000001</v>
      </c>
      <c r="BA5" s="29">
        <f t="shared" si="1"/>
        <v>105474.41</v>
      </c>
      <c r="BB5" s="29">
        <f t="shared" si="1"/>
        <v>71686.3</v>
      </c>
      <c r="BC5" s="29">
        <f t="shared" si="1"/>
        <v>8977.4699999999993</v>
      </c>
      <c r="BD5" s="29">
        <f t="shared" si="1"/>
        <v>24706.579999999998</v>
      </c>
      <c r="BE5" s="29">
        <f t="shared" si="1"/>
        <v>104.06</v>
      </c>
      <c r="BF5" s="29">
        <f t="shared" si="1"/>
        <v>0</v>
      </c>
      <c r="BG5" s="29">
        <f t="shared" si="1"/>
        <v>0</v>
      </c>
      <c r="BH5" s="29">
        <f t="shared" si="1"/>
        <v>0</v>
      </c>
      <c r="BI5" s="29">
        <f t="shared" si="1"/>
        <v>0</v>
      </c>
      <c r="BJ5" s="29">
        <f t="shared" si="1"/>
        <v>0</v>
      </c>
      <c r="BK5" s="29">
        <f t="shared" si="1"/>
        <v>0</v>
      </c>
      <c r="BL5" s="29">
        <f t="shared" si="1"/>
        <v>7947.9900000000007</v>
      </c>
      <c r="BM5" s="29">
        <f t="shared" si="1"/>
        <v>2366.02</v>
      </c>
      <c r="BN5" s="29">
        <f t="shared" si="1"/>
        <v>2301.34</v>
      </c>
      <c r="BO5" s="29">
        <f t="shared" si="1"/>
        <v>100</v>
      </c>
      <c r="BP5" s="29">
        <f t="shared" si="1"/>
        <v>0</v>
      </c>
      <c r="BQ5" s="29">
        <f t="shared" si="1"/>
        <v>0</v>
      </c>
      <c r="BR5" s="29">
        <f t="shared" si="1"/>
        <v>3180.63</v>
      </c>
      <c r="BS5" s="29">
        <f t="shared" si="1"/>
        <v>0</v>
      </c>
      <c r="BT5" s="30">
        <f t="shared" si="1"/>
        <v>0</v>
      </c>
    </row>
    <row r="6" spans="1:72" s="37" customFormat="1" ht="12.75">
      <c r="A6" s="26" t="s">
        <v>168</v>
      </c>
      <c r="B6" s="31"/>
      <c r="C6" s="31"/>
      <c r="D6" s="32"/>
      <c r="E6" s="27">
        <f>H6+AC6+AT6</f>
        <v>33843.800000000003</v>
      </c>
      <c r="F6" s="27" t="s">
        <v>1</v>
      </c>
      <c r="G6" s="27" t="s">
        <v>2</v>
      </c>
      <c r="H6" s="33">
        <f>SUMIF(I$12:AB$12,"总值",I6:AB6)</f>
        <v>29304.49</v>
      </c>
      <c r="I6" s="27">
        <f t="shared" ref="I6:AB6" si="2">ROUND($A$3*I5/$B$3,2)</f>
        <v>19916.97</v>
      </c>
      <c r="J6" s="27">
        <f t="shared" si="2"/>
        <v>0</v>
      </c>
      <c r="K6" s="27">
        <f t="shared" si="2"/>
        <v>2494.2600000000002</v>
      </c>
      <c r="L6" s="27">
        <f t="shared" si="2"/>
        <v>0</v>
      </c>
      <c r="M6" s="27">
        <f t="shared" si="2"/>
        <v>6864.35</v>
      </c>
      <c r="N6" s="27">
        <f t="shared" si="2"/>
        <v>0</v>
      </c>
      <c r="O6" s="27">
        <f t="shared" si="2"/>
        <v>28.91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2208.2200000000003</v>
      </c>
      <c r="AD6" s="27">
        <f t="shared" ref="AD6:AS6" si="3">ROUND($A$3*AD5/$B$3,2)</f>
        <v>657.36</v>
      </c>
      <c r="AE6" s="27">
        <f t="shared" si="3"/>
        <v>0</v>
      </c>
      <c r="AF6" s="27">
        <f t="shared" si="3"/>
        <v>639.39</v>
      </c>
      <c r="AG6" s="27">
        <f t="shared" si="3"/>
        <v>0</v>
      </c>
      <c r="AH6" s="27">
        <f t="shared" si="3"/>
        <v>27.78</v>
      </c>
      <c r="AI6" s="27">
        <f t="shared" si="3"/>
        <v>0</v>
      </c>
      <c r="AJ6" s="27">
        <f t="shared" si="3"/>
        <v>0</v>
      </c>
      <c r="AK6" s="27">
        <f t="shared" si="3"/>
        <v>0</v>
      </c>
      <c r="AL6" s="27">
        <f t="shared" si="3"/>
        <v>0</v>
      </c>
      <c r="AM6" s="27">
        <f t="shared" si="3"/>
        <v>0</v>
      </c>
      <c r="AN6" s="27">
        <f t="shared" si="3"/>
        <v>883.69</v>
      </c>
      <c r="AO6" s="27">
        <f t="shared" si="3"/>
        <v>0</v>
      </c>
      <c r="AP6" s="27">
        <f t="shared" si="3"/>
        <v>0</v>
      </c>
      <c r="AQ6" s="27">
        <f t="shared" si="3"/>
        <v>0</v>
      </c>
      <c r="AR6" s="27">
        <f t="shared" si="3"/>
        <v>0</v>
      </c>
      <c r="AS6" s="27">
        <f t="shared" si="3"/>
        <v>0</v>
      </c>
      <c r="AT6" s="33">
        <f>IF(C3="是",ROUND($A$3*AT5/$B$3,2),0)</f>
        <v>2331.09</v>
      </c>
      <c r="AU6" s="34"/>
      <c r="AV6" s="26" t="s">
        <v>168</v>
      </c>
      <c r="AW6" s="31"/>
      <c r="AX6" s="31"/>
      <c r="AY6" s="35">
        <f>IF(AY3&gt;0,AY3,ROUND($A$3*AZ5/$B$3,2))</f>
        <v>31512.720000000001</v>
      </c>
      <c r="AZ6" s="27" t="s">
        <v>3</v>
      </c>
      <c r="BA6" s="27">
        <f>ROUND($AY$6*BA5/$AZ$5,2)</f>
        <v>29304.49</v>
      </c>
      <c r="BB6" s="27">
        <f>ROUND($AY$6*BB5/$AZ$5,2)</f>
        <v>19916.97</v>
      </c>
      <c r="BC6" s="27">
        <f t="shared" ref="BC6:BH6" si="4">ROUND($AY$6*BC5/$AZ$5,2)</f>
        <v>2494.2600000000002</v>
      </c>
      <c r="BD6" s="27">
        <f t="shared" si="4"/>
        <v>6864.35</v>
      </c>
      <c r="BE6" s="27">
        <f t="shared" si="4"/>
        <v>28.91</v>
      </c>
      <c r="BF6" s="27">
        <f t="shared" si="4"/>
        <v>0</v>
      </c>
      <c r="BG6" s="27">
        <f t="shared" si="4"/>
        <v>0</v>
      </c>
      <c r="BH6" s="27">
        <f t="shared" si="4"/>
        <v>0</v>
      </c>
      <c r="BI6" s="27">
        <f t="shared" ref="BI6:BT6" si="5">ROUND($AY$6*BI5/$AZ$5,2)</f>
        <v>0</v>
      </c>
      <c r="BJ6" s="27">
        <f t="shared" si="5"/>
        <v>0</v>
      </c>
      <c r="BK6" s="27">
        <f t="shared" si="5"/>
        <v>0</v>
      </c>
      <c r="BL6" s="27">
        <f t="shared" si="5"/>
        <v>2208.23</v>
      </c>
      <c r="BM6" s="27">
        <f t="shared" si="5"/>
        <v>657.36</v>
      </c>
      <c r="BN6" s="27">
        <f t="shared" si="5"/>
        <v>639.39</v>
      </c>
      <c r="BO6" s="27">
        <f t="shared" si="5"/>
        <v>27.78</v>
      </c>
      <c r="BP6" s="27">
        <f t="shared" si="5"/>
        <v>0</v>
      </c>
      <c r="BQ6" s="27">
        <f t="shared" si="5"/>
        <v>0</v>
      </c>
      <c r="BR6" s="27">
        <f t="shared" si="5"/>
        <v>883.69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3003</v>
      </c>
      <c r="J9" s="51"/>
      <c r="K9" s="3040" t="s">
        <v>3004</v>
      </c>
      <c r="L9" s="51"/>
      <c r="M9" s="3040" t="s">
        <v>3004</v>
      </c>
      <c r="N9" s="51"/>
      <c r="O9" s="59" t="s">
        <v>3003</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3005</v>
      </c>
      <c r="L10" s="51"/>
      <c r="M10" s="3042" t="s">
        <v>3007</v>
      </c>
      <c r="N10" s="51"/>
      <c r="O10" s="66" t="s">
        <v>3009</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3216</v>
      </c>
      <c r="J11" s="71"/>
      <c r="K11" s="3041" t="s">
        <v>3006</v>
      </c>
      <c r="L11" s="71"/>
      <c r="M11" s="70" t="s">
        <v>3007</v>
      </c>
      <c r="N11" s="71"/>
      <c r="O11" s="70" t="s">
        <v>3217</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3002</v>
      </c>
      <c r="B13" s="3037"/>
      <c r="C13" s="3037"/>
      <c r="D13" s="3038" t="s">
        <v>1678</v>
      </c>
      <c r="E13" s="27">
        <f t="shared" ref="E13:E20" si="6">IF($C$3="是",ROUND($A$3*G13/$B$3,2),ROUND($A$3*(G13-AT13)/$B$3,2))</f>
        <v>33843.81</v>
      </c>
      <c r="F13" s="81"/>
      <c r="G13" s="82">
        <f t="shared" ref="G13:G20" si="7">H13+AC13+AT13</f>
        <v>121812.6</v>
      </c>
      <c r="H13" s="33">
        <f t="shared" ref="H13:H20" si="8">SUMIF(I$12:AB$12,"总值",I13:AB13)</f>
        <v>105474.41</v>
      </c>
      <c r="I13" s="3039">
        <v>71686.3</v>
      </c>
      <c r="J13" s="3039"/>
      <c r="K13" s="3039">
        <v>8977.4699999999993</v>
      </c>
      <c r="L13" s="3039"/>
      <c r="M13" s="3039">
        <f>32896.78-8190.2</f>
        <v>24706.579999999998</v>
      </c>
      <c r="N13" s="83"/>
      <c r="O13" s="83">
        <v>104.06</v>
      </c>
      <c r="P13" s="83"/>
      <c r="Q13" s="83"/>
      <c r="R13" s="83"/>
      <c r="S13" s="83"/>
      <c r="T13" s="83"/>
      <c r="U13" s="83"/>
      <c r="V13" s="83"/>
      <c r="W13" s="83"/>
      <c r="X13" s="83"/>
      <c r="Y13" s="83"/>
      <c r="Z13" s="83"/>
      <c r="AA13" s="83"/>
      <c r="AB13" s="83"/>
      <c r="AC13" s="27">
        <f t="shared" ref="AC13:AC20" si="9">SUMIF(AD$12:AS$12,"总值",AD13:AS13)</f>
        <v>7947.9900000000007</v>
      </c>
      <c r="AD13" s="3043">
        <f>350+800+200+200+600+70+120+26.02</f>
        <v>2366.02</v>
      </c>
      <c r="AE13" s="3043"/>
      <c r="AF13" s="3214">
        <f>1978.84+322.5</f>
        <v>2301.34</v>
      </c>
      <c r="AG13" s="3214"/>
      <c r="AH13" s="3214">
        <v>100</v>
      </c>
      <c r="AI13" s="3214"/>
      <c r="AJ13" s="3214"/>
      <c r="AK13" s="3214"/>
      <c r="AL13" s="3214"/>
      <c r="AM13" s="3214"/>
      <c r="AN13" s="3214">
        <v>3180.63</v>
      </c>
      <c r="AO13" s="3043"/>
      <c r="AP13" s="3043"/>
      <c r="AQ13" s="3043"/>
      <c r="AR13" s="3043"/>
      <c r="AS13" s="3043"/>
      <c r="AT13" s="3044">
        <f>200+8190.2</f>
        <v>8390.2000000000007</v>
      </c>
      <c r="AU13" s="3045"/>
      <c r="AV13" s="17" t="str">
        <f t="shared" ref="AV13:AX20" si="10">A13</f>
        <v>《不动产权证书》[京（2017）海不动产权第0000099号]</v>
      </c>
      <c r="AW13" s="17">
        <f t="shared" si="10"/>
        <v>0</v>
      </c>
      <c r="AX13" s="17">
        <f t="shared" si="10"/>
        <v>0</v>
      </c>
      <c r="AY13" s="996">
        <f t="shared" ref="AY13:AY20" si="11">ROUND($AY$6*AZ13/$AZ$5,2)</f>
        <v>31512.720000000001</v>
      </c>
      <c r="AZ13" s="27">
        <f t="shared" ref="AZ13:AZ20" si="12">BA13+BL13</f>
        <v>113422.40000000001</v>
      </c>
      <c r="BA13" s="27">
        <f t="shared" ref="BA13:BA20" si="13">SUM(BB13:BK13)</f>
        <v>105474.41</v>
      </c>
      <c r="BB13" s="27">
        <f t="shared" ref="BB13:BB20" si="14">IF($D13="是",I13-J13,0)</f>
        <v>71686.3</v>
      </c>
      <c r="BC13" s="27">
        <f t="shared" ref="BC13:BC20" si="15">IF($D13="是",K13-L13,0)</f>
        <v>8977.4699999999993</v>
      </c>
      <c r="BD13" s="27">
        <f t="shared" ref="BD13:BD20" si="16">IF($D13="是",M13-N13,0)</f>
        <v>24706.579999999998</v>
      </c>
      <c r="BE13" s="27">
        <f t="shared" ref="BE13:BE20" si="17">IF($D13="是",O13-P13,0)</f>
        <v>104.06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7947.9900000000007</v>
      </c>
      <c r="BM13" s="27">
        <f t="shared" ref="BM13:BM20" si="25">IF($D13="是",AD13-AE13,0)</f>
        <v>2366.02</v>
      </c>
      <c r="BN13" s="27">
        <f t="shared" ref="BN13:BN20" si="26">IF($D13="是",AF13-AG13,0)</f>
        <v>2301.34</v>
      </c>
      <c r="BO13" s="27">
        <f t="shared" ref="BO13:BO20" si="27">IF($D13="是",AH13-AI13,0)</f>
        <v>100</v>
      </c>
      <c r="BP13" s="27">
        <f t="shared" ref="BP13:BP20" si="28">IF($D13="是",AJ13-AK13,0)</f>
        <v>0</v>
      </c>
      <c r="BQ13" s="27">
        <f t="shared" ref="BQ13:BQ20" si="29">IF($D13="是",AL13-AM13,0)</f>
        <v>0</v>
      </c>
      <c r="BR13" s="27">
        <f t="shared" ref="BR13:BR20" si="30">IF($D13="是",AN13-AO13,0)</f>
        <v>3180.63</v>
      </c>
      <c r="BS13" s="27">
        <f t="shared" ref="BS13:BS20" si="31">IF($D13="是",AP13-AQ13,0)</f>
        <v>0</v>
      </c>
      <c r="BT13" s="36">
        <f t="shared" ref="BT13:BT20" si="32">IF($D13="是",AR13-AS13,0)</f>
        <v>0</v>
      </c>
    </row>
    <row r="14" spans="1:72" s="18" customFormat="1" ht="12.75">
      <c r="A14" s="3037"/>
      <c r="B14" s="3037"/>
      <c r="C14" s="3037"/>
      <c r="D14" s="3038"/>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214"/>
      <c r="AG14" s="3214"/>
      <c r="AH14" s="3214"/>
      <c r="AI14" s="3214"/>
      <c r="AJ14" s="3214"/>
      <c r="AK14" s="3214"/>
      <c r="AL14" s="3214"/>
      <c r="AM14" s="3214"/>
      <c r="AN14" s="3214"/>
      <c r="AO14" s="3043"/>
      <c r="AP14" s="3043"/>
      <c r="AQ14" s="3043"/>
      <c r="AR14" s="3043"/>
      <c r="AS14" s="3043"/>
      <c r="AT14" s="3044"/>
      <c r="AU14" s="304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c r="D15" s="3038"/>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214"/>
      <c r="AE15" s="3043"/>
      <c r="AF15" s="3214"/>
      <c r="AG15" s="3214"/>
      <c r="AH15" s="3214"/>
      <c r="AI15" s="3214"/>
      <c r="AJ15" s="3214"/>
      <c r="AK15" s="3214"/>
      <c r="AL15" s="3214"/>
      <c r="AM15" s="3214"/>
      <c r="AN15" s="3214"/>
      <c r="AO15" s="3043"/>
      <c r="AP15" s="3043"/>
      <c r="AQ15" s="3043"/>
      <c r="AR15" s="3043"/>
      <c r="AS15" s="3043"/>
      <c r="AT15" s="3044"/>
      <c r="AU15" s="304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c r="D16" s="3038"/>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214"/>
      <c r="AE16" s="3043"/>
      <c r="AF16" s="3214"/>
      <c r="AG16" s="3214"/>
      <c r="AH16" s="3214"/>
      <c r="AI16" s="3214"/>
      <c r="AJ16" s="3214"/>
      <c r="AK16" s="3214"/>
      <c r="AL16" s="3214"/>
      <c r="AM16" s="3214"/>
      <c r="AN16" s="3214"/>
      <c r="AO16" s="3043"/>
      <c r="AP16" s="3043"/>
      <c r="AQ16" s="3043"/>
      <c r="AR16" s="3043"/>
      <c r="AS16" s="3043"/>
      <c r="AT16" s="3044"/>
      <c r="AU16" s="304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7"/>
      <c r="D17" s="3038"/>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214"/>
      <c r="AE17" s="3043"/>
      <c r="AF17" s="3214"/>
      <c r="AG17" s="3214"/>
      <c r="AH17" s="3214"/>
      <c r="AI17" s="3214"/>
      <c r="AJ17" s="3214"/>
      <c r="AK17" s="3214"/>
      <c r="AL17" s="3214"/>
      <c r="AM17" s="3214"/>
      <c r="AN17" s="3214"/>
      <c r="AO17" s="3043"/>
      <c r="AP17" s="3043"/>
      <c r="AQ17" s="3043"/>
      <c r="AR17" s="3043"/>
      <c r="AS17" s="3043"/>
      <c r="AT17" s="3044"/>
      <c r="AU17" s="304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3037"/>
      <c r="B18" s="3037"/>
      <c r="C18" s="3037"/>
      <c r="D18" s="3038"/>
      <c r="E18" s="27">
        <f t="shared" si="6"/>
        <v>0</v>
      </c>
      <c r="F18" s="81"/>
      <c r="G18" s="82">
        <f t="shared" si="7"/>
        <v>0</v>
      </c>
      <c r="H18" s="33">
        <f t="shared" si="8"/>
        <v>0</v>
      </c>
      <c r="I18" s="3039"/>
      <c r="J18" s="3039"/>
      <c r="K18" s="3039"/>
      <c r="L18" s="3039"/>
      <c r="M18" s="3039"/>
      <c r="N18" s="83"/>
      <c r="O18" s="83"/>
      <c r="P18" s="83"/>
      <c r="Q18" s="83"/>
      <c r="R18" s="83"/>
      <c r="S18" s="83"/>
      <c r="T18" s="83"/>
      <c r="U18" s="83"/>
      <c r="V18" s="83"/>
      <c r="W18" s="83"/>
      <c r="X18" s="83"/>
      <c r="Y18" s="83"/>
      <c r="Z18" s="83"/>
      <c r="AA18" s="83"/>
      <c r="AB18" s="83"/>
      <c r="AC18" s="27">
        <f t="shared" si="9"/>
        <v>0</v>
      </c>
      <c r="AD18" s="3214"/>
      <c r="AE18" s="3043"/>
      <c r="AF18" s="3214"/>
      <c r="AG18" s="3214"/>
      <c r="AH18" s="3214"/>
      <c r="AI18" s="3214"/>
      <c r="AJ18" s="3214"/>
      <c r="AK18" s="3214"/>
      <c r="AL18" s="3214"/>
      <c r="AM18" s="3214"/>
      <c r="AN18" s="3214"/>
      <c r="AO18" s="3043"/>
      <c r="AP18" s="3043"/>
      <c r="AQ18" s="3043"/>
      <c r="AR18" s="3043"/>
      <c r="AS18" s="3043"/>
      <c r="AT18" s="3044"/>
      <c r="AU18" s="3045"/>
      <c r="AV18" s="17">
        <f t="shared" si="10"/>
        <v>0</v>
      </c>
      <c r="AW18" s="17">
        <f t="shared" si="10"/>
        <v>0</v>
      </c>
      <c r="AX18" s="17">
        <f t="shared" si="10"/>
        <v>0</v>
      </c>
      <c r="AY18" s="3180">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3037"/>
      <c r="B19" s="3037"/>
      <c r="C19" s="3037"/>
      <c r="D19" s="3038"/>
      <c r="E19" s="27">
        <f t="shared" si="6"/>
        <v>0</v>
      </c>
      <c r="F19" s="81"/>
      <c r="G19" s="82">
        <f t="shared" si="7"/>
        <v>0</v>
      </c>
      <c r="H19" s="33">
        <f t="shared" si="8"/>
        <v>0</v>
      </c>
      <c r="I19" s="3039"/>
      <c r="J19" s="3039"/>
      <c r="K19" s="3039"/>
      <c r="L19" s="3039"/>
      <c r="M19" s="3039"/>
      <c r="N19" s="83"/>
      <c r="O19" s="83"/>
      <c r="P19" s="83"/>
      <c r="Q19" s="83"/>
      <c r="R19" s="83"/>
      <c r="S19" s="83"/>
      <c r="T19" s="83"/>
      <c r="U19" s="83"/>
      <c r="V19" s="83"/>
      <c r="W19" s="83"/>
      <c r="X19" s="83"/>
      <c r="Y19" s="83"/>
      <c r="Z19" s="83"/>
      <c r="AA19" s="83"/>
      <c r="AB19" s="83"/>
      <c r="AC19" s="27">
        <f t="shared" si="9"/>
        <v>0</v>
      </c>
      <c r="AD19" s="3214"/>
      <c r="AE19" s="3043"/>
      <c r="AF19" s="3214"/>
      <c r="AG19" s="3214"/>
      <c r="AH19" s="3214"/>
      <c r="AI19" s="3214"/>
      <c r="AJ19" s="3214"/>
      <c r="AK19" s="3214"/>
      <c r="AL19" s="3214"/>
      <c r="AM19" s="3214"/>
      <c r="AN19" s="3214"/>
      <c r="AO19" s="3043"/>
      <c r="AP19" s="3043"/>
      <c r="AQ19" s="3043"/>
      <c r="AR19" s="3043"/>
      <c r="AS19" s="3043"/>
      <c r="AT19" s="3044"/>
      <c r="AU19" s="3045"/>
      <c r="AV19" s="17">
        <f t="shared" si="10"/>
        <v>0</v>
      </c>
      <c r="AW19" s="17">
        <f t="shared" si="10"/>
        <v>0</v>
      </c>
      <c r="AX19" s="17">
        <f t="shared" si="10"/>
        <v>0</v>
      </c>
      <c r="AY19" s="3180">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c r="A20" s="84"/>
      <c r="B20" s="1397"/>
      <c r="C20" s="3037"/>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5"/>
      <c r="AG20" s="97"/>
      <c r="AH20" s="97"/>
      <c r="AI20" s="97"/>
      <c r="AJ20" s="97"/>
      <c r="AK20" s="97"/>
      <c r="AL20" s="97"/>
      <c r="AM20" s="97"/>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H34" sqref="H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7" t="s">
        <v>202</v>
      </c>
      <c r="B2" s="3307"/>
      <c r="C2" s="3307"/>
      <c r="D2" s="1974" t="s">
        <v>203</v>
      </c>
      <c r="E2" s="106" t="s">
        <v>204</v>
      </c>
      <c r="F2" s="1983"/>
      <c r="G2" s="1198"/>
      <c r="H2" s="1199"/>
      <c r="I2" s="1200" t="s">
        <v>856</v>
      </c>
      <c r="J2" s="1983"/>
      <c r="K2" s="1983"/>
      <c r="L2" s="1983"/>
    </row>
    <row r="3" spans="1:16" ht="15.75" thickBot="1">
      <c r="A3" s="3308" t="s">
        <v>205</v>
      </c>
      <c r="B3" s="3308"/>
      <c r="C3" s="3308"/>
      <c r="D3" s="107">
        <f>'数据-基础表'!AY6</f>
        <v>31512.720000000001</v>
      </c>
      <c r="E3" s="107">
        <f>'数据-基础表'!AZ5</f>
        <v>113422.40000000001</v>
      </c>
      <c r="F3" s="1983"/>
      <c r="G3" s="280" t="s">
        <v>857</v>
      </c>
      <c r="H3" s="275" t="s">
        <v>858</v>
      </c>
      <c r="I3" s="1975">
        <f>ROUND('数据-基础表'!B3/'数据-基础表'!A3,2)</f>
        <v>3.6</v>
      </c>
      <c r="J3" s="1983"/>
      <c r="K3" s="1983"/>
      <c r="L3" s="1983"/>
    </row>
    <row r="4" spans="1:16" ht="15">
      <c r="A4" s="3309"/>
      <c r="B4" s="3310"/>
      <c r="C4" s="3311"/>
      <c r="D4" s="108" t="s">
        <v>203</v>
      </c>
      <c r="E4" s="109" t="s">
        <v>204</v>
      </c>
      <c r="F4" s="1983"/>
      <c r="G4" s="1201"/>
      <c r="H4" s="275" t="s">
        <v>859</v>
      </c>
      <c r="I4" s="1975">
        <f>ROUND(SUMIF('数据-基础表'!I9:AS9,"地上",'数据-基础表'!I5:AS5)/'数据-基础表'!A3,2)</f>
        <v>2.19</v>
      </c>
      <c r="J4" s="1983"/>
      <c r="K4" s="1983"/>
      <c r="L4" s="1983"/>
    </row>
    <row r="5" spans="1:16">
      <c r="A5" s="110" t="s">
        <v>206</v>
      </c>
      <c r="B5" s="3312" t="s">
        <v>229</v>
      </c>
      <c r="C5" s="3312"/>
      <c r="D5" s="111">
        <f>ROUND($D$3*E5/$E$3,2)</f>
        <v>19916.97</v>
      </c>
      <c r="E5" s="112">
        <f>SUMIF('数据-基础表'!$11:$11,"住宅",'数据-基础表'!$5:$5)</f>
        <v>71686.3</v>
      </c>
      <c r="F5" s="1983"/>
      <c r="G5" s="280" t="s">
        <v>860</v>
      </c>
      <c r="H5" s="275" t="s">
        <v>858</v>
      </c>
      <c r="I5" s="1975">
        <f>ROUND(E31/D31,2)</f>
        <v>3.6</v>
      </c>
      <c r="J5" s="1983"/>
      <c r="K5" s="1983"/>
      <c r="L5" s="1983"/>
    </row>
    <row r="6" spans="1:16" ht="15" thickBot="1">
      <c r="A6" s="113"/>
      <c r="B6" s="3312" t="s">
        <v>207</v>
      </c>
      <c r="C6" s="3312"/>
      <c r="D6" s="111">
        <f>ROUND($D$3*E6/$E$3,2)</f>
        <v>11595.75</v>
      </c>
      <c r="E6" s="112">
        <f>E3-E5</f>
        <v>41736.100000000006</v>
      </c>
      <c r="F6" s="1983"/>
      <c r="G6" s="1201"/>
      <c r="H6" s="275" t="s">
        <v>859</v>
      </c>
      <c r="I6" s="1975">
        <f>ROUND(F31/D31,2)</f>
        <v>2.36</v>
      </c>
      <c r="J6" s="1983"/>
      <c r="K6" s="1983"/>
      <c r="L6" s="1983"/>
    </row>
    <row r="7" spans="1:16" ht="15">
      <c r="A7" s="3304"/>
      <c r="B7" s="3305"/>
      <c r="C7" s="3306"/>
      <c r="D7" s="108" t="s">
        <v>203</v>
      </c>
      <c r="E7" s="114" t="s">
        <v>230</v>
      </c>
      <c r="F7" s="1983"/>
      <c r="G7" s="1156" t="s">
        <v>1645</v>
      </c>
      <c r="H7" s="1157"/>
      <c r="I7" s="1845"/>
      <c r="J7" s="1983"/>
      <c r="K7" s="1983"/>
      <c r="L7" s="1983"/>
    </row>
    <row r="8" spans="1:16">
      <c r="A8" s="110" t="s">
        <v>208</v>
      </c>
      <c r="B8" s="115" t="s">
        <v>209</v>
      </c>
      <c r="C8" s="111" t="s">
        <v>210</v>
      </c>
      <c r="D8" s="111">
        <f t="shared" ref="D8:D15" si="0">ROUND($D$3*E8/$E$3,2)</f>
        <v>19945.88</v>
      </c>
      <c r="E8" s="116">
        <f>SUMIF('数据-基础表'!BB10:BK10,"地上",'数据-基础表'!BB5:BK5)</f>
        <v>71790.36</v>
      </c>
      <c r="F8" s="1983"/>
      <c r="G8" s="1985"/>
      <c r="H8" s="1985"/>
      <c r="I8" s="1983"/>
      <c r="J8" s="1983"/>
      <c r="K8" s="1983"/>
      <c r="L8" s="1983"/>
    </row>
    <row r="9" spans="1:16">
      <c r="A9" s="117"/>
      <c r="B9" s="118"/>
      <c r="C9" s="111" t="s">
        <v>211</v>
      </c>
      <c r="D9" s="111">
        <f t="shared" si="0"/>
        <v>27.78</v>
      </c>
      <c r="E9" s="119">
        <f>'数据-基础表'!AH13</f>
        <v>100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2494.2600000000002</v>
      </c>
      <c r="E12" s="116">
        <f>SUMPRODUCT(('数据-基础表'!BB10:BK10="地下")*('数据-基础表'!BB11:BK11="仓储")*('数据-基础表'!BB5:BK5))</f>
        <v>8977.4699999999993</v>
      </c>
      <c r="F12" s="1983"/>
      <c r="G12" s="1985"/>
      <c r="H12" s="1985"/>
      <c r="I12" s="1983"/>
      <c r="J12" s="1983"/>
      <c r="K12" s="1983"/>
      <c r="L12" s="1983"/>
    </row>
    <row r="13" spans="1:16">
      <c r="A13" s="117"/>
      <c r="B13" s="118"/>
      <c r="C13" s="2330" t="s">
        <v>2334</v>
      </c>
      <c r="D13" s="111">
        <f t="shared" si="0"/>
        <v>6864.35</v>
      </c>
      <c r="E13" s="116">
        <f>SUMPRODUCT(('数据-基础表'!BB10:BK10="地下")*('数据-基础表'!BB11:BK11="车库")*('数据-基础表'!BB5:BK5))</f>
        <v>24706.579999999998</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29332.269999999997</v>
      </c>
      <c r="E16" s="120">
        <f>SUM(E8:E15)</f>
        <v>105574.41</v>
      </c>
      <c r="F16" s="1983"/>
      <c r="G16" s="1985"/>
      <c r="H16" s="968" t="s">
        <v>218</v>
      </c>
      <c r="I16" s="969"/>
      <c r="J16" s="1983"/>
      <c r="K16" s="3298" t="s">
        <v>2567</v>
      </c>
      <c r="L16" s="3299"/>
      <c r="M16" s="3299"/>
      <c r="N16" s="3299"/>
      <c r="O16" s="3299"/>
      <c r="P16" s="3300"/>
    </row>
    <row r="17" spans="1:19" ht="15">
      <c r="A17" s="121" t="s">
        <v>215</v>
      </c>
      <c r="B17" s="122" t="s">
        <v>216</v>
      </c>
      <c r="C17" s="2297" t="s">
        <v>2313</v>
      </c>
      <c r="D17" s="108" t="s">
        <v>203</v>
      </c>
      <c r="E17" s="124" t="s">
        <v>204</v>
      </c>
      <c r="F17" s="125"/>
      <c r="G17" s="1365"/>
      <c r="H17" s="970" t="s">
        <v>217</v>
      </c>
      <c r="I17" s="971" t="s">
        <v>2312</v>
      </c>
      <c r="J17" s="1983"/>
      <c r="K17" s="3301" t="s">
        <v>2568</v>
      </c>
      <c r="L17" s="3302"/>
      <c r="M17" s="3303"/>
      <c r="N17" s="3301" t="s">
        <v>2569</v>
      </c>
      <c r="O17" s="3302"/>
      <c r="P17" s="3303"/>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3010</v>
      </c>
      <c r="D19" s="111">
        <f t="shared" ref="D19:D26" si="1">ROUND($D$3*E19/$E$3,2)</f>
        <v>19916.97</v>
      </c>
      <c r="E19" s="134">
        <f t="shared" ref="E19:E26" si="2">SUM(F19:G19)</f>
        <v>71686.3</v>
      </c>
      <c r="F19" s="135">
        <f>'数据-基础表'!I5</f>
        <v>71686.3</v>
      </c>
      <c r="G19" s="1367"/>
      <c r="H19" s="974">
        <f>ROUND($D$3*I19/$E$3,2)</f>
        <v>1925.14</v>
      </c>
      <c r="I19" s="116">
        <f>IF($I$17="自定义",P19,M19)</f>
        <v>6929.09</v>
      </c>
      <c r="J19" s="1983"/>
      <c r="K19" s="2631">
        <f t="shared" ref="K19:K26" si="3">ROUND(E$28*E19/E$27,2)</f>
        <v>2161.73</v>
      </c>
      <c r="L19" s="275">
        <f t="shared" ref="L19:L26" si="4">ROUND(IF(COUNTIF(C19,"*住宅*")&gt;0,E$29*E19/E$32,0),2)</f>
        <v>4767.3599999999997</v>
      </c>
      <c r="M19" s="2632">
        <f>K19+L19</f>
        <v>6929.09</v>
      </c>
      <c r="N19" s="2633"/>
      <c r="O19" s="2634"/>
      <c r="P19" s="2635">
        <f>N19+O19</f>
        <v>0</v>
      </c>
      <c r="R19" s="275">
        <f t="shared" ref="R19:S26" si="5">D19+H19</f>
        <v>21842.11</v>
      </c>
      <c r="S19" s="2300">
        <f t="shared" si="5"/>
        <v>78615.39</v>
      </c>
    </row>
    <row r="20" spans="1:19">
      <c r="A20" s="138"/>
      <c r="B20" s="115" t="s">
        <v>225</v>
      </c>
      <c r="C20" s="3046" t="s">
        <v>3012</v>
      </c>
      <c r="D20" s="111">
        <f t="shared" si="1"/>
        <v>2494.2600000000002</v>
      </c>
      <c r="E20" s="134">
        <f t="shared" si="2"/>
        <v>8977.4699999999993</v>
      </c>
      <c r="F20" s="135"/>
      <c r="G20" s="1367">
        <f>'数据-基础表'!K5</f>
        <v>8977.4699999999993</v>
      </c>
      <c r="H20" s="974">
        <f t="shared" ref="H20:H26" si="6">ROUND($D$3*I20/$E$3,2)</f>
        <v>75.22</v>
      </c>
      <c r="I20" s="116">
        <f t="shared" ref="I20:I26" si="7">IF($I$17="自定义",P20,M20)</f>
        <v>270.72000000000003</v>
      </c>
      <c r="J20" s="1983"/>
      <c r="K20" s="2631">
        <f t="shared" si="3"/>
        <v>270.72000000000003</v>
      </c>
      <c r="L20" s="275">
        <f t="shared" si="4"/>
        <v>0</v>
      </c>
      <c r="M20" s="2632">
        <f t="shared" ref="M20:M26" si="8">K20+L20</f>
        <v>270.72000000000003</v>
      </c>
      <c r="N20" s="2633"/>
      <c r="O20" s="2634"/>
      <c r="P20" s="2635">
        <f t="shared" ref="P20:P26" si="9">N20+O20</f>
        <v>0</v>
      </c>
      <c r="R20" s="275">
        <f t="shared" si="5"/>
        <v>2569.48</v>
      </c>
      <c r="S20" s="2300">
        <f t="shared" si="5"/>
        <v>9248.1899999999987</v>
      </c>
    </row>
    <row r="21" spans="1:19">
      <c r="A21" s="138"/>
      <c r="B21" s="115" t="s">
        <v>225</v>
      </c>
      <c r="C21" s="3046" t="s">
        <v>3013</v>
      </c>
      <c r="D21" s="111">
        <f t="shared" si="1"/>
        <v>6864.35</v>
      </c>
      <c r="E21" s="134">
        <f t="shared" si="2"/>
        <v>24706.579999999998</v>
      </c>
      <c r="F21" s="135"/>
      <c r="G21" s="1367">
        <f>'数据-基础表'!M5</f>
        <v>24706.579999999998</v>
      </c>
      <c r="H21" s="974">
        <f t="shared" si="6"/>
        <v>207</v>
      </c>
      <c r="I21" s="116">
        <f t="shared" si="7"/>
        <v>745.04</v>
      </c>
      <c r="J21" s="1983"/>
      <c r="K21" s="2631">
        <f t="shared" si="3"/>
        <v>745.04</v>
      </c>
      <c r="L21" s="275">
        <f t="shared" si="4"/>
        <v>0</v>
      </c>
      <c r="M21" s="2632">
        <f t="shared" si="8"/>
        <v>745.04</v>
      </c>
      <c r="N21" s="2633"/>
      <c r="O21" s="2634"/>
      <c r="P21" s="2635">
        <f t="shared" si="9"/>
        <v>0</v>
      </c>
      <c r="R21" s="275">
        <f t="shared" si="5"/>
        <v>7071.35</v>
      </c>
      <c r="S21" s="2300">
        <f t="shared" si="5"/>
        <v>25451.62</v>
      </c>
    </row>
    <row r="22" spans="1:19">
      <c r="A22" s="138"/>
      <c r="B22" s="115" t="s">
        <v>225</v>
      </c>
      <c r="C22" s="3215" t="s">
        <v>3218</v>
      </c>
      <c r="D22" s="111">
        <f t="shared" si="1"/>
        <v>28.91</v>
      </c>
      <c r="E22" s="134">
        <f t="shared" si="2"/>
        <v>104.06</v>
      </c>
      <c r="F22" s="140">
        <f>'数据-基础表'!O5</f>
        <v>104.06</v>
      </c>
      <c r="G22" s="1368"/>
      <c r="H22" s="974">
        <f t="shared" si="6"/>
        <v>0.87</v>
      </c>
      <c r="I22" s="116">
        <f t="shared" si="7"/>
        <v>3.14</v>
      </c>
      <c r="J22" s="1983"/>
      <c r="K22" s="2631">
        <f t="shared" si="3"/>
        <v>3.14</v>
      </c>
      <c r="L22" s="275">
        <f t="shared" si="4"/>
        <v>0</v>
      </c>
      <c r="M22" s="2632">
        <f t="shared" si="8"/>
        <v>3.14</v>
      </c>
      <c r="N22" s="2633"/>
      <c r="O22" s="2634"/>
      <c r="P22" s="2635">
        <f t="shared" si="9"/>
        <v>0</v>
      </c>
      <c r="R22" s="275">
        <f t="shared" si="5"/>
        <v>29.78</v>
      </c>
      <c r="S22" s="2300">
        <f t="shared" si="5"/>
        <v>107.2</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29304.49</v>
      </c>
      <c r="E27" s="143">
        <f>IF(SUM(E19:E26)='数据-基础表'!BA5,SUM(E19:E26),IF(F27="地上面积有误","面积有误","地下面积有误"))</f>
        <v>105474.41</v>
      </c>
      <c r="F27" s="134">
        <f>IF(SUM(F19:F26)=E8,SUM(F19:F26),"地上面积有误")</f>
        <v>71790.36</v>
      </c>
      <c r="G27" s="112">
        <f>SUM(G19:G26)</f>
        <v>33684.049999999996</v>
      </c>
      <c r="H27" s="975">
        <f>SUM(H19:H26)</f>
        <v>2208.23</v>
      </c>
      <c r="I27" s="976">
        <f>SUM(I19:I26)</f>
        <v>7947.9900000000007</v>
      </c>
      <c r="J27" s="1983"/>
      <c r="K27" s="2640">
        <f>SUM(K19:K26)</f>
        <v>3180.6299999999997</v>
      </c>
      <c r="L27" s="2641">
        <f>SUM(L19:L26)</f>
        <v>4767.3599999999997</v>
      </c>
      <c r="M27" s="2642">
        <f>SUM(M19:M26)</f>
        <v>7947.9900000000007</v>
      </c>
      <c r="N27" s="2640">
        <f t="shared" ref="N27:O27" si="10">SUM(N19:N26)</f>
        <v>0</v>
      </c>
      <c r="O27" s="2641">
        <f t="shared" si="10"/>
        <v>0</v>
      </c>
      <c r="P27" s="2643">
        <f>SUM(P19:P26)</f>
        <v>0</v>
      </c>
      <c r="R27" s="2304">
        <f>IF(SUM(R19:R26)=$D$3,SUM(R19:R26),SUM(R19:R26)&amp;"误差"&amp;ROUND(SUM(R19:R26)-$D$3,2))</f>
        <v>31512.720000000001</v>
      </c>
      <c r="S27" s="275">
        <f>IF(SUM(S19:S26)=$E$3,SUM(S19:S26),SUM(S19:S26)&amp;"误差"&amp;ROUND(SUM(S19:S26)-E3,2))</f>
        <v>113422.39999999999</v>
      </c>
    </row>
    <row r="28" spans="1:19">
      <c r="A28" s="138"/>
      <c r="B28" s="115" t="s">
        <v>226</v>
      </c>
      <c r="C28" s="136" t="s">
        <v>227</v>
      </c>
      <c r="D28" s="111">
        <f>ROUND($D$3*E28/$E$3,2)</f>
        <v>883.69</v>
      </c>
      <c r="E28" s="134">
        <f>SUM(F28:G28)</f>
        <v>3180.63</v>
      </c>
      <c r="F28" s="144">
        <f>'数据-基础表'!BQ5+'数据-基础表'!BS5</f>
        <v>0</v>
      </c>
      <c r="G28" s="145">
        <f>'数据-基础表'!BR5+'数据-基础表'!BT5</f>
        <v>3180.63</v>
      </c>
      <c r="H28" s="1983"/>
      <c r="I28" s="1983"/>
      <c r="J28" s="1983"/>
      <c r="K28" s="1983"/>
      <c r="L28" s="1983"/>
    </row>
    <row r="29" spans="1:19">
      <c r="A29" s="138"/>
      <c r="B29" s="115" t="s">
        <v>226</v>
      </c>
      <c r="C29" s="2312" t="s">
        <v>2320</v>
      </c>
      <c r="D29" s="111">
        <f>ROUND($D$3*E29/$E$3,2)</f>
        <v>1324.54</v>
      </c>
      <c r="E29" s="134">
        <f>SUM(F29:G29)</f>
        <v>4767.3600000000006</v>
      </c>
      <c r="F29" s="144">
        <f>'数据-基础表'!BM5+'数据-基础表'!BO5</f>
        <v>2466.02</v>
      </c>
      <c r="G29" s="146">
        <f>'数据-基础表'!BN5+'数据-基础表'!BP5</f>
        <v>2301.34</v>
      </c>
      <c r="H29" s="1983"/>
      <c r="I29" s="1983"/>
      <c r="J29" s="1983"/>
      <c r="K29" s="1983"/>
      <c r="L29" s="1983"/>
    </row>
    <row r="30" spans="1:19">
      <c r="A30" s="138"/>
      <c r="B30" s="111"/>
      <c r="C30" s="147" t="s">
        <v>214</v>
      </c>
      <c r="D30" s="134">
        <f>SUM(D28:D29)</f>
        <v>2208.23</v>
      </c>
      <c r="E30" s="134">
        <f>SUM(E28:E29)</f>
        <v>7947.9900000000007</v>
      </c>
      <c r="F30" s="134">
        <f>SUM(F28:F29)</f>
        <v>2466.02</v>
      </c>
      <c r="G30" s="112">
        <f>SUM(G28:G29)</f>
        <v>5481.97</v>
      </c>
      <c r="H30" s="1983"/>
      <c r="I30" s="1983"/>
      <c r="J30" s="1983"/>
      <c r="K30" s="1983"/>
      <c r="L30" s="1983"/>
    </row>
    <row r="31" spans="1:19" ht="32.25" customHeight="1" thickBot="1">
      <c r="A31" s="1369"/>
      <c r="B31" s="1370" t="s">
        <v>228</v>
      </c>
      <c r="C31" s="2329" t="s">
        <v>2322</v>
      </c>
      <c r="D31" s="1371">
        <f>D27+D30</f>
        <v>31512.720000000001</v>
      </c>
      <c r="E31" s="1371">
        <f>E27+E30</f>
        <v>113422.40000000001</v>
      </c>
      <c r="F31" s="1372">
        <f>F27+F30</f>
        <v>74256.38</v>
      </c>
      <c r="G31" s="1373">
        <f>G27+G30</f>
        <v>39166.019999999997</v>
      </c>
      <c r="H31" s="1983"/>
      <c r="I31" s="1983"/>
      <c r="J31" s="1983"/>
      <c r="K31" s="1983"/>
      <c r="L31" s="1983"/>
    </row>
    <row r="32" spans="1:19">
      <c r="A32" s="1983"/>
      <c r="B32" s="2362" t="s">
        <v>2321</v>
      </c>
      <c r="C32" s="2670"/>
      <c r="D32" s="1201"/>
      <c r="E32" s="1201">
        <f>SUMIF(C19:C26,"*住宅*",E19:E26)</f>
        <v>71686.3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activeCellId="1" sqref="M14 M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43207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3212</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68296</v>
      </c>
      <c r="F6" s="174">
        <f>SUMIF(项目基本情况!D$15:I$15,C6,项目基本情况!D$19:I$19)</f>
        <v>68.73</v>
      </c>
      <c r="G6" s="175">
        <f>IF(ISERROR(ROUND(POWER(1+H6,D6-F6)*(POWER(1+H6,F6)-1)/(POWER(1+H6,D6)-1),3)),0,ROUND(POWER(1+H6,D6-F6)*(POWER(1+H6,F6)-1)/(POWER(1+H6,D6)-1),3))</f>
        <v>0.996</v>
      </c>
      <c r="H6" s="3047">
        <v>0.04</v>
      </c>
      <c r="I6" s="3047">
        <v>4.4999999999999998E-2</v>
      </c>
      <c r="J6" s="176">
        <v>8.5000000000000006E-2</v>
      </c>
      <c r="K6" s="179">
        <f>SUMIF('数据-汇总表'!C$19:C$33,'数据-取费表'!A6,'数据-汇总表'!E$19:E$33)</f>
        <v>71686.3</v>
      </c>
      <c r="L6" s="3048">
        <v>3200</v>
      </c>
      <c r="M6" s="177">
        <f t="shared" ref="M6:M14" si="0">ROUND(K6*L6/10000,0)</f>
        <v>22940</v>
      </c>
      <c r="N6" s="3049">
        <v>0</v>
      </c>
      <c r="O6" s="177">
        <f>IF($N$5="成新度","——",ROUND(M6*N6,0))</f>
        <v>0</v>
      </c>
      <c r="P6" s="178">
        <f>IF($N$5="成新度","——",M6-O6)</f>
        <v>22940</v>
      </c>
      <c r="Q6" s="3207">
        <v>0.08</v>
      </c>
      <c r="R6" s="179">
        <f>SUMIF('数据-汇总表'!C$19:C$33,A6,'数据-汇总表'!R$19:R$33)</f>
        <v>21842.11</v>
      </c>
      <c r="S6" s="132">
        <f>IF('数据-汇总表'!$I$17="按面积比例",SUMIF('数据-汇总表'!C$19:C$33,A6,'数据-汇总表'!K$19:K$33),SUMIF('数据-汇总表'!C$19:C$33,A6,'数据-汇总表'!N$19:N$33))</f>
        <v>2161.73</v>
      </c>
      <c r="T6" s="2233">
        <f>IF($T$4="按面积比例",IF(ISERROR(ROUND($M$14*S6/S$16,0)),"0",ROUND($M$14*S6/S$16,0)),"需自行计算录入")</f>
        <v>606</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0.93300000000000005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3005</v>
      </c>
      <c r="D7" s="2307">
        <f>SUMIF(项目基本情况!D$15:I$15,C7,项目基本情况!D$18:I$18)</f>
        <v>50</v>
      </c>
      <c r="E7" s="2308">
        <f>IF(B7="","",SUMIF(项目基本情况!D$15:I$15,C7,项目基本情况!D$17:I$17))</f>
        <v>60991</v>
      </c>
      <c r="F7" s="174">
        <f>SUMIF(项目基本情况!D$15:I$15,C7,项目基本情况!D$19:I$19)</f>
        <v>48.72</v>
      </c>
      <c r="G7" s="175">
        <f t="shared" ref="G7:G11" si="2">IF(ISERROR(ROUND(POWER(1+H7,D7-F7)*(POWER(1+H7,F7)-1)/(POWER(1+H7,D7)-1),3)),0,ROUND(POWER(1+H7,D7-F7)*(POWER(1+H7,F7)-1)/(POWER(1+H7,D7)-1),3))</f>
        <v>0.99399999999999999</v>
      </c>
      <c r="H7" s="3047">
        <v>0.05</v>
      </c>
      <c r="I7" s="3047">
        <v>5.5E-2</v>
      </c>
      <c r="J7" s="176">
        <v>8.5000000000000006E-2</v>
      </c>
      <c r="K7" s="179">
        <f>SUMIF('数据-汇总表'!C$19:C$33,'数据-取费表'!A7,'数据-汇总表'!E$19:E$33)</f>
        <v>8977.4699999999993</v>
      </c>
      <c r="L7" s="3048">
        <v>2800</v>
      </c>
      <c r="M7" s="177">
        <f t="shared" si="0"/>
        <v>2514</v>
      </c>
      <c r="N7" s="3049">
        <v>0</v>
      </c>
      <c r="O7" s="177">
        <f t="shared" ref="O7:O14" si="3">IF($N$5="成新度","——",ROUND(M7*N7,0))</f>
        <v>0</v>
      </c>
      <c r="P7" s="178">
        <f t="shared" ref="P7:P14" si="4">IF($N$5="成新度","——",M7-O7)</f>
        <v>2514</v>
      </c>
      <c r="Q7" s="3207">
        <v>0.05</v>
      </c>
      <c r="R7" s="179">
        <f>SUMIF('数据-汇总表'!C$19:C$33,A7,'数据-汇总表'!R$19:R$33)</f>
        <v>2569.48</v>
      </c>
      <c r="S7" s="132">
        <f>IF('数据-汇总表'!$I$17="按面积比例",SUMIF('数据-汇总表'!C$19:C$33,A7,'数据-汇总表'!K$19:K$33),SUMIF('数据-汇总表'!C$19:C$33,A7,'数据-汇总表'!N$19:N$33))</f>
        <v>270.72000000000003</v>
      </c>
      <c r="T7" s="2233">
        <f t="shared" ref="T7:T13" si="5">IF($T$4="按面积比例",IF(ISERROR(ROUND($M$14*S7/S$16,0)),"0",ROUND($M$14*S7/S$16,0)),"需自行计算录入")</f>
        <v>76</v>
      </c>
      <c r="U7" s="180">
        <v>2.5</v>
      </c>
      <c r="V7" s="181">
        <v>2.5000000000000001E-2</v>
      </c>
      <c r="W7" s="181">
        <v>0.1</v>
      </c>
      <c r="X7" s="2320"/>
      <c r="Y7" s="182">
        <v>1</v>
      </c>
      <c r="Z7" s="183"/>
      <c r="AA7" s="176"/>
      <c r="AB7" s="176"/>
      <c r="AC7" s="2323"/>
      <c r="AD7" s="184"/>
      <c r="AE7" s="972">
        <f t="shared" ref="AE7:AE13" ca="1" si="6">IF(AN7="",0,SUMIF(INDIRECT("'"&amp;AN7&amp;"'"&amp;"!E:E"),$AE$5,INDIRECT("'"&amp;AN7&amp;"'"&amp;"!F:F")))</f>
        <v>46.72</v>
      </c>
      <c r="AF7" s="141"/>
      <c r="AG7" s="1213">
        <f t="shared" ref="AG7:AG13" si="7">IF(AF7="",0,AE7-AF7)</f>
        <v>0</v>
      </c>
      <c r="AH7" s="141"/>
      <c r="AI7" s="187">
        <v>365</v>
      </c>
      <c r="AJ7" s="188"/>
      <c r="AK7" s="189">
        <v>1.4999999999999999E-2</v>
      </c>
      <c r="AL7" s="190">
        <v>1.5E-3</v>
      </c>
      <c r="AM7" s="3060">
        <v>0.01</v>
      </c>
      <c r="AN7" s="2415" t="s">
        <v>3015</v>
      </c>
      <c r="AO7" s="1999"/>
      <c r="AP7" s="1204">
        <f t="shared" ref="AP7:AP13" si="8">ROUND(1-1/(1+H7)^F7,3)</f>
        <v>0.90700000000000003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3007</v>
      </c>
      <c r="D8" s="2307">
        <f>SUMIF(项目基本情况!D$15:I$15,C8,项目基本情况!D$18:I$18)</f>
        <v>50</v>
      </c>
      <c r="E8" s="2308">
        <f>IF(B8="","",SUMIF(项目基本情况!D$15:I$15,C8,项目基本情况!D$17:I$17))</f>
        <v>60991</v>
      </c>
      <c r="F8" s="174">
        <f>SUMIF(项目基本情况!D$15:I$15,C8,项目基本情况!D$19:I$19)</f>
        <v>48.72</v>
      </c>
      <c r="G8" s="175">
        <f t="shared" si="2"/>
        <v>0.99399999999999999</v>
      </c>
      <c r="H8" s="3047">
        <v>0.05</v>
      </c>
      <c r="I8" s="3047">
        <v>5.5E-2</v>
      </c>
      <c r="J8" s="176">
        <v>8.5000000000000006E-2</v>
      </c>
      <c r="K8" s="179">
        <f>SUMIF('数据-汇总表'!C$19:C$33,'数据-取费表'!A8,'数据-汇总表'!E$19:E$33)</f>
        <v>24706.579999999998</v>
      </c>
      <c r="L8" s="3048">
        <v>2800</v>
      </c>
      <c r="M8" s="177">
        <f>ROUND(K8*L8/10000,0)</f>
        <v>6918</v>
      </c>
      <c r="N8" s="3049">
        <v>0</v>
      </c>
      <c r="O8" s="177">
        <f t="shared" si="3"/>
        <v>0</v>
      </c>
      <c r="P8" s="178">
        <f t="shared" si="4"/>
        <v>6918</v>
      </c>
      <c r="Q8" s="3207">
        <v>0.03</v>
      </c>
      <c r="R8" s="179">
        <f>SUMIF('数据-汇总表'!C$19:C$33,A8,'数据-汇总表'!R$19:R$33)</f>
        <v>7071.35</v>
      </c>
      <c r="S8" s="132">
        <f>IF('数据-汇总表'!$I$17="按面积比例",SUMIF('数据-汇总表'!C$19:C$33,A8,'数据-汇总表'!K$19:K$33),SUMIF('数据-汇总表'!C$19:C$33,A8,'数据-汇总表'!N$19:N$33))</f>
        <v>745.04</v>
      </c>
      <c r="T8" s="2233">
        <f t="shared" si="5"/>
        <v>209</v>
      </c>
      <c r="U8" s="180">
        <v>1500</v>
      </c>
      <c r="V8" s="181">
        <v>2.5000000000000001E-2</v>
      </c>
      <c r="W8" s="181">
        <v>0.05</v>
      </c>
      <c r="X8" s="2320"/>
      <c r="Y8" s="182">
        <v>1</v>
      </c>
      <c r="Z8" s="183"/>
      <c r="AA8" s="176"/>
      <c r="AB8" s="176"/>
      <c r="AC8" s="2323"/>
      <c r="AD8" s="184"/>
      <c r="AE8" s="972">
        <f t="shared" ca="1" si="6"/>
        <v>46.72</v>
      </c>
      <c r="AF8" s="141"/>
      <c r="AG8" s="1213">
        <f t="shared" si="7"/>
        <v>0</v>
      </c>
      <c r="AH8" s="141">
        <v>705</v>
      </c>
      <c r="AI8" s="187">
        <v>12</v>
      </c>
      <c r="AJ8" s="188"/>
      <c r="AK8" s="189">
        <f>AK7</f>
        <v>1.4999999999999999E-2</v>
      </c>
      <c r="AL8" s="190">
        <f>AL7</f>
        <v>1.5E-3</v>
      </c>
      <c r="AM8" s="3060">
        <f>AM7</f>
        <v>0.01</v>
      </c>
      <c r="AN8" s="2415" t="s">
        <v>3017</v>
      </c>
      <c r="AO8" s="1999">
        <f>K8/35</f>
        <v>705.90228571428565</v>
      </c>
      <c r="AP8" s="1204">
        <f t="shared" si="8"/>
        <v>0.90700000000000003</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3009</v>
      </c>
      <c r="D9" s="2307">
        <f>SUMIF(项目基本情况!D$15:I$15,C9,项目基本情况!D$18:I$18)</f>
        <v>40</v>
      </c>
      <c r="E9" s="2308">
        <f>IF(B9="","",SUMIF(项目基本情况!D$15:I$15,C9,项目基本情况!D$17:I$17))</f>
        <v>57339</v>
      </c>
      <c r="F9" s="174">
        <f>SUMIF(项目基本情况!D$15:I$15,C9,项目基本情况!D$19:I$19)</f>
        <v>38.71</v>
      </c>
      <c r="G9" s="175">
        <f t="shared" si="2"/>
        <v>0.99</v>
      </c>
      <c r="H9" s="176">
        <v>5.5E-2</v>
      </c>
      <c r="I9" s="176">
        <v>0.06</v>
      </c>
      <c r="J9" s="176">
        <v>8.5000000000000006E-2</v>
      </c>
      <c r="K9" s="179">
        <f>SUMIF('数据-汇总表'!C$19:C$33,'数据-取费表'!A9,'数据-汇总表'!E$19:E$33)</f>
        <v>104.06</v>
      </c>
      <c r="L9" s="193">
        <v>3000</v>
      </c>
      <c r="M9" s="177">
        <f t="shared" si="0"/>
        <v>31</v>
      </c>
      <c r="N9" s="194">
        <v>0</v>
      </c>
      <c r="O9" s="177">
        <f t="shared" si="3"/>
        <v>0</v>
      </c>
      <c r="P9" s="178">
        <f t="shared" si="4"/>
        <v>31</v>
      </c>
      <c r="Q9" s="192">
        <v>0.2</v>
      </c>
      <c r="R9" s="179">
        <f>SUMIF('数据-汇总表'!C$19:C$33,A9,'数据-汇总表'!R$19:R$33)</f>
        <v>29.78</v>
      </c>
      <c r="S9" s="132">
        <f>IF('数据-汇总表'!$I$17="按面积比例",SUMIF('数据-汇总表'!C$19:C$33,A9,'数据-汇总表'!K$19:K$33),SUMIF('数据-汇总表'!C$19:C$33,A9,'数据-汇总表'!N$19:N$33))</f>
        <v>3.14</v>
      </c>
      <c r="T9" s="2233">
        <f t="shared" si="5"/>
        <v>1</v>
      </c>
      <c r="U9" s="180">
        <v>5</v>
      </c>
      <c r="V9" s="181">
        <v>0.03</v>
      </c>
      <c r="W9" s="181">
        <v>0.05</v>
      </c>
      <c r="X9" s="2320"/>
      <c r="Y9" s="182">
        <v>1</v>
      </c>
      <c r="Z9" s="183"/>
      <c r="AA9" s="176"/>
      <c r="AB9" s="176"/>
      <c r="AC9" s="2323"/>
      <c r="AD9" s="184"/>
      <c r="AE9" s="972">
        <f t="shared" ca="1" si="6"/>
        <v>36.71</v>
      </c>
      <c r="AF9" s="141"/>
      <c r="AG9" s="1213">
        <f t="shared" si="7"/>
        <v>0</v>
      </c>
      <c r="AH9" s="141"/>
      <c r="AI9" s="187">
        <v>365</v>
      </c>
      <c r="AJ9" s="188"/>
      <c r="AK9" s="189">
        <f>AK7</f>
        <v>1.4999999999999999E-2</v>
      </c>
      <c r="AL9" s="190">
        <f>AL7</f>
        <v>1.5E-3</v>
      </c>
      <c r="AM9" s="2413">
        <f>AM7</f>
        <v>0.01</v>
      </c>
      <c r="AN9" s="2415" t="s">
        <v>3219</v>
      </c>
      <c r="AO9" s="1999"/>
      <c r="AP9" s="1204">
        <f t="shared" si="8"/>
        <v>0.874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3180.63</v>
      </c>
      <c r="L14" s="193">
        <f>L8</f>
        <v>2800</v>
      </c>
      <c r="M14" s="177">
        <f t="shared" si="0"/>
        <v>891</v>
      </c>
      <c r="N14" s="194">
        <v>0</v>
      </c>
      <c r="O14" s="177">
        <f t="shared" si="3"/>
        <v>0</v>
      </c>
      <c r="P14" s="178">
        <f t="shared" si="4"/>
        <v>891</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4767.3600000000006</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0.995</v>
      </c>
      <c r="H16" s="203">
        <f>ROUND(SUMPRODUCT(H6:H13,K6:K13)/SUMPRODUCT((H6:H13&gt;0)*(K6:K13)),3)</f>
        <v>4.2999999999999997E-2</v>
      </c>
      <c r="I16" s="204"/>
      <c r="J16" s="204"/>
      <c r="K16" s="205">
        <f>SUM(K6:K15)</f>
        <v>113422.40000000001</v>
      </c>
      <c r="L16" s="206">
        <f>ROUND(M16*10000/SUM(K6:K14),0)</f>
        <v>3064</v>
      </c>
      <c r="M16" s="206">
        <f>SUM(M6:M14)</f>
        <v>33294</v>
      </c>
      <c r="N16" s="207">
        <f>ROUND(SUMPRODUCT(M6:M14,N6:N14)/M16,3)</f>
        <v>0</v>
      </c>
      <c r="O16" s="206">
        <f>SUM(O6:O14)</f>
        <v>0</v>
      </c>
      <c r="P16" s="206">
        <f>SUM(P6:P14)</f>
        <v>33294</v>
      </c>
      <c r="Q16" s="208">
        <f>ROUND(SUMPRODUCT(Q6:Q13,K6:K13)/SUMPRODUCT((Q6:Q13&gt;0)*(K6:K13)),2)</f>
        <v>7.0000000000000007E-2</v>
      </c>
      <c r="R16" s="2310">
        <f>SUM(R6:R13)</f>
        <v>31512.720000000001</v>
      </c>
      <c r="S16" s="209">
        <f>SUM(S6:S13)</f>
        <v>3180.6299999999997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3" t="s">
        <v>1663</v>
      </c>
      <c r="B1" s="3314"/>
      <c r="C1" s="3314"/>
      <c r="D1" s="3314"/>
      <c r="E1" s="3314"/>
      <c r="F1" s="3314"/>
      <c r="G1" s="331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3173</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3176</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3183</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3180</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3178</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2" sqref="D22"/>
    </sheetView>
  </sheetViews>
  <sheetFormatPr defaultColWidth="14.625" defaultRowHeight="13.5"/>
  <cols>
    <col min="1" max="1" width="24.375" customWidth="1"/>
  </cols>
  <sheetData>
    <row r="1" spans="1:9" ht="16.5">
      <c r="A1" s="3066" t="s">
        <v>2844</v>
      </c>
      <c r="B1" s="3066">
        <f>SUM(B14:B23)</f>
        <v>288401.97000000003</v>
      </c>
      <c r="C1" s="3067"/>
      <c r="D1" s="3067"/>
      <c r="E1" s="3067"/>
      <c r="F1" s="3067"/>
    </row>
    <row r="2" spans="1:9" ht="16.5">
      <c r="A2" s="3066" t="s">
        <v>2845</v>
      </c>
      <c r="B2" s="3066">
        <f>SUM(C14:C23)</f>
        <v>79051.77</v>
      </c>
      <c r="C2" s="3067"/>
      <c r="D2" s="3067"/>
      <c r="E2" s="3067"/>
      <c r="F2" s="3067"/>
    </row>
    <row r="3" spans="1:9" ht="16.5">
      <c r="A3" s="3066" t="s">
        <v>2846</v>
      </c>
      <c r="B3" s="3068">
        <f>项目基本情况!D3</f>
        <v>43207</v>
      </c>
      <c r="C3" s="3067"/>
      <c r="D3" s="3067"/>
      <c r="E3" s="3067"/>
      <c r="F3" s="3067"/>
    </row>
    <row r="4" spans="1:9" ht="33">
      <c r="A4" s="3066" t="s">
        <v>2847</v>
      </c>
      <c r="B4" s="3066" t="s">
        <v>2848</v>
      </c>
      <c r="C4" s="3066" t="s">
        <v>2849</v>
      </c>
      <c r="D4" s="3066" t="s">
        <v>2850</v>
      </c>
      <c r="E4" s="3067"/>
      <c r="F4" s="3067"/>
    </row>
    <row r="5" spans="1:9" ht="16.5">
      <c r="A5" s="3066" t="s">
        <v>2851</v>
      </c>
      <c r="B5" s="3066">
        <f ca="1">SUM(D14:D23)</f>
        <v>537599</v>
      </c>
      <c r="C5" s="3066">
        <f ca="1">ROUND(B5*10000/$B$1,0)</f>
        <v>18641</v>
      </c>
      <c r="D5" s="3066">
        <f ca="1">ROUND(B5*10000/$B$2,0)</f>
        <v>68006</v>
      </c>
      <c r="E5" s="3067"/>
      <c r="F5" s="3067"/>
    </row>
    <row r="6" spans="1:9" ht="16.5">
      <c r="A6" s="3066" t="s">
        <v>2852</v>
      </c>
      <c r="B6" s="3066">
        <f ca="1">SUM(G14:G23)</f>
        <v>523374</v>
      </c>
      <c r="C6" s="3066">
        <f t="shared" ref="C6:C8" ca="1" si="0">ROUND(B6*10000/$B$1,0)</f>
        <v>18147</v>
      </c>
      <c r="D6" s="3066">
        <f t="shared" ref="D6:D8" ca="1" si="1">ROUND(B6*10000/$B$2,0)</f>
        <v>66206</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113422.40000000001</v>
      </c>
      <c r="C14" s="3070">
        <f>结果表!K38</f>
        <v>31512.720000000001</v>
      </c>
      <c r="D14" s="3070">
        <f ca="1">结果表!C42</f>
        <v>208524</v>
      </c>
      <c r="E14" s="3070">
        <f ca="1">ROUND(D14*10000/B14,0)</f>
        <v>18385</v>
      </c>
      <c r="F14" s="3070">
        <f ca="1">ROUND(D14*10000/C14,0)</f>
        <v>66171</v>
      </c>
      <c r="G14" s="3070">
        <f ca="1">结果表!C44</f>
        <v>203210</v>
      </c>
      <c r="H14" s="3070" t="str">
        <f>结果表!C45</f>
        <v>——</v>
      </c>
      <c r="I14" s="3070" t="str">
        <f>结果表!C46</f>
        <v>——</v>
      </c>
    </row>
    <row r="15" spans="1:9" ht="16.5">
      <c r="A15" s="3073" t="s">
        <v>2861</v>
      </c>
      <c r="B15" s="3074">
        <f>[1]结果表!$L$38</f>
        <v>174979.57</v>
      </c>
      <c r="C15" s="3074">
        <f>[1]结果表!$K$38</f>
        <v>47539.05</v>
      </c>
      <c r="D15" s="3074">
        <f>[1]结果表!$O$38</f>
        <v>329075</v>
      </c>
      <c r="E15" s="3070">
        <f t="shared" ref="E15:E23" si="2">ROUND(D15*10000/B15,0)</f>
        <v>18806</v>
      </c>
      <c r="F15" s="3070">
        <f t="shared" ref="F15:F23" si="3">ROUND(D15*10000/C15,0)</f>
        <v>69222</v>
      </c>
      <c r="G15" s="3071">
        <f>[1]结果表!$O$39</f>
        <v>320164</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4" zoomScale="85" zoomScaleNormal="100" zoomScaleSheetLayoutView="85"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3206</v>
      </c>
      <c r="E1" s="1804" t="s">
        <v>2057</v>
      </c>
      <c r="F1" s="1806" t="s">
        <v>3207</v>
      </c>
      <c r="G1" s="311"/>
      <c r="H1" s="311"/>
      <c r="I1" s="311"/>
      <c r="J1" s="2028"/>
      <c r="K1" s="2028"/>
      <c r="L1" s="2028"/>
      <c r="M1" s="2028"/>
      <c r="N1" s="2028"/>
      <c r="O1" s="2028"/>
      <c r="P1" s="2028"/>
      <c r="Q1" s="2028"/>
      <c r="R1" s="2028"/>
      <c r="S1" s="2028"/>
      <c r="T1" s="2028"/>
      <c r="U1" s="2028"/>
      <c r="V1" s="2028"/>
    </row>
    <row r="2" spans="1:22" ht="21.75" customHeight="1" thickBot="1">
      <c r="A2" s="3351" t="str">
        <f>项目基本情况!K2</f>
        <v>北京市海淀区“海淀北部地区整体开发”西北旺镇亮甲店村HD00-0404-6005地块R2二类居住用地出让国有建设用地使用权</v>
      </c>
      <c r="B2" s="3352"/>
      <c r="C2" s="3353"/>
      <c r="D2" s="3353"/>
      <c r="E2" s="3353"/>
      <c r="F2" s="3353"/>
      <c r="G2" s="3352"/>
      <c r="H2" s="3352"/>
      <c r="I2" s="3354"/>
      <c r="J2" s="2029"/>
      <c r="K2" s="2028"/>
      <c r="L2" s="2028"/>
      <c r="M2" s="2028"/>
      <c r="N2" s="2028"/>
      <c r="O2" s="2028"/>
      <c r="P2" s="2028"/>
      <c r="Q2" s="2028"/>
      <c r="R2" s="2028"/>
      <c r="S2" s="2028"/>
      <c r="T2" s="2028"/>
      <c r="U2" s="2028"/>
      <c r="V2" s="2028"/>
    </row>
    <row r="3" spans="1:22" ht="14.25">
      <c r="A3" s="3344" t="s">
        <v>297</v>
      </c>
      <c r="B3" s="3345"/>
      <c r="C3" s="3345"/>
      <c r="D3" s="3345"/>
      <c r="E3" s="3345"/>
      <c r="F3" s="3345"/>
      <c r="G3" s="3345"/>
      <c r="H3" s="3345"/>
      <c r="I3" s="3345"/>
      <c r="J3" s="2029"/>
      <c r="K3" s="2028"/>
      <c r="L3" s="2028"/>
      <c r="M3" s="2028"/>
      <c r="N3" s="2028"/>
      <c r="O3" s="2028"/>
      <c r="P3" s="2028"/>
      <c r="Q3" s="2028"/>
      <c r="R3" s="2028"/>
      <c r="S3" s="2028"/>
      <c r="T3" s="2028"/>
      <c r="U3" s="2028"/>
      <c r="V3" s="2028"/>
    </row>
    <row r="4" spans="1:22" ht="14.25">
      <c r="A4" s="258" t="s">
        <v>298</v>
      </c>
      <c r="B4" s="259" t="s">
        <v>299</v>
      </c>
      <c r="C4" s="260" t="s">
        <v>3208</v>
      </c>
      <c r="D4" s="260" t="s">
        <v>3209</v>
      </c>
      <c r="E4" s="3316" t="s">
        <v>300</v>
      </c>
      <c r="F4" s="3317"/>
      <c r="G4" s="3317"/>
      <c r="H4" s="3317"/>
      <c r="I4" s="334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15" t="s">
        <v>301</v>
      </c>
      <c r="B5" s="3341">
        <v>25</v>
      </c>
      <c r="C5" s="3339"/>
      <c r="D5" s="3343"/>
      <c r="E5" s="261" t="s">
        <v>302</v>
      </c>
      <c r="F5" s="262"/>
      <c r="G5" s="262"/>
      <c r="H5" s="262"/>
      <c r="I5" s="263"/>
      <c r="J5" s="2029"/>
      <c r="K5" s="2028"/>
      <c r="L5" s="2028"/>
      <c r="M5" s="2028"/>
      <c r="N5" s="2028"/>
      <c r="O5" s="2028"/>
      <c r="P5" s="2028"/>
      <c r="Q5" s="2028"/>
      <c r="R5" s="2028"/>
      <c r="S5" s="2028"/>
      <c r="T5" s="2028"/>
      <c r="U5" s="2028"/>
      <c r="V5" s="2028"/>
    </row>
    <row r="6" spans="1:22" ht="14.25">
      <c r="A6" s="3315"/>
      <c r="B6" s="3341"/>
      <c r="C6" s="3342"/>
      <c r="D6" s="3343"/>
      <c r="E6" s="261" t="s">
        <v>303</v>
      </c>
      <c r="F6" s="262"/>
      <c r="G6" s="262"/>
      <c r="H6" s="262"/>
      <c r="I6" s="263"/>
      <c r="J6" s="2029"/>
      <c r="K6" s="2028"/>
      <c r="L6" s="2028"/>
      <c r="M6" s="2028"/>
      <c r="N6" s="2028"/>
      <c r="O6" s="2028"/>
      <c r="P6" s="2028"/>
      <c r="Q6" s="2028"/>
      <c r="R6" s="2028"/>
      <c r="S6" s="2028"/>
      <c r="T6" s="2028"/>
      <c r="U6" s="2028"/>
      <c r="V6" s="2028"/>
    </row>
    <row r="7" spans="1:22" ht="14.25">
      <c r="A7" s="3315"/>
      <c r="B7" s="3341"/>
      <c r="C7" s="3340"/>
      <c r="D7" s="3343"/>
      <c r="E7" s="261" t="s">
        <v>304</v>
      </c>
      <c r="F7" s="262"/>
      <c r="G7" s="262"/>
      <c r="H7" s="262"/>
      <c r="I7" s="263"/>
      <c r="J7" s="2029"/>
      <c r="K7" s="2028"/>
      <c r="L7" s="2028"/>
      <c r="M7" s="2028"/>
      <c r="N7" s="2028"/>
      <c r="O7" s="2028"/>
      <c r="P7" s="2028"/>
      <c r="Q7" s="2028"/>
      <c r="R7" s="2028"/>
      <c r="S7" s="2028"/>
      <c r="T7" s="2028"/>
      <c r="U7" s="2028"/>
      <c r="V7" s="2028"/>
    </row>
    <row r="8" spans="1:22" ht="14.25">
      <c r="A8" s="3315" t="s">
        <v>305</v>
      </c>
      <c r="B8" s="3341">
        <v>15</v>
      </c>
      <c r="C8" s="3339"/>
      <c r="D8" s="3343"/>
      <c r="E8" s="261" t="s">
        <v>306</v>
      </c>
      <c r="F8" s="262"/>
      <c r="G8" s="262"/>
      <c r="H8" s="262"/>
      <c r="I8" s="263"/>
      <c r="J8" s="2029"/>
      <c r="K8" s="2028"/>
      <c r="L8" s="2028"/>
      <c r="M8" s="2028"/>
      <c r="N8" s="2028"/>
      <c r="O8" s="2028"/>
      <c r="P8" s="2028"/>
      <c r="Q8" s="2028"/>
      <c r="R8" s="2028"/>
      <c r="S8" s="2028"/>
      <c r="T8" s="2028"/>
      <c r="U8" s="2028"/>
      <c r="V8" s="2028"/>
    </row>
    <row r="9" spans="1:22" ht="14.25">
      <c r="A9" s="3315"/>
      <c r="B9" s="3341"/>
      <c r="C9" s="3340"/>
      <c r="D9" s="3343"/>
      <c r="E9" s="261" t="s">
        <v>307</v>
      </c>
      <c r="F9" s="262"/>
      <c r="G9" s="262"/>
      <c r="H9" s="262"/>
      <c r="I9" s="263"/>
      <c r="J9" s="2029"/>
      <c r="K9" s="2028"/>
      <c r="L9" s="2028"/>
      <c r="M9" s="2028"/>
      <c r="N9" s="2028"/>
      <c r="O9" s="2028"/>
      <c r="P9" s="2028"/>
      <c r="Q9" s="2028"/>
      <c r="R9" s="2028"/>
      <c r="S9" s="2028"/>
      <c r="T9" s="2028"/>
      <c r="U9" s="2028"/>
      <c r="V9" s="2028"/>
    </row>
    <row r="10" spans="1:22" ht="14.25">
      <c r="A10" s="3315" t="s">
        <v>308</v>
      </c>
      <c r="B10" s="3341">
        <v>15</v>
      </c>
      <c r="C10" s="3339"/>
      <c r="D10" s="3343"/>
      <c r="E10" s="261" t="s">
        <v>309</v>
      </c>
      <c r="F10" s="262"/>
      <c r="G10" s="262"/>
      <c r="H10" s="262"/>
      <c r="I10" s="263"/>
      <c r="J10" s="2029"/>
      <c r="K10" s="2028"/>
      <c r="L10" s="2028"/>
      <c r="M10" s="2028"/>
      <c r="N10" s="2028"/>
      <c r="O10" s="2028"/>
      <c r="P10" s="2028"/>
      <c r="Q10" s="2028"/>
      <c r="R10" s="2028"/>
      <c r="S10" s="2028"/>
      <c r="T10" s="2028"/>
      <c r="U10" s="2028"/>
      <c r="V10" s="2028"/>
    </row>
    <row r="11" spans="1:22" ht="14.25">
      <c r="A11" s="3315"/>
      <c r="B11" s="3341"/>
      <c r="C11" s="3340"/>
      <c r="D11" s="3343"/>
      <c r="E11" s="261" t="s">
        <v>310</v>
      </c>
      <c r="F11" s="262"/>
      <c r="G11" s="262"/>
      <c r="H11" s="262"/>
      <c r="I11" s="263"/>
      <c r="J11" s="2029"/>
      <c r="K11" s="2028"/>
      <c r="L11" s="2028"/>
      <c r="M11" s="2028"/>
      <c r="N11" s="2028"/>
      <c r="O11" s="2028"/>
      <c r="P11" s="2028"/>
      <c r="Q11" s="2028"/>
      <c r="R11" s="2028"/>
      <c r="S11" s="2028"/>
      <c r="T11" s="2028"/>
      <c r="U11" s="2028"/>
      <c r="V11" s="2028"/>
    </row>
    <row r="12" spans="1:22" ht="14.25">
      <c r="A12" s="3315" t="s">
        <v>311</v>
      </c>
      <c r="B12" s="3341">
        <v>15</v>
      </c>
      <c r="C12" s="3339"/>
      <c r="D12" s="3343"/>
      <c r="E12" s="261" t="s">
        <v>312</v>
      </c>
      <c r="F12" s="262"/>
      <c r="G12" s="262"/>
      <c r="H12" s="262"/>
      <c r="I12" s="263"/>
      <c r="J12" s="2029"/>
      <c r="K12" s="2028"/>
      <c r="L12" s="2028"/>
      <c r="M12" s="2028"/>
      <c r="N12" s="2028"/>
      <c r="O12" s="2028"/>
      <c r="P12" s="2028"/>
      <c r="Q12" s="2028"/>
      <c r="R12" s="2028"/>
      <c r="S12" s="2028"/>
      <c r="T12" s="2028"/>
      <c r="U12" s="2028"/>
      <c r="V12" s="2028"/>
    </row>
    <row r="13" spans="1:22" ht="14.25">
      <c r="A13" s="3315"/>
      <c r="B13" s="3341"/>
      <c r="C13" s="3340"/>
      <c r="D13" s="3343"/>
      <c r="E13" s="261" t="s">
        <v>313</v>
      </c>
      <c r="F13" s="262"/>
      <c r="G13" s="262"/>
      <c r="H13" s="262"/>
      <c r="I13" s="263"/>
      <c r="J13" s="2029"/>
      <c r="K13" s="2028"/>
      <c r="L13" s="2028"/>
      <c r="M13" s="2028"/>
      <c r="N13" s="2028"/>
      <c r="O13" s="2028"/>
      <c r="P13" s="2028"/>
      <c r="Q13" s="2028"/>
      <c r="R13" s="2028"/>
      <c r="S13" s="2028"/>
      <c r="T13" s="2028"/>
      <c r="U13" s="2028"/>
      <c r="V13" s="2028"/>
    </row>
    <row r="14" spans="1:22" ht="14.25">
      <c r="A14" s="3315" t="s">
        <v>314</v>
      </c>
      <c r="B14" s="3341">
        <v>30</v>
      </c>
      <c r="C14" s="3339">
        <v>5</v>
      </c>
      <c r="D14" s="3343">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15"/>
      <c r="B15" s="3341"/>
      <c r="C15" s="3342"/>
      <c r="D15" s="3343"/>
      <c r="E15" s="261" t="s">
        <v>316</v>
      </c>
      <c r="F15" s="262"/>
      <c r="G15" s="262"/>
      <c r="H15" s="262"/>
      <c r="I15" s="263"/>
      <c r="J15" s="2029"/>
      <c r="K15" s="2028"/>
      <c r="L15" s="2028"/>
      <c r="M15" s="2028"/>
      <c r="N15" s="2028"/>
      <c r="O15" s="2028"/>
      <c r="P15" s="2028"/>
      <c r="Q15" s="2028"/>
      <c r="R15" s="2028"/>
      <c r="S15" s="2028"/>
      <c r="T15" s="2028"/>
      <c r="U15" s="2028"/>
      <c r="V15" s="2028"/>
    </row>
    <row r="16" spans="1:22" ht="14.25">
      <c r="A16" s="3315"/>
      <c r="B16" s="3341"/>
      <c r="C16" s="3340"/>
      <c r="D16" s="3343"/>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200682</v>
      </c>
      <c r="D19" s="271">
        <f ca="1">SUMIF(INDIRECT("'"&amp;D4&amp;"'"&amp;"!A:A"),结果表!B19,INDIRECT("'"&amp;D4&amp;"'"&amp;"!B:B"))</f>
        <v>216366</v>
      </c>
      <c r="E19" s="268" t="s">
        <v>322</v>
      </c>
      <c r="F19" s="269" t="s">
        <v>321</v>
      </c>
      <c r="G19" s="272">
        <f ca="1">ROUND(C19*$C$18+D19*$D$18,0)</f>
        <v>208524</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17693</v>
      </c>
      <c r="D20" s="277">
        <f ca="1">SUMIF(INDIRECT("'"&amp;D4&amp;"'"&amp;"!A:A"),结果表!B20,INDIRECT("'"&amp;D4&amp;"'"&amp;"!B:B"))</f>
        <v>19076</v>
      </c>
      <c r="E20" s="274"/>
      <c r="F20" s="275" t="s">
        <v>324</v>
      </c>
      <c r="G20" s="278">
        <f ca="1">ROUND(C20*$C$18+D20*$D$18,0)</f>
        <v>18385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63683</v>
      </c>
      <c r="D21" s="151">
        <f ca="1">SUMIF(INDIRECT("'"&amp;D4&amp;"'"&amp;"!A:A"),结果表!B21,INDIRECT("'"&amp;D4&amp;"'"&amp;"!B:B"))</f>
        <v>68660</v>
      </c>
      <c r="E21" s="274"/>
      <c r="F21" s="280" t="s">
        <v>326</v>
      </c>
      <c r="G21" s="282">
        <f ca="1">ROUND(C21*$C$18+D21*$D$18,0)</f>
        <v>66172</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7.8153496576673476E-2</v>
      </c>
      <c r="E22" s="284"/>
      <c r="F22" s="285"/>
      <c r="G22" s="286">
        <f ca="1">ROUND(G19/('数据-汇总表'!D3/666.67),0)</f>
        <v>4411</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1"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2"/>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出让国有建设用地使用权价格：208524万元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大写金额：人民币贰拾亿捌仟伍佰贰拾肆万元整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28081.627464199035</v>
      </c>
      <c r="E27" s="311"/>
      <c r="F27" s="311"/>
      <c r="G27" s="311"/>
      <c r="H27" s="311"/>
      <c r="I27" s="311"/>
      <c r="J27" s="2028"/>
      <c r="K27" s="1258" t="str">
        <f ca="1">"单位面积地价："&amp;M38&amp;"元/平方米"</f>
        <v>单位面积地价：66171元/平方米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0.67164842527040003</v>
      </c>
      <c r="E28" s="311"/>
      <c r="F28" s="311"/>
      <c r="G28" s="311"/>
      <c r="H28" s="311"/>
      <c r="I28" s="311"/>
      <c r="J28" s="2028"/>
      <c r="K28" s="1258" t="str">
        <f ca="1">"楼面地价："&amp;N38&amp;"元/平方米"</f>
        <v>楼面地价：18385元/平方米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抵押价格：203210万元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大写金额：人民币贰拾亿叁仟贰佰壹拾万元整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208524</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18385</v>
      </c>
      <c r="D33" s="1384" t="s">
        <v>1691</v>
      </c>
      <c r="E33" s="3321"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66171</v>
      </c>
      <c r="D34" s="1386" t="s">
        <v>1691</v>
      </c>
      <c r="E34" s="3362"/>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4411</v>
      </c>
      <c r="D35" s="1389" t="s">
        <v>1693</v>
      </c>
      <c r="E35" s="3363"/>
      <c r="F35" s="301" t="s">
        <v>341</v>
      </c>
      <c r="G35" s="982">
        <f>E37+E38</f>
        <v>5314</v>
      </c>
      <c r="H35" s="981" t="s">
        <v>342</v>
      </c>
      <c r="I35" s="311"/>
      <c r="J35" s="2028"/>
      <c r="K35" s="3336" t="s">
        <v>349</v>
      </c>
      <c r="L35" s="3336" t="s">
        <v>350</v>
      </c>
      <c r="M35" s="1264" t="s">
        <v>351</v>
      </c>
      <c r="N35" s="3336" t="s">
        <v>352</v>
      </c>
      <c r="O35" s="3336" t="s">
        <v>353</v>
      </c>
      <c r="P35" s="2028"/>
      <c r="V35" s="2028"/>
    </row>
    <row r="36" spans="1:26" ht="16.5" customHeight="1">
      <c r="A36" s="303" t="s">
        <v>343</v>
      </c>
      <c r="B36" s="304" t="s">
        <v>332</v>
      </c>
      <c r="C36" s="305" t="s">
        <v>344</v>
      </c>
      <c r="D36" s="305" t="s">
        <v>345</v>
      </c>
      <c r="E36" s="306" t="s">
        <v>346</v>
      </c>
      <c r="F36" s="311"/>
      <c r="G36" s="311"/>
      <c r="H36" s="311"/>
      <c r="I36" s="311"/>
      <c r="J36" s="2030"/>
      <c r="K36" s="3337"/>
      <c r="L36" s="3337"/>
      <c r="M36" s="1266" t="s">
        <v>354</v>
      </c>
      <c r="N36" s="3337"/>
      <c r="O36" s="3337"/>
      <c r="P36" s="2028"/>
      <c r="V36" s="2028"/>
    </row>
    <row r="37" spans="1:26" ht="16.5" customHeight="1" thickBot="1">
      <c r="A37" s="1260" t="s">
        <v>347</v>
      </c>
      <c r="B37" s="307">
        <f>'数据-汇总表'!G20</f>
        <v>8977.4699999999993</v>
      </c>
      <c r="C37" s="294">
        <f>ROUND(28709*0.25*0.25,0)</f>
        <v>1794</v>
      </c>
      <c r="D37" s="3216">
        <v>3.0499999999999999E-2</v>
      </c>
      <c r="E37" s="295">
        <f>ROUND(B37*C37*(1+D37)/10000,0)</f>
        <v>1660</v>
      </c>
      <c r="F37" s="311"/>
      <c r="G37" s="311"/>
      <c r="H37" s="311"/>
      <c r="I37" s="311"/>
      <c r="J37" s="2030"/>
      <c r="K37" s="3338"/>
      <c r="L37" s="3338"/>
      <c r="M37" s="1267"/>
      <c r="N37" s="3338"/>
      <c r="O37" s="3338"/>
      <c r="P37" s="2028"/>
      <c r="V37" s="2028"/>
    </row>
    <row r="38" spans="1:26" ht="16.5" customHeight="1" thickBot="1">
      <c r="A38" s="1260" t="s">
        <v>348</v>
      </c>
      <c r="B38" s="307">
        <f>'数据-汇总表'!G21</f>
        <v>24706.579999999998</v>
      </c>
      <c r="C38" s="294">
        <f>ROUND(28709*0.2*0.25,0)</f>
        <v>1435</v>
      </c>
      <c r="D38" s="3216">
        <v>3.0499999999999999E-2</v>
      </c>
      <c r="E38" s="295">
        <f>ROUND(B38*C38*(1+D38)/10000,0)</f>
        <v>3654</v>
      </c>
      <c r="F38" s="311"/>
      <c r="G38" s="311"/>
      <c r="H38" s="311"/>
      <c r="I38" s="311"/>
      <c r="J38" s="2030"/>
      <c r="K38" s="1268">
        <f>'数据-汇总表'!D3</f>
        <v>31512.720000000001</v>
      </c>
      <c r="L38" s="1269">
        <f>'数据-汇总表'!E3</f>
        <v>113422.40000000001</v>
      </c>
      <c r="M38" s="1269">
        <f ca="1">C34</f>
        <v>66171</v>
      </c>
      <c r="N38" s="1269">
        <f ca="1">C33</f>
        <v>18385</v>
      </c>
      <c r="O38" s="1270">
        <f ca="1">C32</f>
        <v>208524</v>
      </c>
      <c r="P38" s="2028"/>
      <c r="V38" s="2028"/>
    </row>
    <row r="39" spans="1:26" ht="16.5" customHeight="1" thickBot="1">
      <c r="A39" s="1265"/>
      <c r="B39" s="308"/>
      <c r="C39" s="309"/>
      <c r="D39" s="309"/>
      <c r="E39" s="310"/>
      <c r="F39" s="311"/>
      <c r="G39" s="311"/>
      <c r="H39" s="311"/>
      <c r="I39" s="311"/>
      <c r="J39" s="2030"/>
      <c r="K39" s="3381" t="str">
        <f>MID(A44,3,LEN(A44)-2)</f>
        <v>抵押价格</v>
      </c>
      <c r="L39" s="3382"/>
      <c r="M39" s="3382"/>
      <c r="N39" s="3383"/>
      <c r="O39" s="1391">
        <f ca="1">C44</f>
        <v>203210</v>
      </c>
      <c r="P39" s="2028"/>
      <c r="V39" s="2028"/>
    </row>
    <row r="40" spans="1:26" ht="19.5" thickBot="1">
      <c r="A40" s="104" t="s">
        <v>872</v>
      </c>
      <c r="B40" s="311"/>
      <c r="C40" s="311"/>
      <c r="D40" s="311"/>
      <c r="E40" s="311"/>
      <c r="F40" s="311"/>
      <c r="G40" s="311"/>
      <c r="H40" s="311"/>
      <c r="I40" s="311"/>
      <c r="J40" s="2030"/>
      <c r="K40" s="3381" t="str">
        <f t="shared" ref="K40:K41" si="0">MID(A45,3,LEN(A45)-2)</f>
        <v/>
      </c>
      <c r="L40" s="3382"/>
      <c r="M40" s="3382"/>
      <c r="N40" s="3383"/>
      <c r="O40" s="1391" t="str">
        <f>C45</f>
        <v>——</v>
      </c>
      <c r="P40" s="2028"/>
      <c r="V40" s="2028"/>
    </row>
    <row r="41" spans="1:26" ht="16.5" thickBot="1">
      <c r="A41" s="312" t="s">
        <v>355</v>
      </c>
      <c r="B41" s="313"/>
      <c r="C41" s="314" t="s">
        <v>356</v>
      </c>
      <c r="D41" s="315" t="s">
        <v>357</v>
      </c>
      <c r="E41" s="315" t="s">
        <v>358</v>
      </c>
      <c r="F41" s="316" t="s">
        <v>359</v>
      </c>
      <c r="G41" s="311"/>
      <c r="H41" s="311"/>
      <c r="I41" s="311"/>
      <c r="J41" s="2030"/>
      <c r="K41" s="3381" t="str">
        <f t="shared" si="0"/>
        <v/>
      </c>
      <c r="L41" s="3382"/>
      <c r="M41" s="3382"/>
      <c r="N41" s="3383"/>
      <c r="O41" s="1391" t="str">
        <f>C46</f>
        <v>——</v>
      </c>
      <c r="P41" s="2028"/>
      <c r="V41" s="2028"/>
    </row>
    <row r="42" spans="1:26" ht="29.25">
      <c r="A42" s="3323" t="s">
        <v>2067</v>
      </c>
      <c r="B42" s="3324"/>
      <c r="C42" s="264">
        <f ca="1">C32</f>
        <v>208524</v>
      </c>
      <c r="D42" s="317">
        <f ca="1">C33</f>
        <v>18385</v>
      </c>
      <c r="E42" s="317">
        <f ca="1">C34</f>
        <v>66171</v>
      </c>
      <c r="F42" s="318">
        <f ca="1">C35</f>
        <v>4411</v>
      </c>
      <c r="G42" s="311"/>
      <c r="H42" s="311"/>
      <c r="I42" s="319"/>
      <c r="J42" s="2030"/>
      <c r="K42" s="1271" t="s">
        <v>360</v>
      </c>
      <c r="L42" s="2047" t="s">
        <v>361</v>
      </c>
      <c r="M42" s="1272" t="s">
        <v>362</v>
      </c>
      <c r="N42" s="2048" t="s">
        <v>363</v>
      </c>
      <c r="O42" s="2049" t="s">
        <v>364</v>
      </c>
      <c r="P42" s="2028"/>
      <c r="V42" s="2028"/>
    </row>
    <row r="43" spans="1:26" ht="30">
      <c r="A43" s="3334" t="s">
        <v>2730</v>
      </c>
      <c r="B43" s="3335"/>
      <c r="C43" s="264">
        <f>IF(H33="正常操作",G33+G34+G35,G34+G35)</f>
        <v>5314</v>
      </c>
      <c r="D43" s="317" t="s">
        <v>43</v>
      </c>
      <c r="E43" s="317" t="s">
        <v>44</v>
      </c>
      <c r="F43" s="318" t="s">
        <v>44</v>
      </c>
      <c r="G43" s="2890" t="s">
        <v>951</v>
      </c>
      <c r="H43" s="311"/>
      <c r="I43" s="319"/>
      <c r="J43" s="2030"/>
      <c r="K43" s="1273" t="str">
        <f>C4</f>
        <v>剩余法-待开发</v>
      </c>
      <c r="L43" s="1274">
        <f ca="1">IF(L42="估价结果/万元",C19,C20)</f>
        <v>200682</v>
      </c>
      <c r="M43" s="1275">
        <f>C18</f>
        <v>0.5</v>
      </c>
      <c r="N43" s="1276">
        <f ca="1">IF(N42="测算结果/万元",G19,G20)</f>
        <v>208524</v>
      </c>
      <c r="O43" s="1277">
        <f ca="1">IF(O42="最终结果/万元",C32,C33)</f>
        <v>208524</v>
      </c>
      <c r="P43" s="2028"/>
      <c r="V43" s="2028"/>
    </row>
    <row r="44" spans="1:26" ht="30.75" thickBot="1">
      <c r="A44" s="3323" t="str">
        <f>IF(OR(项目基本情况!E8="抵押价格",项目基本情况!E8="已注销及未注销"),"3.抵押价格","——")</f>
        <v>3.抵押价格</v>
      </c>
      <c r="B44" s="3324"/>
      <c r="C44" s="264">
        <f ca="1">IF(A44="——","——",C42-C43)</f>
        <v>203210</v>
      </c>
      <c r="D44" s="317">
        <f ca="1">ROUND(C44*10000/'数据-汇总表'!E3,0)</f>
        <v>17916</v>
      </c>
      <c r="E44" s="317">
        <f ca="1">ROUND(C44*10000/'数据-汇总表'!D3,0)</f>
        <v>64485</v>
      </c>
      <c r="F44" s="318">
        <f ca="1">ROUND(C44/('数据-汇总表'!D3/666.67),0)</f>
        <v>4299</v>
      </c>
      <c r="G44" s="311"/>
      <c r="H44" s="311"/>
      <c r="I44" s="319"/>
      <c r="J44" s="2030"/>
      <c r="K44" s="1278" t="str">
        <f>D4</f>
        <v>比较法-住宅、综合</v>
      </c>
      <c r="L44" s="1279">
        <f ca="1">IF(L42="估价结果/万元",D19,D20)</f>
        <v>216366</v>
      </c>
      <c r="M44" s="1280">
        <f>D18</f>
        <v>0.5</v>
      </c>
      <c r="N44" s="1281"/>
      <c r="O44" s="1282"/>
      <c r="P44" s="2028"/>
      <c r="V44" s="2028"/>
    </row>
    <row r="45" spans="1:26" ht="15">
      <c r="A45" s="3329" t="str">
        <f>IF(项目基本情况!E8="已注销及未注销","4.抵押担保权已注销时的抵押价格",IF(项目基本情况!E8="已注销","3.抵押担保权已注销时的抵押价格","——"))</f>
        <v>——</v>
      </c>
      <c r="B45" s="333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5" t="str">
        <f>IF(项目基本情况!E9="抵押净值",IF(A45="——","4.抵押净值","5.抵押净值"),"——")</f>
        <v>——</v>
      </c>
      <c r="B46" s="332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本次评估估价师知悉的法定优先受偿款为人民币5314万元整。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0" t="s">
        <v>373</v>
      </c>
      <c r="B63" s="3371"/>
      <c r="C63" s="3372"/>
      <c r="D63" s="341">
        <f ca="1">ROUND(C42*F63,0)</f>
        <v>125114</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31" t="s">
        <v>377</v>
      </c>
      <c r="B64" s="3332"/>
      <c r="C64" s="3332"/>
      <c r="D64" s="3332"/>
      <c r="E64" s="3332"/>
      <c r="F64" s="3332"/>
      <c r="G64" s="333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27" t="s">
        <v>385</v>
      </c>
      <c r="B66" s="3328"/>
      <c r="C66" s="3328"/>
      <c r="D66" s="261">
        <f ca="1">IF(H66="情况1",0,IF(H66="情况2",D70,IF(H66="情况3",D71,IF(H66="情况4",D72))))</f>
        <v>6673</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85" t="s">
        <v>384</v>
      </c>
      <c r="M66" s="3386"/>
      <c r="N66" s="2482"/>
      <c r="O66" s="2483"/>
      <c r="P66" s="2484"/>
      <c r="Q66" s="2028"/>
      <c r="R66" s="2028"/>
      <c r="S66" s="2028"/>
      <c r="T66" s="2028"/>
      <c r="U66" s="2028"/>
      <c r="V66" s="2028"/>
    </row>
    <row r="67" spans="1:22" ht="25.5" customHeight="1">
      <c r="A67" s="352" t="s">
        <v>389</v>
      </c>
      <c r="B67" s="3318" t="s">
        <v>390</v>
      </c>
      <c r="C67" s="3318"/>
      <c r="D67" s="353">
        <v>0</v>
      </c>
      <c r="E67" s="41" t="s">
        <v>391</v>
      </c>
      <c r="F67" s="62" t="s">
        <v>21</v>
      </c>
      <c r="G67" s="3373"/>
      <c r="H67" s="311"/>
      <c r="I67" s="1292"/>
      <c r="J67" s="2035"/>
      <c r="K67" s="1976">
        <v>2</v>
      </c>
      <c r="L67" s="3384" t="s">
        <v>388</v>
      </c>
      <c r="M67" s="3384"/>
      <c r="N67" s="1325">
        <f>'数据-取费表'!B2</f>
        <v>43207</v>
      </c>
      <c r="O67" s="1325"/>
      <c r="P67" s="1325"/>
      <c r="Q67" s="2028"/>
      <c r="R67" s="2028"/>
      <c r="S67" s="2028"/>
      <c r="T67" s="2028"/>
      <c r="U67" s="2028"/>
      <c r="V67" s="2028"/>
    </row>
    <row r="68" spans="1:22" ht="25.5" customHeight="1">
      <c r="A68" s="354"/>
      <c r="B68" s="3318" t="s">
        <v>393</v>
      </c>
      <c r="C68" s="3318"/>
      <c r="D68" s="355"/>
      <c r="E68" s="77"/>
      <c r="F68" s="356"/>
      <c r="G68" s="3374"/>
      <c r="H68" s="311"/>
      <c r="I68" s="1292"/>
      <c r="J68" s="2035"/>
      <c r="K68" s="1976">
        <v>3</v>
      </c>
      <c r="L68" s="3384" t="s">
        <v>392</v>
      </c>
      <c r="M68" s="3384"/>
      <c r="N68" s="1293">
        <f ca="1">C42</f>
        <v>208524</v>
      </c>
      <c r="O68" s="1293"/>
      <c r="P68" s="1293"/>
      <c r="Q68" s="2028"/>
      <c r="R68" s="2028"/>
      <c r="S68" s="2028"/>
      <c r="T68" s="2028"/>
      <c r="U68" s="2028"/>
      <c r="V68" s="2028"/>
    </row>
    <row r="69" spans="1:22" ht="12" customHeight="1">
      <c r="A69" s="357"/>
      <c r="B69" s="3318" t="s">
        <v>394</v>
      </c>
      <c r="C69" s="3318"/>
      <c r="D69" s="358"/>
      <c r="E69" s="73"/>
      <c r="F69" s="356"/>
      <c r="G69" s="3375"/>
      <c r="H69" s="311"/>
      <c r="I69" s="1292"/>
      <c r="J69" s="2035"/>
      <c r="K69" s="1294">
        <v>4</v>
      </c>
      <c r="L69" s="3389" t="s">
        <v>2883</v>
      </c>
      <c r="M69" s="3390"/>
      <c r="N69" s="1295">
        <f ca="1">C44</f>
        <v>203210</v>
      </c>
      <c r="O69" s="1295"/>
      <c r="P69" s="1295"/>
      <c r="Q69" s="2028"/>
      <c r="R69" s="2028"/>
      <c r="S69" s="2028"/>
      <c r="T69" s="2028"/>
      <c r="U69" s="2028"/>
      <c r="V69" s="2028"/>
    </row>
    <row r="70" spans="1:22" ht="24" customHeight="1">
      <c r="A70" s="359" t="s">
        <v>395</v>
      </c>
      <c r="B70" s="3318" t="s">
        <v>396</v>
      </c>
      <c r="C70" s="3318"/>
      <c r="D70" s="358">
        <f ca="1">ROUND(D63*'数据-取费表'!B41/(1+'数据-取费表'!C42),0)</f>
        <v>6673</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19" t="s">
        <v>404</v>
      </c>
      <c r="C71" s="3320"/>
      <c r="D71" s="358">
        <f ca="1">ROUND(D63*'数据-取费表'!B41/(1+'数据-取费表'!C42),0)</f>
        <v>6673</v>
      </c>
      <c r="E71" s="17" t="s">
        <v>397</v>
      </c>
      <c r="F71" s="360">
        <f>'数据-取费表'!B41</f>
        <v>5.6000000000000001E-2</v>
      </c>
      <c r="G71" s="361"/>
      <c r="H71" s="311"/>
      <c r="I71" s="1292"/>
      <c r="J71" s="2035"/>
      <c r="K71" s="3082" t="s">
        <v>398</v>
      </c>
      <c r="L71" s="3391" t="s">
        <v>399</v>
      </c>
      <c r="M71" s="3391"/>
      <c r="N71" s="3082" t="s">
        <v>400</v>
      </c>
      <c r="O71" s="3082" t="s">
        <v>401</v>
      </c>
      <c r="P71" s="3082" t="s">
        <v>402</v>
      </c>
      <c r="Q71" s="2028"/>
      <c r="R71" s="2028"/>
      <c r="S71" s="2028"/>
      <c r="T71" s="2028"/>
      <c r="U71" s="2028"/>
      <c r="V71" s="2028"/>
    </row>
    <row r="72" spans="1:22" ht="12" customHeight="1">
      <c r="A72" s="359" t="s">
        <v>406</v>
      </c>
      <c r="B72" s="3319" t="s">
        <v>407</v>
      </c>
      <c r="C72" s="3320"/>
      <c r="D72" s="358">
        <f ca="1">C86</f>
        <v>6561</v>
      </c>
      <c r="E72" s="73" t="s">
        <v>408</v>
      </c>
      <c r="F72" s="360">
        <f>'数据-取费表'!B41</f>
        <v>5.6000000000000001E-2</v>
      </c>
      <c r="G72" s="361"/>
      <c r="H72" s="1298"/>
      <c r="I72" s="1292"/>
      <c r="J72" s="2035"/>
      <c r="K72" s="1976">
        <v>1</v>
      </c>
      <c r="L72" s="3366" t="s">
        <v>405</v>
      </c>
      <c r="M72" s="3366"/>
      <c r="N72" s="1296">
        <f ca="1">D66</f>
        <v>6673</v>
      </c>
      <c r="O72" s="1859" t="str">
        <f>E66</f>
        <v>销售额×税（费）率</v>
      </c>
      <c r="P72" s="1297">
        <f>F66</f>
        <v>5.6000000000000001E-2</v>
      </c>
      <c r="Q72" s="2028"/>
      <c r="R72" s="2028"/>
      <c r="S72" s="2028"/>
      <c r="T72" s="2028"/>
      <c r="U72" s="2028"/>
      <c r="V72" s="2028"/>
    </row>
    <row r="73" spans="1:22" ht="24" customHeight="1">
      <c r="A73" s="3360" t="s">
        <v>410</v>
      </c>
      <c r="B73" s="3328"/>
      <c r="C73" s="3328"/>
      <c r="D73" s="362">
        <f>IF(H73="个人住宅",0,ROUND(D63*I73,0))</f>
        <v>0</v>
      </c>
      <c r="E73" s="17" t="s">
        <v>411</v>
      </c>
      <c r="F73" s="360" t="str">
        <f>IF(H73="正常",I73,"免征")</f>
        <v>免征</v>
      </c>
      <c r="G73" s="361"/>
      <c r="H73" s="191" t="s">
        <v>2456</v>
      </c>
      <c r="I73" s="360">
        <f>'数据-取费表'!B49</f>
        <v>5.0000000000000001E-4</v>
      </c>
      <c r="J73" s="2035"/>
      <c r="K73" s="1976">
        <v>2</v>
      </c>
      <c r="L73" s="3366" t="s">
        <v>409</v>
      </c>
      <c r="M73" s="3366"/>
      <c r="N73" s="1296">
        <f t="shared" ref="N73:P74" si="1">D73</f>
        <v>0</v>
      </c>
      <c r="O73" s="1859" t="str">
        <f t="shared" si="1"/>
        <v>销售额×税（费）率</v>
      </c>
      <c r="P73" s="1297" t="str">
        <f t="shared" si="1"/>
        <v>免征</v>
      </c>
      <c r="Q73" s="2028"/>
      <c r="R73" s="2028"/>
      <c r="S73" s="2028"/>
      <c r="T73" s="2028"/>
      <c r="U73" s="2028"/>
      <c r="V73" s="2028"/>
    </row>
    <row r="74" spans="1:22" ht="24.75">
      <c r="A74" s="3360" t="s">
        <v>414</v>
      </c>
      <c r="B74" s="3328"/>
      <c r="C74" s="3328"/>
      <c r="D74" s="362">
        <f ca="1">IF(H74="个人住宅",D75,D76)</f>
        <v>70159</v>
      </c>
      <c r="E74" s="17" t="s">
        <v>415</v>
      </c>
      <c r="F74" s="360" t="str">
        <f>IF(H74="正常",F76,"免征")</f>
        <v>——</v>
      </c>
      <c r="G74" s="983" t="s">
        <v>416</v>
      </c>
      <c r="H74" s="363" t="s">
        <v>412</v>
      </c>
      <c r="I74" s="42"/>
      <c r="J74" s="2035"/>
      <c r="K74" s="1976">
        <v>3</v>
      </c>
      <c r="L74" s="3366" t="s">
        <v>413</v>
      </c>
      <c r="M74" s="3366"/>
      <c r="N74" s="1296">
        <f t="shared" ca="1" si="1"/>
        <v>70159</v>
      </c>
      <c r="O74" s="1859" t="str">
        <f t="shared" si="1"/>
        <v>增值额×税（费）率</v>
      </c>
      <c r="P74" s="1299" t="str">
        <f t="shared" si="1"/>
        <v>——</v>
      </c>
      <c r="Q74" s="2028"/>
      <c r="R74" s="2028"/>
      <c r="S74" s="2028"/>
      <c r="T74" s="2028"/>
      <c r="U74" s="2028"/>
      <c r="V74" s="2028"/>
    </row>
    <row r="75" spans="1:22" ht="24">
      <c r="A75" s="359" t="s">
        <v>417</v>
      </c>
      <c r="B75" s="3316" t="s">
        <v>418</v>
      </c>
      <c r="C75" s="3346"/>
      <c r="D75" s="364">
        <v>0</v>
      </c>
      <c r="E75" s="41" t="s">
        <v>419</v>
      </c>
      <c r="F75" s="365"/>
      <c r="G75" s="361"/>
      <c r="H75" s="42"/>
      <c r="I75" s="42"/>
      <c r="J75" s="2035"/>
      <c r="K75" s="3075">
        <f>IF(H77="非个人房产","",4)</f>
        <v>4</v>
      </c>
      <c r="L75" s="3366" t="str">
        <f>IF(H77="非个人房产","——","个人所得税")</f>
        <v>个人所得税</v>
      </c>
      <c r="M75" s="3366"/>
      <c r="N75" s="1300">
        <f ca="1">D77</f>
        <v>1251</v>
      </c>
      <c r="O75" s="1872" t="str">
        <f>E77</f>
        <v>销售额×税（费）率</v>
      </c>
      <c r="P75" s="1301">
        <f>F77</f>
        <v>0.01</v>
      </c>
      <c r="Q75" s="2028"/>
      <c r="R75" s="2028"/>
      <c r="S75" s="2028"/>
      <c r="T75" s="2028"/>
      <c r="U75" s="2028"/>
      <c r="V75" s="2028"/>
    </row>
    <row r="76" spans="1:22" ht="24.75">
      <c r="A76" s="359" t="s">
        <v>395</v>
      </c>
      <c r="B76" s="3316" t="s">
        <v>421</v>
      </c>
      <c r="C76" s="3317"/>
      <c r="D76" s="362">
        <f ca="1">IF(H76="转让取得",C99,C115)</f>
        <v>70159</v>
      </c>
      <c r="E76" s="17" t="s">
        <v>422</v>
      </c>
      <c r="F76" s="53" t="s">
        <v>21</v>
      </c>
      <c r="G76" s="361"/>
      <c r="H76" s="363" t="s">
        <v>423</v>
      </c>
      <c r="I76" s="42"/>
      <c r="J76" s="2035"/>
      <c r="K76" s="3075" t="str">
        <f>IF(项目基本情况!K6="上海银行",IF(K75="",4,K75+1),"")</f>
        <v/>
      </c>
      <c r="L76" s="3377" t="str">
        <f>IF(项目基本情况!K6="上海银行","其他处置费用","")</f>
        <v/>
      </c>
      <c r="M76" s="3378"/>
      <c r="N76" s="1296" t="str">
        <f>IF(项目基本情况!K6="上海银行",N89,"")</f>
        <v/>
      </c>
      <c r="O76" s="3379" t="str">
        <f>IF(项目基本情况!K6="上海银行","包含处置中涉及的律师、诉讼、拍卖、评估等费用","")</f>
        <v/>
      </c>
      <c r="P76" s="3380"/>
      <c r="Q76" s="2028"/>
      <c r="R76" s="2028"/>
      <c r="S76" s="2028"/>
      <c r="T76" s="2028"/>
      <c r="U76" s="2028"/>
      <c r="V76" s="2028"/>
    </row>
    <row r="77" spans="1:22" ht="26.25" thickBot="1">
      <c r="A77" s="3368" t="s">
        <v>425</v>
      </c>
      <c r="B77" s="3369"/>
      <c r="C77" s="3369"/>
      <c r="D77" s="366">
        <f ca="1">IF(H77="非个人房产","——",IF(H77="个人住宅",0,ROUND(D63*I77,0)))</f>
        <v>1251</v>
      </c>
      <c r="E77" s="367" t="str">
        <f>IF(H77="非个人房产","——","销售额×税（费）率")</f>
        <v>销售额×税（费）率</v>
      </c>
      <c r="F77" s="368">
        <f>IF(H77="非个人房产","——",IF(H77="个人住宅","免征",I77))</f>
        <v>0.01</v>
      </c>
      <c r="G77" s="984" t="s">
        <v>416</v>
      </c>
      <c r="H77" s="363" t="s">
        <v>2884</v>
      </c>
      <c r="I77" s="369">
        <v>0.01</v>
      </c>
      <c r="J77" s="2035"/>
      <c r="K77" s="3367">
        <f>IF(AND(K75="",K76=""),4,IF(项目基本情况!K6="上海银行",K76+1,K75+1))</f>
        <v>5</v>
      </c>
      <c r="L77" s="3366" t="s">
        <v>2885</v>
      </c>
      <c r="M77" s="3081" t="s">
        <v>420</v>
      </c>
      <c r="N77" s="1302"/>
      <c r="O77" s="1303">
        <f ca="1">SUMIF(N72:N76,"&lt;9e307")</f>
        <v>78083</v>
      </c>
      <c r="P77" s="1304"/>
      <c r="Q77" s="3079">
        <f ca="1">O77/N69</f>
        <v>0.38424782244968259</v>
      </c>
      <c r="R77" s="2028"/>
      <c r="S77" s="2028"/>
      <c r="T77" s="2028"/>
      <c r="U77" s="2028"/>
      <c r="V77" s="2028"/>
    </row>
    <row r="78" spans="1:22" ht="12" customHeight="1">
      <c r="A78" s="1305"/>
      <c r="B78" s="311"/>
      <c r="C78" s="311"/>
      <c r="D78" s="311"/>
      <c r="E78" s="42"/>
      <c r="F78" s="42"/>
      <c r="G78" s="42"/>
      <c r="H78" s="1003"/>
      <c r="I78" s="311"/>
      <c r="J78" s="2035"/>
      <c r="K78" s="3367"/>
      <c r="L78" s="3366"/>
      <c r="M78" s="3081" t="s">
        <v>424</v>
      </c>
      <c r="N78" s="1302"/>
      <c r="O78" s="1303" t="str">
        <f ca="1">NUMBERSTRING(INT(O77*10000),2)&amp;"元整"</f>
        <v>柒亿捌仟零捌拾叁万元整</v>
      </c>
      <c r="P78" s="1304"/>
      <c r="Q78" s="2028"/>
      <c r="R78" s="2028"/>
      <c r="S78" s="2028"/>
      <c r="T78" s="2028"/>
      <c r="U78" s="2028"/>
      <c r="V78" s="2028"/>
    </row>
    <row r="79" spans="1:22" ht="13.5" thickBot="1">
      <c r="A79" s="3361" t="s">
        <v>426</v>
      </c>
      <c r="B79" s="3361"/>
      <c r="C79" s="3361"/>
      <c r="D79" s="3361"/>
      <c r="E79" s="3361"/>
      <c r="F79" s="42"/>
      <c r="G79" s="42"/>
      <c r="H79" s="1003"/>
      <c r="I79" s="311"/>
      <c r="J79" s="2035"/>
      <c r="K79" s="3387">
        <f>K77+1</f>
        <v>6</v>
      </c>
      <c r="L79" s="3366" t="s">
        <v>2886</v>
      </c>
      <c r="M79" s="3081" t="s">
        <v>420</v>
      </c>
      <c r="N79" s="1302"/>
      <c r="O79" s="1303">
        <f ca="1">N69-O77</f>
        <v>125127</v>
      </c>
      <c r="P79" s="1304"/>
      <c r="Q79" s="2028"/>
      <c r="R79" s="2028"/>
      <c r="S79" s="2028"/>
      <c r="T79" s="2028"/>
      <c r="U79" s="2028"/>
      <c r="V79" s="2028"/>
    </row>
    <row r="80" spans="1:22" ht="25.5">
      <c r="A80" s="3356" t="s">
        <v>427</v>
      </c>
      <c r="B80" s="3357"/>
      <c r="C80" s="994"/>
      <c r="D80" s="994" t="s">
        <v>428</v>
      </c>
      <c r="E80" s="370" t="s">
        <v>429</v>
      </c>
      <c r="F80" s="42"/>
      <c r="G80" s="42"/>
      <c r="H80" s="1003"/>
      <c r="I80" s="311"/>
      <c r="J80" s="2028"/>
      <c r="K80" s="3388"/>
      <c r="L80" s="3366"/>
      <c r="M80" s="3081" t="s">
        <v>424</v>
      </c>
      <c r="N80" s="1302"/>
      <c r="O80" s="1303" t="str">
        <f ca="1">NUMBERSTRING(INT(O79*10000),2)&amp;"元整"</f>
        <v>壹拾贰亿伍仟壹佰贰拾柒万元整</v>
      </c>
      <c r="P80" s="1304"/>
      <c r="Q80" s="2028"/>
      <c r="R80" s="2028"/>
      <c r="S80" s="2028"/>
      <c r="T80" s="2028"/>
      <c r="U80" s="2028"/>
      <c r="V80" s="2028"/>
    </row>
    <row r="81" spans="1:26" ht="13.5" thickBot="1">
      <c r="A81" s="381" t="s">
        <v>1823</v>
      </c>
      <c r="B81" s="371" t="s">
        <v>430</v>
      </c>
      <c r="C81" s="372">
        <f ca="1">ROUND((C82+C83)/(1+'数据-取费表'!C42),0)</f>
        <v>119156</v>
      </c>
      <c r="D81" s="373"/>
      <c r="E81" s="374"/>
      <c r="F81" s="42"/>
      <c r="G81" s="42"/>
      <c r="H81" s="1003"/>
      <c r="I81" s="311"/>
      <c r="J81" s="2028"/>
      <c r="K81" s="3075">
        <f>K79+1</f>
        <v>7</v>
      </c>
      <c r="L81" s="3364" t="s">
        <v>2887</v>
      </c>
      <c r="M81" s="3365"/>
      <c r="N81" s="1306"/>
      <c r="O81" s="1307">
        <f ca="1">ROUND(O79*10000/'数据-汇总表'!E3,0)</f>
        <v>11032</v>
      </c>
      <c r="P81" s="1308"/>
      <c r="Q81" s="2028"/>
      <c r="R81" s="2028"/>
      <c r="S81" s="2028"/>
      <c r="T81" s="2028"/>
      <c r="U81" s="2028"/>
      <c r="V81" s="2028"/>
    </row>
    <row r="82" spans="1:26" ht="13.5" thickTop="1">
      <c r="A82" s="375" t="s">
        <v>1824</v>
      </c>
      <c r="B82" s="376" t="s">
        <v>431</v>
      </c>
      <c r="C82" s="377">
        <f ca="1">D63</f>
        <v>125114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76" t="s">
        <v>2874</v>
      </c>
      <c r="L83" s="3087" t="s">
        <v>2875</v>
      </c>
      <c r="M83" s="3077">
        <f ca="1">IF(N69&gt;10000,N69*0.5%,IF(AND(N69&gt;1000,N69&lt;=10000),N69*1%,IF(AND(N69&gt;100,N69&lt;=1000),N69*3%,IF(AND(N69&gt;10,N69&lt;=100),N69*5%,N69*8%))))</f>
        <v>1016.0500000000001</v>
      </c>
      <c r="N83" s="53">
        <f ca="1">ROUND(M83,1)</f>
        <v>1016.1</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76"/>
      <c r="L84" s="3087" t="s">
        <v>2876</v>
      </c>
      <c r="M84" s="3077">
        <f ca="1">IF(N69&gt;2000,N69*0.5%,IF(AND(N69&gt;1000,N69&lt;=2000),N69*0.6%,IF(AND(N69&gt;500,N69&lt;=1000),N69*0.7%,IF(AND(N69&gt;200,N69&lt;=500),N69*0.8%,IF(AND(N69&gt;100,N69&lt;=200),N69*0.9%,IF(AND(N69&gt;50,N69&lt;=100),N69*1%,IF(AND(N69&gt;20,N69&lt;=50),N69*1.5%,IF(AND(N69&gt;10,N69&lt;=20),N69*2%,IF(AND(N69&gt;1,N69&lt;=10),N69*2.5%)))))))))</f>
        <v>1016.0500000000001</v>
      </c>
      <c r="N84" s="53">
        <f t="shared" ref="N84:N85" ca="1" si="2">ROUND(M84,1)</f>
        <v>1016.1</v>
      </c>
      <c r="O84" s="2028" t="s">
        <v>2877</v>
      </c>
      <c r="P84" s="2028"/>
      <c r="Q84" s="2028"/>
      <c r="R84" s="2028"/>
      <c r="S84" s="2028"/>
      <c r="T84" s="2028"/>
      <c r="U84" s="2028"/>
      <c r="V84" s="2028"/>
    </row>
    <row r="85" spans="1:26" ht="12.75">
      <c r="A85" s="381" t="s">
        <v>1827</v>
      </c>
      <c r="B85" s="382" t="s">
        <v>434</v>
      </c>
      <c r="C85" s="385">
        <f ca="1">C81-C84</f>
        <v>117156</v>
      </c>
      <c r="D85" s="378" t="s">
        <v>19</v>
      </c>
      <c r="E85" s="379"/>
      <c r="F85" s="42"/>
      <c r="G85" s="42"/>
      <c r="H85" s="1003"/>
      <c r="I85" s="311"/>
      <c r="J85" s="2028"/>
      <c r="K85" s="3376"/>
      <c r="L85" s="3087" t="s">
        <v>2878</v>
      </c>
      <c r="M85" s="3077">
        <f ca="1">IF(N69&gt;1000,N69*0.1%,IF(AND(N69&gt;500,N69&lt;=1000),N69*0.5%,IF(AND(N69&gt;50,N69&lt;=500),N69*1%,IF(AND(N69&gt;1,N69&lt;=50),N69*1.5%))))</f>
        <v>203.21</v>
      </c>
      <c r="N85" s="53">
        <f t="shared" ca="1" si="2"/>
        <v>203.2</v>
      </c>
      <c r="O85" s="2028" t="s">
        <v>2877</v>
      </c>
      <c r="P85" s="2028"/>
      <c r="Q85" s="2028"/>
      <c r="R85" s="2028"/>
      <c r="S85" s="2028"/>
      <c r="T85" s="2028"/>
      <c r="U85" s="2028"/>
      <c r="V85" s="2028"/>
    </row>
    <row r="86" spans="1:26" ht="13.5" thickBot="1">
      <c r="A86" s="386" t="s">
        <v>1828</v>
      </c>
      <c r="B86" s="387" t="s">
        <v>435</v>
      </c>
      <c r="C86" s="388">
        <f ca="1">IF(C85&lt;=0,0,ROUND(C85*D86,0))</f>
        <v>6561</v>
      </c>
      <c r="D86" s="389">
        <f>'数据-取费表'!B41</f>
        <v>5.6000000000000001E-2</v>
      </c>
      <c r="E86" s="390"/>
      <c r="F86" s="42"/>
      <c r="G86" s="42"/>
      <c r="H86" s="1003"/>
      <c r="I86" s="311"/>
      <c r="J86" s="2028"/>
      <c r="K86" s="3376"/>
      <c r="L86" s="3087" t="s">
        <v>2879</v>
      </c>
      <c r="M86" s="3077">
        <f ca="1">N69*0.5%</f>
        <v>1016.0500000000001</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76"/>
      <c r="L87" s="3087" t="s">
        <v>2881</v>
      </c>
      <c r="M87" s="3077">
        <f ca="1">IF(N69&gt;=10000,(8.25+(N69-10000)*0.01%),IF(AND(N69&gt;=8000,N69&lt;10000),(7.85+(N69-8000)*0.02%),IF(AND(N69&gt;=5000,N69&lt;8000),(6.65+(N69-5000)*0.04%),IF(AND(N69&gt;=2000,N69&lt;5000),(4.25+(PN69-2000)*0.08%),IF(AND(N69&gt;=1000,N69&lt;2000),(2.75+(N69-1000)*0.15%),IF(AND(N69&gt;=100,N69&lt;1000),(0.5+(N69-100)*0.25%),IF(AND(N69&gt;0,N69&lt;100),N69*0.5%)))))))</f>
        <v>27.571000000000002</v>
      </c>
      <c r="N87" s="53">
        <f ca="1">ROUND(M87*0.9,1)</f>
        <v>24.8</v>
      </c>
      <c r="O87" s="3080"/>
      <c r="P87" s="311"/>
      <c r="Q87" s="2028"/>
      <c r="R87" s="2028"/>
      <c r="S87" s="2028"/>
      <c r="T87" s="2028"/>
      <c r="U87" s="2028"/>
      <c r="V87" s="2028"/>
      <c r="W87" s="292"/>
      <c r="X87" s="292"/>
      <c r="Y87" s="292"/>
      <c r="Z87" s="292"/>
    </row>
    <row r="88" spans="1:26" s="1314" customFormat="1" ht="15" thickBot="1">
      <c r="A88" s="3358" t="s">
        <v>436</v>
      </c>
      <c r="B88" s="3359"/>
      <c r="C88" s="3359"/>
      <c r="D88" s="3359"/>
      <c r="E88" s="3359"/>
      <c r="F88" s="3359"/>
      <c r="G88" s="3359"/>
      <c r="H88" s="3359"/>
      <c r="I88" s="1315"/>
      <c r="J88" s="2036"/>
      <c r="K88" s="3376"/>
      <c r="L88" s="3087" t="s">
        <v>2882</v>
      </c>
      <c r="M88" s="3077">
        <f ca="1">IF(N69&gt;10000,N69*0.5%,IF(AND(N69&gt;5000,N69&lt;=10000),N69*1%,IF(AND(N69&gt;1000,N69&lt;=5000),N69*2%,IF(AND(N69&gt;200,N69&lt;=1000),N69*3%,N69*5%))))</f>
        <v>1016.0500000000001</v>
      </c>
      <c r="N88" s="53">
        <f ca="1">ROUND(M88,1)</f>
        <v>1016.1</v>
      </c>
      <c r="O88" s="3080"/>
      <c r="P88" s="11"/>
      <c r="Q88" s="2033"/>
      <c r="R88" s="2033"/>
      <c r="S88" s="2033"/>
      <c r="T88" s="2033"/>
      <c r="U88" s="2033"/>
      <c r="V88" s="2033"/>
      <c r="W88" s="2037"/>
      <c r="X88" s="2037"/>
      <c r="Y88" s="2037"/>
      <c r="Z88" s="2037"/>
    </row>
    <row r="89" spans="1:26" s="1314" customFormat="1" ht="14.25">
      <c r="A89" s="3356" t="s">
        <v>427</v>
      </c>
      <c r="B89" s="3357"/>
      <c r="C89" s="994"/>
      <c r="D89" s="994" t="s">
        <v>428</v>
      </c>
      <c r="E89" s="391" t="s">
        <v>437</v>
      </c>
      <c r="F89" s="392"/>
      <c r="G89" s="392"/>
      <c r="H89" s="393"/>
      <c r="I89" s="1316"/>
      <c r="J89" s="2038"/>
      <c r="K89" s="3376"/>
      <c r="L89" s="3087" t="s">
        <v>27</v>
      </c>
      <c r="M89" s="3078"/>
      <c r="N89" s="53">
        <f ca="1">ROUND(SUM(N83:N88),0)</f>
        <v>3277</v>
      </c>
      <c r="O89" s="3088">
        <f ca="1">N89/N69</f>
        <v>1.6126174892967866E-2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119156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3276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19" t="s">
        <v>446</v>
      </c>
      <c r="F94" s="3318"/>
      <c r="G94" s="3318"/>
      <c r="H94" s="335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715</v>
      </c>
      <c r="D96" s="406">
        <f>'数据-取费表'!B43</f>
        <v>6.000000000000001E-3</v>
      </c>
      <c r="E96" s="3347" t="s">
        <v>2429</v>
      </c>
      <c r="F96" s="3348"/>
      <c r="G96" s="3348"/>
      <c r="H96" s="334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115880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35.372405372405375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68381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8" t="s">
        <v>453</v>
      </c>
      <c r="B101" s="3359"/>
      <c r="C101" s="3359"/>
      <c r="D101" s="3359"/>
      <c r="E101" s="3359"/>
      <c r="F101" s="3359"/>
      <c r="G101" s="3359"/>
      <c r="H101" s="335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6" t="s">
        <v>427</v>
      </c>
      <c r="B102" s="3357"/>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119156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1405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50" t="s">
        <v>461</v>
      </c>
      <c r="F109" s="3348"/>
      <c r="G109" s="3348"/>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50" t="s">
        <v>463</v>
      </c>
      <c r="F110" s="3348"/>
      <c r="G110" s="3348"/>
      <c r="H110" s="334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715</v>
      </c>
      <c r="D111" s="406">
        <f>'数据-取费表'!B43</f>
        <v>6.000000000000001E-3</v>
      </c>
      <c r="E111" s="3347" t="s">
        <v>2429</v>
      </c>
      <c r="F111" s="3348"/>
      <c r="G111" s="3348"/>
      <c r="H111" s="334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50" t="s">
        <v>2454</v>
      </c>
      <c r="F112" s="3348"/>
      <c r="G112" s="3348"/>
      <c r="H112" s="334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117751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83.808540925266911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70159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33294</v>
      </c>
      <c r="D13" s="451"/>
      <c r="E13" s="365"/>
      <c r="F13" s="452"/>
      <c r="G13" s="444"/>
      <c r="H13" s="447"/>
      <c r="I13" s="447"/>
      <c r="J13" s="447"/>
      <c r="K13" s="448"/>
    </row>
    <row r="14" spans="1:41" s="2116" customFormat="1" ht="13.5" customHeight="1">
      <c r="A14" s="1632" t="s">
        <v>1849</v>
      </c>
      <c r="B14" s="449" t="s">
        <v>479</v>
      </c>
      <c r="C14" s="53">
        <f ca="1">ROUND(C13*F14,0)</f>
        <v>999</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2268</v>
      </c>
      <c r="D16" s="451">
        <f ca="1">IF(B1="",'数据-汇总表'!E3,INDIRECT("'数据-取费表'!K"&amp;$K$1)+INDIRECT("'数据-取费表'!S"&amp;$K$1))</f>
        <v>113422.40000000001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499</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37519</v>
      </c>
      <c r="D18" s="461"/>
      <c r="E18" s="462"/>
      <c r="F18" s="462"/>
      <c r="G18" s="1327" t="s">
        <v>2433</v>
      </c>
      <c r="H18" s="447"/>
      <c r="I18" s="447"/>
      <c r="J18" s="447"/>
      <c r="K18" s="448"/>
    </row>
    <row r="19" spans="1:14" s="2119" customFormat="1" ht="13.5" customHeight="1">
      <c r="A19" s="1633" t="s">
        <v>1854</v>
      </c>
      <c r="B19" s="459" t="s">
        <v>492</v>
      </c>
      <c r="C19" s="460">
        <f ca="1">ROUND(C18*F19,0)</f>
        <v>750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1818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1818</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2679</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2679</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46269</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I48" sqref="I48:I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216366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19076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68660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4577</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01" t="s">
        <v>521</v>
      </c>
      <c r="D6" s="3402"/>
      <c r="E6" s="3401" t="s">
        <v>522</v>
      </c>
      <c r="F6" s="3402"/>
      <c r="G6" s="3401" t="s">
        <v>523</v>
      </c>
      <c r="H6" s="3402"/>
      <c r="I6" s="3401" t="s">
        <v>524</v>
      </c>
      <c r="J6" s="3402"/>
      <c r="K6" s="514" t="s">
        <v>525</v>
      </c>
      <c r="L6" s="2133"/>
      <c r="M6" s="2132"/>
      <c r="N6" s="2132"/>
      <c r="O6" s="2134"/>
      <c r="P6" s="3403" t="s">
        <v>526</v>
      </c>
      <c r="Q6" s="3404"/>
      <c r="R6" s="3409" t="s">
        <v>522</v>
      </c>
      <c r="S6" s="3410"/>
      <c r="T6" s="3409" t="s">
        <v>523</v>
      </c>
      <c r="U6" s="3410"/>
      <c r="V6" s="3396" t="s">
        <v>524</v>
      </c>
      <c r="W6" s="3396"/>
      <c r="X6" s="1566"/>
      <c r="Y6" s="3409" t="s">
        <v>526</v>
      </c>
      <c r="Z6" s="3410"/>
      <c r="AA6" s="3398" t="s">
        <v>522</v>
      </c>
      <c r="AB6" s="3399" t="s">
        <v>523</v>
      </c>
      <c r="AC6" s="3398" t="s">
        <v>524</v>
      </c>
    </row>
    <row r="7" spans="1:30" ht="95.25" customHeight="1">
      <c r="A7" s="515"/>
      <c r="B7" s="516"/>
      <c r="C7" s="3419" t="str">
        <f>项目基本情况!F10</f>
        <v>海淀区“海淀北部地区整体开发”西北旺镇亮甲店村HD00-0404-6005地块R2二类居住用地</v>
      </c>
      <c r="D7" s="3418"/>
      <c r="E7" s="3417" t="str">
        <f>土地案例!A17</f>
        <v>北京市朝阳区豆各庄乡马家湾村1306-606地块R2二类居住用地</v>
      </c>
      <c r="F7" s="3418"/>
      <c r="G7" s="3417" t="str">
        <f>土地案例!A18</f>
        <v>北京市朝阳区东坝乡驹子房村1109-663地块R2二类居住用地</v>
      </c>
      <c r="H7" s="3418"/>
      <c r="I7" s="3417" t="str">
        <f>土地案例!A21</f>
        <v>朝阳区管庄乡塔营村1208-605地块</v>
      </c>
      <c r="J7" s="3418"/>
      <c r="K7" s="514"/>
      <c r="L7" s="2133"/>
      <c r="M7" s="2132"/>
      <c r="N7" s="2132"/>
      <c r="O7" s="2134"/>
      <c r="P7" s="3405"/>
      <c r="Q7" s="3406"/>
      <c r="R7" s="3411"/>
      <c r="S7" s="3412"/>
      <c r="T7" s="3411"/>
      <c r="U7" s="3412"/>
      <c r="V7" s="3396"/>
      <c r="W7" s="3396"/>
      <c r="X7" s="1566"/>
      <c r="Y7" s="3411"/>
      <c r="Z7" s="3412"/>
      <c r="AA7" s="3399"/>
      <c r="AB7" s="3399"/>
      <c r="AC7" s="3399"/>
    </row>
    <row r="8" spans="1:30" ht="21" thickBot="1">
      <c r="A8" s="515"/>
      <c r="B8" s="516"/>
      <c r="C8" s="3415" t="s">
        <v>3326</v>
      </c>
      <c r="D8" s="3416"/>
      <c r="E8" s="3415" t="s">
        <v>3327</v>
      </c>
      <c r="F8" s="3416"/>
      <c r="G8" s="3420" t="s">
        <v>3328</v>
      </c>
      <c r="H8" s="3421"/>
      <c r="I8" s="3415" t="s">
        <v>3329</v>
      </c>
      <c r="J8" s="3416"/>
      <c r="K8" s="514" t="s">
        <v>527</v>
      </c>
      <c r="L8" s="2133"/>
      <c r="M8" s="2132"/>
      <c r="N8" s="2132"/>
      <c r="O8" s="2134"/>
      <c r="P8" s="3407"/>
      <c r="Q8" s="3408"/>
      <c r="R8" s="3411"/>
      <c r="S8" s="3412"/>
      <c r="T8" s="3413"/>
      <c r="U8" s="3414"/>
      <c r="V8" s="3396"/>
      <c r="W8" s="3396"/>
      <c r="X8" s="1566"/>
      <c r="Y8" s="3413"/>
      <c r="Z8" s="3414"/>
      <c r="AA8" s="3400"/>
      <c r="AB8" s="3400"/>
      <c r="AC8" s="3400"/>
    </row>
    <row r="9" spans="1:30" s="1220" customFormat="1" ht="21" thickBot="1">
      <c r="A9" s="2936"/>
      <c r="B9" s="2943" t="s">
        <v>528</v>
      </c>
      <c r="C9" s="2935">
        <f>'数据-取费表'!B2</f>
        <v>43207</v>
      </c>
      <c r="D9" s="520">
        <v>100</v>
      </c>
      <c r="E9" s="521" t="str">
        <f>土地案例!AA17</f>
        <v>2017-12-14</v>
      </c>
      <c r="F9" s="522">
        <f>SUMIF(72:72,YEAR(E9)&amp;"-"&amp;INT((MONTH(E9)+2)/3),73:73)</f>
        <v>98</v>
      </c>
      <c r="G9" s="523" t="str">
        <f>土地案例!AA18</f>
        <v>2017-11-03</v>
      </c>
      <c r="H9" s="520">
        <f>SUMIF(72:72,YEAR(G9)&amp;"-"&amp;INT((MONTH(G9)+2)/3),73:73)</f>
        <v>98</v>
      </c>
      <c r="I9" s="523" t="str">
        <f>土地案例!AA21</f>
        <v>2017-04-25</v>
      </c>
      <c r="J9" s="520">
        <f>SUMIF(72:72,YEAR(I9)&amp;"-"&amp;INT((MONTH(I9)+2)/3),73:73)</f>
        <v>96</v>
      </c>
      <c r="K9" s="524"/>
      <c r="L9" s="2135"/>
      <c r="M9" s="2132"/>
      <c r="N9" s="2132"/>
      <c r="O9" s="2136"/>
      <c r="P9" s="3427" t="s">
        <v>529</v>
      </c>
      <c r="Q9" s="3429"/>
      <c r="R9" s="1567" t="s">
        <v>8</v>
      </c>
      <c r="S9" s="1568">
        <f t="shared" ref="S9:S17" si="0">F9</f>
        <v>98</v>
      </c>
      <c r="T9" s="1567" t="s">
        <v>8</v>
      </c>
      <c r="U9" s="1568">
        <f t="shared" ref="U9:U17" si="1">H9</f>
        <v>98</v>
      </c>
      <c r="V9" s="1567" t="s">
        <v>8</v>
      </c>
      <c r="W9" s="1568">
        <f t="shared" ref="W9:W17" si="2">J9</f>
        <v>96</v>
      </c>
      <c r="X9" s="1569"/>
      <c r="Y9" s="3427" t="s">
        <v>529</v>
      </c>
      <c r="Z9" s="3428"/>
      <c r="AA9" s="1570">
        <f>D9/F9</f>
        <v>1.0204081632653061</v>
      </c>
      <c r="AB9" s="1570">
        <f>D9/H9</f>
        <v>1.0204081632653061</v>
      </c>
      <c r="AC9" s="1570">
        <f>D9/J9</f>
        <v>1.0416666666666667</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27" t="s">
        <v>532</v>
      </c>
      <c r="Q10" s="3428"/>
      <c r="R10" s="1567" t="s">
        <v>8</v>
      </c>
      <c r="S10" s="1568">
        <f t="shared" si="0"/>
        <v>100</v>
      </c>
      <c r="T10" s="1567" t="s">
        <v>8</v>
      </c>
      <c r="U10" s="1568">
        <f t="shared" si="1"/>
        <v>100</v>
      </c>
      <c r="V10" s="1567" t="s">
        <v>8</v>
      </c>
      <c r="W10" s="1568">
        <f t="shared" si="2"/>
        <v>100</v>
      </c>
      <c r="X10" s="1569"/>
      <c r="Y10" s="3427" t="s">
        <v>532</v>
      </c>
      <c r="Z10" s="3428"/>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2984</v>
      </c>
      <c r="D11" s="254">
        <v>100</v>
      </c>
      <c r="E11" s="526" t="str">
        <f>土地案例!I2</f>
        <v>R2二类居住用地</v>
      </c>
      <c r="F11" s="254">
        <f>SUMIF(77:77,E11,78:78)-SUMIF(77:77,C11,78:78)+100</f>
        <v>100</v>
      </c>
      <c r="G11" s="526" t="s">
        <v>3339</v>
      </c>
      <c r="H11" s="254">
        <f>SUMIF(77:77,G11,78:78)-SUMIF(77:77,C11,78:78)+100</f>
        <v>99</v>
      </c>
      <c r="I11" s="526" t="s">
        <v>3114</v>
      </c>
      <c r="J11" s="254">
        <f>SUMIF(77:77,I11,78:78)-SUMIF(77:77,C11,78:78)+100</f>
        <v>98</v>
      </c>
      <c r="K11" s="524"/>
      <c r="L11" s="2135"/>
      <c r="M11" s="2132"/>
      <c r="N11" s="2132"/>
      <c r="O11" s="2137"/>
      <c r="P11" s="3395" t="s">
        <v>534</v>
      </c>
      <c r="Q11" s="1151" t="str">
        <f t="shared" ref="Q11:Q17" si="6">B11</f>
        <v>用途</v>
      </c>
      <c r="R11" s="1567" t="s">
        <v>8</v>
      </c>
      <c r="S11" s="1568">
        <f t="shared" si="0"/>
        <v>100</v>
      </c>
      <c r="T11" s="1567" t="s">
        <v>8</v>
      </c>
      <c r="U11" s="1568">
        <f t="shared" si="1"/>
        <v>99</v>
      </c>
      <c r="V11" s="1567" t="s">
        <v>8</v>
      </c>
      <c r="W11" s="1568">
        <f t="shared" si="2"/>
        <v>98</v>
      </c>
      <c r="X11" s="1569"/>
      <c r="Y11" s="3341" t="s">
        <v>535</v>
      </c>
      <c r="Z11" s="1150" t="str">
        <f t="shared" ref="Z11:Z17" si="7">Q11</f>
        <v>用途</v>
      </c>
      <c r="AA11" s="1570">
        <f t="shared" si="3"/>
        <v>1</v>
      </c>
      <c r="AB11" s="1570">
        <f t="shared" si="4"/>
        <v>1.0101010101010102</v>
      </c>
      <c r="AC11" s="1570">
        <f t="shared" si="5"/>
        <v>1.0204081632653061</v>
      </c>
    </row>
    <row r="12" spans="1:30" s="1338" customFormat="1" ht="28.5">
      <c r="A12" s="2939"/>
      <c r="B12" s="2944" t="s">
        <v>2757</v>
      </c>
      <c r="C12" s="3222" t="s">
        <v>3334</v>
      </c>
      <c r="D12" s="255">
        <v>100</v>
      </c>
      <c r="E12" s="530" t="s">
        <v>3172</v>
      </c>
      <c r="F12" s="255">
        <f>ROUND(100/'数据-取费表'!G16,0)</f>
        <v>101</v>
      </c>
      <c r="G12" s="530" t="s">
        <v>3172</v>
      </c>
      <c r="H12" s="255">
        <f>ROUND(100/'数据-取费表'!G16,0)</f>
        <v>101</v>
      </c>
      <c r="I12" s="530" t="s">
        <v>3172</v>
      </c>
      <c r="J12" s="255">
        <f>ROUND(100/'数据-取费表'!G16,0)</f>
        <v>101</v>
      </c>
      <c r="K12" s="531"/>
      <c r="L12" s="2138"/>
      <c r="M12" s="2132"/>
      <c r="N12" s="2132"/>
      <c r="O12" s="2139"/>
      <c r="P12" s="3395"/>
      <c r="Q12" s="1151" t="str">
        <f t="shared" si="6"/>
        <v>土地使用年限（年）</v>
      </c>
      <c r="R12" s="1567" t="s">
        <v>8</v>
      </c>
      <c r="S12" s="1568">
        <f t="shared" si="0"/>
        <v>101</v>
      </c>
      <c r="T12" s="1567" t="s">
        <v>8</v>
      </c>
      <c r="U12" s="1568">
        <f t="shared" si="1"/>
        <v>101</v>
      </c>
      <c r="V12" s="1567" t="s">
        <v>8</v>
      </c>
      <c r="W12" s="1568">
        <f t="shared" si="2"/>
        <v>101</v>
      </c>
      <c r="X12" s="1569"/>
      <c r="Y12" s="3341"/>
      <c r="Z12" s="1150" t="str">
        <f t="shared" si="7"/>
        <v>土地使用年限（年）</v>
      </c>
      <c r="AA12" s="1570">
        <f t="shared" si="3"/>
        <v>0.99009900990099009</v>
      </c>
      <c r="AB12" s="1570">
        <f t="shared" si="4"/>
        <v>0.99009900990099009</v>
      </c>
      <c r="AC12" s="1570">
        <f t="shared" si="5"/>
        <v>0.99009900990099009</v>
      </c>
    </row>
    <row r="13" spans="1:30" ht="20.25">
      <c r="A13" s="2940"/>
      <c r="B13" s="2944" t="s">
        <v>2758</v>
      </c>
      <c r="C13" s="534">
        <f>'数据-汇总表'!I6</f>
        <v>2.36</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395"/>
      <c r="Q13" s="1151" t="str">
        <f t="shared" si="6"/>
        <v>容积率</v>
      </c>
      <c r="R13" s="1567" t="s">
        <v>8</v>
      </c>
      <c r="S13" s="1568">
        <f t="shared" si="0"/>
        <v>100</v>
      </c>
      <c r="T13" s="1567" t="s">
        <v>8</v>
      </c>
      <c r="U13" s="1568">
        <f t="shared" si="1"/>
        <v>100</v>
      </c>
      <c r="V13" s="1567" t="s">
        <v>8</v>
      </c>
      <c r="W13" s="1568">
        <f t="shared" si="2"/>
        <v>101</v>
      </c>
      <c r="X13" s="1569"/>
      <c r="Y13" s="3341"/>
      <c r="Z13" s="1150" t="str">
        <f t="shared" si="7"/>
        <v>容积率</v>
      </c>
      <c r="AA13" s="1570">
        <f t="shared" si="3"/>
        <v>1</v>
      </c>
      <c r="AB13" s="1570">
        <f t="shared" si="4"/>
        <v>1</v>
      </c>
      <c r="AC13" s="1570">
        <f t="shared" si="5"/>
        <v>0.99009900990099009</v>
      </c>
    </row>
    <row r="14" spans="1:30" s="1220" customFormat="1" ht="27">
      <c r="A14" s="2937"/>
      <c r="B14" s="2946" t="s">
        <v>2759</v>
      </c>
      <c r="C14" s="2933" t="s">
        <v>3335</v>
      </c>
      <c r="D14" s="538">
        <v>100</v>
      </c>
      <c r="E14" s="2933" t="s">
        <v>3335</v>
      </c>
      <c r="F14" s="255">
        <f>SUMIF(84:84,E14,85:85)-SUMIF(84:84,C14,85:85)+100</f>
        <v>100</v>
      </c>
      <c r="G14" s="2933" t="s">
        <v>3335</v>
      </c>
      <c r="H14" s="255">
        <f>SUMIF(84:84,G14,85:85)-SUMIF(84:84,C14,85:85)+100</f>
        <v>100</v>
      </c>
      <c r="I14" s="2933" t="s">
        <v>3336</v>
      </c>
      <c r="J14" s="255">
        <f>SUMIF(84:84,I14,85:85)-SUMIF(84:84,C14,85:85)+100</f>
        <v>100</v>
      </c>
      <c r="K14" s="531"/>
      <c r="L14" s="2135"/>
      <c r="M14" s="2132"/>
      <c r="N14" s="2132"/>
      <c r="O14" s="2137"/>
      <c r="P14" s="3395"/>
      <c r="Q14" s="1151" t="str">
        <f t="shared" si="6"/>
        <v>配建</v>
      </c>
      <c r="R14" s="1567" t="s">
        <v>8</v>
      </c>
      <c r="S14" s="1568">
        <f t="shared" si="0"/>
        <v>100</v>
      </c>
      <c r="T14" s="1567" t="s">
        <v>8</v>
      </c>
      <c r="U14" s="1568">
        <f t="shared" si="1"/>
        <v>100</v>
      </c>
      <c r="V14" s="1567" t="s">
        <v>8</v>
      </c>
      <c r="W14" s="1568">
        <f t="shared" si="2"/>
        <v>100</v>
      </c>
      <c r="X14" s="1569"/>
      <c r="Y14" s="3341"/>
      <c r="Z14" s="1150" t="str">
        <f t="shared" si="7"/>
        <v>配建</v>
      </c>
      <c r="AA14" s="1570">
        <f>D14/F14</f>
        <v>1</v>
      </c>
      <c r="AB14" s="1570">
        <f>D14/H14</f>
        <v>1</v>
      </c>
      <c r="AC14" s="1570">
        <f>D14/J14</f>
        <v>1</v>
      </c>
    </row>
    <row r="15" spans="1:30" ht="20.25">
      <c r="A15" s="2941"/>
      <c r="B15" s="3205" t="s">
        <v>3210</v>
      </c>
      <c r="C15" s="3206" t="s">
        <v>3211</v>
      </c>
      <c r="D15" s="540">
        <v>100</v>
      </c>
      <c r="E15" s="3206" t="s">
        <v>3211</v>
      </c>
      <c r="F15" s="255">
        <f>SUMIF(86:86,E15,87:87)-SUMIF(86:86,C15,87:87)+100</f>
        <v>100</v>
      </c>
      <c r="G15" s="3206" t="s">
        <v>3211</v>
      </c>
      <c r="H15" s="540">
        <f>SUMIF(86:86,G15,87:87)-SUMIF(86:86,C15,87:87)+100</f>
        <v>100</v>
      </c>
      <c r="I15" s="3206" t="s">
        <v>3211</v>
      </c>
      <c r="J15" s="540">
        <f>SUMIF(86:86,I15,87:87)-SUMIF(86:86,C15,87:87)+100</f>
        <v>100</v>
      </c>
      <c r="K15" s="531"/>
      <c r="L15" s="2142"/>
      <c r="M15" s="2132"/>
      <c r="N15" s="2132"/>
      <c r="O15" s="2141"/>
      <c r="P15" s="3395"/>
      <c r="Q15" s="1151" t="str">
        <f t="shared" si="6"/>
        <v>是否限价</v>
      </c>
      <c r="R15" s="1567" t="s">
        <v>8</v>
      </c>
      <c r="S15" s="1568">
        <f t="shared" si="0"/>
        <v>100</v>
      </c>
      <c r="T15" s="1567" t="s">
        <v>8</v>
      </c>
      <c r="U15" s="1568">
        <f t="shared" si="1"/>
        <v>100</v>
      </c>
      <c r="V15" s="1567" t="s">
        <v>8</v>
      </c>
      <c r="W15" s="1568">
        <f t="shared" si="2"/>
        <v>100</v>
      </c>
      <c r="X15" s="1569"/>
      <c r="Y15" s="3341"/>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5"/>
      <c r="Q16" s="1151">
        <f t="shared" si="6"/>
        <v>111</v>
      </c>
      <c r="R16" s="1567" t="s">
        <v>8</v>
      </c>
      <c r="S16" s="1568">
        <f t="shared" si="0"/>
        <v>100</v>
      </c>
      <c r="T16" s="1567" t="s">
        <v>8</v>
      </c>
      <c r="U16" s="1568">
        <f t="shared" si="1"/>
        <v>100</v>
      </c>
      <c r="V16" s="1567" t="s">
        <v>8</v>
      </c>
      <c r="W16" s="1568">
        <f t="shared" si="2"/>
        <v>100</v>
      </c>
      <c r="X16" s="1569"/>
      <c r="Y16" s="3341"/>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30" t="s">
        <v>539</v>
      </c>
      <c r="Q17" s="1571" t="str">
        <f t="shared" si="6"/>
        <v>居住社区成熟度</v>
      </c>
      <c r="R17" s="1572" t="s">
        <v>8</v>
      </c>
      <c r="S17" s="1573">
        <f t="shared" si="0"/>
        <v>96</v>
      </c>
      <c r="T17" s="1572" t="s">
        <v>8</v>
      </c>
      <c r="U17" s="1573">
        <f t="shared" si="1"/>
        <v>100</v>
      </c>
      <c r="V17" s="1572" t="s">
        <v>8</v>
      </c>
      <c r="W17" s="1573">
        <f t="shared" si="2"/>
        <v>100</v>
      </c>
      <c r="X17" s="1566"/>
      <c r="Y17" s="3430" t="s">
        <v>539</v>
      </c>
      <c r="Z17" s="1574" t="str">
        <f t="shared" si="7"/>
        <v>居住社区成熟度</v>
      </c>
      <c r="AA17" s="1575">
        <f t="shared" si="3"/>
        <v>1.0416666666666667</v>
      </c>
      <c r="AB17" s="1575">
        <f t="shared" si="4"/>
        <v>1</v>
      </c>
      <c r="AC17" s="1575">
        <f t="shared" si="5"/>
        <v>1</v>
      </c>
    </row>
    <row r="18" spans="1:29" ht="20.25">
      <c r="A18" s="532"/>
      <c r="B18" s="553"/>
      <c r="C18" s="554" t="s">
        <v>3177</v>
      </c>
      <c r="D18" s="557"/>
      <c r="E18" s="554" t="s">
        <v>3174</v>
      </c>
      <c r="F18" s="555"/>
      <c r="G18" s="554" t="s">
        <v>3177</v>
      </c>
      <c r="H18" s="559"/>
      <c r="I18" s="554" t="s">
        <v>3177</v>
      </c>
      <c r="J18" s="555"/>
      <c r="K18" s="531"/>
      <c r="L18" s="2142"/>
      <c r="M18" s="2132"/>
      <c r="N18" s="2132"/>
      <c r="O18" s="2141"/>
      <c r="P18" s="3431"/>
      <c r="Q18" s="1571"/>
      <c r="R18" s="1572"/>
      <c r="S18" s="1573"/>
      <c r="T18" s="1572"/>
      <c r="U18" s="1573"/>
      <c r="V18" s="1572"/>
      <c r="W18" s="1573"/>
      <c r="X18" s="1566"/>
      <c r="Y18" s="343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31"/>
      <c r="Q19" s="1571" t="str">
        <f>B19</f>
        <v>商业繁华度</v>
      </c>
      <c r="R19" s="1572" t="s">
        <v>8</v>
      </c>
      <c r="S19" s="1573">
        <f>F19</f>
        <v>100</v>
      </c>
      <c r="T19" s="1572" t="s">
        <v>8</v>
      </c>
      <c r="U19" s="1573">
        <f>H19</f>
        <v>100</v>
      </c>
      <c r="V19" s="1572" t="s">
        <v>8</v>
      </c>
      <c r="W19" s="1573">
        <f>J19</f>
        <v>100</v>
      </c>
      <c r="X19" s="1566"/>
      <c r="Y19" s="3431"/>
      <c r="Z19" s="1574" t="str">
        <f>Q19</f>
        <v>商业繁华度</v>
      </c>
      <c r="AA19" s="1575">
        <f t="shared" si="3"/>
        <v>1</v>
      </c>
      <c r="AB19" s="1575">
        <f t="shared" si="4"/>
        <v>1</v>
      </c>
      <c r="AC19" s="1575">
        <f t="shared" si="5"/>
        <v>1</v>
      </c>
    </row>
    <row r="20" spans="1:29" ht="20.25">
      <c r="A20" s="532"/>
      <c r="B20" s="566"/>
      <c r="C20" s="567" t="s">
        <v>3174</v>
      </c>
      <c r="D20" s="563"/>
      <c r="E20" s="567" t="s">
        <v>3174</v>
      </c>
      <c r="F20" s="559"/>
      <c r="G20" s="567" t="s">
        <v>3174</v>
      </c>
      <c r="H20" s="555"/>
      <c r="I20" s="567" t="s">
        <v>3174</v>
      </c>
      <c r="J20" s="555"/>
      <c r="K20" s="531"/>
      <c r="L20" s="2142"/>
      <c r="M20" s="2132"/>
      <c r="N20" s="2132"/>
      <c r="O20" s="2141"/>
      <c r="P20" s="3431"/>
      <c r="Q20" s="1571"/>
      <c r="R20" s="1572"/>
      <c r="S20" s="1573"/>
      <c r="T20" s="1572"/>
      <c r="U20" s="1573"/>
      <c r="V20" s="1572"/>
      <c r="W20" s="1573"/>
      <c r="X20" s="1566"/>
      <c r="Y20" s="343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1"/>
      <c r="Q21" s="1571" t="str">
        <f>B21</f>
        <v>办公集聚程度</v>
      </c>
      <c r="R21" s="1572" t="s">
        <v>8</v>
      </c>
      <c r="S21" s="1573">
        <f>F21</f>
        <v>100</v>
      </c>
      <c r="T21" s="1572" t="s">
        <v>8</v>
      </c>
      <c r="U21" s="1573">
        <f>H21</f>
        <v>100</v>
      </c>
      <c r="V21" s="1572" t="s">
        <v>8</v>
      </c>
      <c r="W21" s="1573">
        <f>J21</f>
        <v>100</v>
      </c>
      <c r="X21" s="1566"/>
      <c r="Y21" s="343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31"/>
      <c r="Q22" s="1571"/>
      <c r="R22" s="1572"/>
      <c r="S22" s="1573"/>
      <c r="T22" s="1572"/>
      <c r="U22" s="1573"/>
      <c r="V22" s="1572"/>
      <c r="W22" s="1573"/>
      <c r="X22" s="1566"/>
      <c r="Y22" s="3431"/>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31"/>
      <c r="Q23" s="1571" t="str">
        <f>B23</f>
        <v>交通便捷度</v>
      </c>
      <c r="R23" s="1572" t="s">
        <v>8</v>
      </c>
      <c r="S23" s="1573">
        <f>F23</f>
        <v>97</v>
      </c>
      <c r="T23" s="1572" t="s">
        <v>8</v>
      </c>
      <c r="U23" s="1573">
        <f>H23</f>
        <v>97</v>
      </c>
      <c r="V23" s="1572" t="s">
        <v>8</v>
      </c>
      <c r="W23" s="1573">
        <f>J23</f>
        <v>100</v>
      </c>
      <c r="X23" s="1566"/>
      <c r="Y23" s="3431"/>
      <c r="Z23" s="1574" t="str">
        <f>Q23</f>
        <v>交通便捷度</v>
      </c>
      <c r="AA23" s="1575">
        <f t="shared" si="3"/>
        <v>1.0309278350515463</v>
      </c>
      <c r="AB23" s="1575">
        <f t="shared" si="4"/>
        <v>1.0309278350515463</v>
      </c>
      <c r="AC23" s="1575">
        <f t="shared" si="5"/>
        <v>1</v>
      </c>
    </row>
    <row r="24" spans="1:29" ht="20.25">
      <c r="A24" s="532"/>
      <c r="B24" s="578"/>
      <c r="C24" s="554" t="s">
        <v>3177</v>
      </c>
      <c r="D24" s="557"/>
      <c r="E24" s="558" t="s">
        <v>3174</v>
      </c>
      <c r="F24" s="555"/>
      <c r="G24" s="558" t="s">
        <v>3174</v>
      </c>
      <c r="H24" s="555"/>
      <c r="I24" s="558" t="s">
        <v>3177</v>
      </c>
      <c r="J24" s="555"/>
      <c r="K24" s="531"/>
      <c r="L24" s="2142"/>
      <c r="M24" s="2132"/>
      <c r="N24" s="2132"/>
      <c r="O24" s="2141"/>
      <c r="P24" s="3431"/>
      <c r="Q24" s="1571"/>
      <c r="R24" s="1572"/>
      <c r="S24" s="1573"/>
      <c r="T24" s="1572"/>
      <c r="U24" s="1573"/>
      <c r="V24" s="1572"/>
      <c r="W24" s="1573"/>
      <c r="X24" s="1566"/>
      <c r="Y24" s="3431"/>
      <c r="Z24" s="1574"/>
      <c r="AA24" s="1575">
        <v>1</v>
      </c>
      <c r="AB24" s="1575">
        <v>1</v>
      </c>
      <c r="AC24" s="1575">
        <v>1</v>
      </c>
    </row>
    <row r="25" spans="1:29" ht="42.75">
      <c r="A25" s="515"/>
      <c r="B25" s="259" t="s">
        <v>543</v>
      </c>
      <c r="C25" s="573" t="str">
        <f>估价对象房地状况!C19</f>
        <v>有部分有其他用地，对本宗地略有影响</v>
      </c>
      <c r="D25" s="563">
        <v>100</v>
      </c>
      <c r="E25" s="3191" t="s">
        <v>3179</v>
      </c>
      <c r="F25" s="565">
        <f>SUMIF(98:98,E26,99:99)-SUMIF(98:98,C26,99:99)+100</f>
        <v>100</v>
      </c>
      <c r="G25" s="3192" t="s">
        <v>3179</v>
      </c>
      <c r="H25" s="559">
        <f>SUMIF(98:98,G26,99:99)-SUMIF(98:98,C26,99:99)+100</f>
        <v>100</v>
      </c>
      <c r="I25" s="3191" t="s">
        <v>3179</v>
      </c>
      <c r="J25" s="559">
        <f>SUMIF(98:98,I26,99:99)-SUMIF(98:98,C26,99:99)+100</f>
        <v>100</v>
      </c>
      <c r="K25" s="535">
        <v>1</v>
      </c>
      <c r="L25" s="2142"/>
      <c r="M25" s="2132"/>
      <c r="N25" s="2132"/>
      <c r="O25" s="2141"/>
      <c r="P25" s="3431"/>
      <c r="Q25" s="1571" t="str">
        <f t="shared" ref="Q25:Q39" si="8">B25</f>
        <v>区域土地利用方向</v>
      </c>
      <c r="R25" s="1572" t="s">
        <v>8</v>
      </c>
      <c r="S25" s="1573">
        <f>F25</f>
        <v>100</v>
      </c>
      <c r="T25" s="1572" t="s">
        <v>8</v>
      </c>
      <c r="U25" s="1573">
        <f>H25</f>
        <v>100</v>
      </c>
      <c r="V25" s="1572" t="s">
        <v>8</v>
      </c>
      <c r="W25" s="1573">
        <f>J25</f>
        <v>100</v>
      </c>
      <c r="X25" s="1566"/>
      <c r="Y25" s="3431"/>
      <c r="Z25" s="1574" t="str">
        <f>Q25</f>
        <v>区域土地利用方向</v>
      </c>
      <c r="AA25" s="1575">
        <f t="shared" si="3"/>
        <v>1</v>
      </c>
      <c r="AB25" s="1575">
        <f t="shared" si="4"/>
        <v>1</v>
      </c>
      <c r="AC25" s="1575">
        <f t="shared" si="5"/>
        <v>1</v>
      </c>
    </row>
    <row r="26" spans="1:29" ht="20.25">
      <c r="A26" s="515"/>
      <c r="B26" s="1007"/>
      <c r="C26" s="554" t="s">
        <v>3177</v>
      </c>
      <c r="D26" s="557"/>
      <c r="E26" s="554" t="s">
        <v>3177</v>
      </c>
      <c r="F26" s="555"/>
      <c r="G26" s="554" t="s">
        <v>3177</v>
      </c>
      <c r="H26" s="555"/>
      <c r="I26" s="554" t="s">
        <v>3177</v>
      </c>
      <c r="J26" s="555"/>
      <c r="K26" s="531"/>
      <c r="L26" s="2142"/>
      <c r="M26" s="2132"/>
      <c r="N26" s="2132"/>
      <c r="O26" s="2141"/>
      <c r="P26" s="3431"/>
      <c r="Q26" s="1571"/>
      <c r="R26" s="1572"/>
      <c r="S26" s="1573"/>
      <c r="T26" s="1572"/>
      <c r="U26" s="1573"/>
      <c r="V26" s="1572"/>
      <c r="W26" s="1573"/>
      <c r="X26" s="1566"/>
      <c r="Y26" s="3431"/>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3182</v>
      </c>
      <c r="F27" s="559">
        <f>SUMIF(100:100,E28,101:101)-SUMIF(100:100,C28,101:101)+100</f>
        <v>100</v>
      </c>
      <c r="G27" s="3192" t="s">
        <v>3181</v>
      </c>
      <c r="H27" s="559">
        <f>SUMIF(100:100,G28,101:101)-SUMIF(100:100,C28,101:101)+100</f>
        <v>100</v>
      </c>
      <c r="I27" s="3191" t="s">
        <v>3182</v>
      </c>
      <c r="J27" s="559">
        <f>SUMIF(100:100,I28,101:101)-SUMIF(100:100,C28,101:101)+100</f>
        <v>100</v>
      </c>
      <c r="K27" s="535">
        <v>2</v>
      </c>
      <c r="L27" s="2142"/>
      <c r="M27" s="2132"/>
      <c r="N27" s="2132"/>
      <c r="O27" s="2141"/>
      <c r="P27" s="3431"/>
      <c r="Q27" s="1571" t="str">
        <f t="shared" si="8"/>
        <v>自然及人文环境状况</v>
      </c>
      <c r="R27" s="1572" t="s">
        <v>8</v>
      </c>
      <c r="S27" s="1573">
        <f>F27</f>
        <v>100</v>
      </c>
      <c r="T27" s="1572" t="s">
        <v>8</v>
      </c>
      <c r="U27" s="1573">
        <f>H27</f>
        <v>100</v>
      </c>
      <c r="V27" s="1572" t="s">
        <v>8</v>
      </c>
      <c r="W27" s="1573">
        <f>J27</f>
        <v>100</v>
      </c>
      <c r="X27" s="1566"/>
      <c r="Y27" s="3431"/>
      <c r="Z27" s="1574" t="str">
        <f>Q27</f>
        <v>自然及人文环境状况</v>
      </c>
      <c r="AA27" s="1575">
        <f t="shared" si="3"/>
        <v>1</v>
      </c>
      <c r="AB27" s="1575">
        <f t="shared" si="4"/>
        <v>1</v>
      </c>
      <c r="AC27" s="1575">
        <f t="shared" si="5"/>
        <v>1</v>
      </c>
    </row>
    <row r="28" spans="1:29" ht="20.25">
      <c r="A28" s="515"/>
      <c r="B28" s="566"/>
      <c r="C28" s="554" t="s">
        <v>3177</v>
      </c>
      <c r="D28" s="557"/>
      <c r="E28" s="554" t="s">
        <v>3177</v>
      </c>
      <c r="F28" s="555"/>
      <c r="G28" s="554" t="s">
        <v>3177</v>
      </c>
      <c r="H28" s="555"/>
      <c r="I28" s="554" t="s">
        <v>3177</v>
      </c>
      <c r="J28" s="555"/>
      <c r="K28" s="531"/>
      <c r="L28" s="2142"/>
      <c r="M28" s="2132"/>
      <c r="N28" s="2132"/>
      <c r="O28" s="2141"/>
      <c r="P28" s="3431"/>
      <c r="Q28" s="1571"/>
      <c r="R28" s="1572"/>
      <c r="S28" s="1573"/>
      <c r="T28" s="1572"/>
      <c r="U28" s="1573"/>
      <c r="V28" s="1572"/>
      <c r="W28" s="1573"/>
      <c r="X28" s="1566"/>
      <c r="Y28" s="3431"/>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3184</v>
      </c>
      <c r="F29" s="559">
        <f>SUMIF(102:102,E30,103:103)-SUMIF(102:102,C30,103:103)+100</f>
        <v>96</v>
      </c>
      <c r="G29" s="562" t="s">
        <v>3185</v>
      </c>
      <c r="H29" s="559">
        <f>SUMIF(102:102,G30,103:103)-SUMIF(102:102,C30,103:103)+100</f>
        <v>96</v>
      </c>
      <c r="I29" s="564" t="s">
        <v>3184</v>
      </c>
      <c r="J29" s="559">
        <f>SUMIF(102:102,I30,103:103)-SUMIF(102:102,C30,103:103)+100</f>
        <v>100</v>
      </c>
      <c r="K29" s="535">
        <v>4</v>
      </c>
      <c r="L29" s="2135"/>
      <c r="M29" s="2132"/>
      <c r="N29" s="2132"/>
      <c r="O29" s="2137"/>
      <c r="P29" s="3431"/>
      <c r="Q29" s="1151" t="str">
        <f t="shared" si="8"/>
        <v>公共配套设施</v>
      </c>
      <c r="R29" s="1567" t="s">
        <v>8</v>
      </c>
      <c r="S29" s="1568">
        <f>F29</f>
        <v>96</v>
      </c>
      <c r="T29" s="1567" t="s">
        <v>8</v>
      </c>
      <c r="U29" s="1568">
        <f>H29</f>
        <v>96</v>
      </c>
      <c r="V29" s="1567" t="s">
        <v>8</v>
      </c>
      <c r="W29" s="1568">
        <f>J29</f>
        <v>100</v>
      </c>
      <c r="X29" s="1569"/>
      <c r="Y29" s="3431"/>
      <c r="Z29" s="1150" t="str">
        <f>Q29</f>
        <v>公共配套设施</v>
      </c>
      <c r="AA29" s="1575">
        <f>D29/F29</f>
        <v>1.0416666666666667</v>
      </c>
      <c r="AB29" s="1575">
        <f>D29/H29</f>
        <v>1.0416666666666667</v>
      </c>
      <c r="AC29" s="1575">
        <f>D29/J29</f>
        <v>1</v>
      </c>
    </row>
    <row r="30" spans="1:29" s="1220" customFormat="1" ht="20.25">
      <c r="A30" s="577"/>
      <c r="B30" s="566"/>
      <c r="C30" s="579" t="s">
        <v>3177</v>
      </c>
      <c r="D30" s="557"/>
      <c r="E30" s="579" t="s">
        <v>3174</v>
      </c>
      <c r="F30" s="555"/>
      <c r="G30" s="579" t="s">
        <v>3174</v>
      </c>
      <c r="H30" s="555"/>
      <c r="I30" s="579" t="s">
        <v>3177</v>
      </c>
      <c r="J30" s="555"/>
      <c r="K30" s="531"/>
      <c r="L30" s="2135"/>
      <c r="M30" s="2132"/>
      <c r="N30" s="2132"/>
      <c r="O30" s="2137"/>
      <c r="P30" s="3431"/>
      <c r="Q30" s="1151"/>
      <c r="R30" s="1567"/>
      <c r="S30" s="1568"/>
      <c r="T30" s="1567"/>
      <c r="U30" s="1568"/>
      <c r="V30" s="1567"/>
      <c r="W30" s="1568"/>
      <c r="X30" s="1569"/>
      <c r="Y30" s="3431"/>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1"/>
      <c r="Q31" s="2602" t="str">
        <f t="shared" ref="Q31" si="9">B31</f>
        <v>基础设施水平</v>
      </c>
      <c r="R31" s="1567" t="s">
        <v>8</v>
      </c>
      <c r="S31" s="1568">
        <f>F31</f>
        <v>100</v>
      </c>
      <c r="T31" s="1567" t="s">
        <v>8</v>
      </c>
      <c r="U31" s="1568">
        <f>H31</f>
        <v>100</v>
      </c>
      <c r="V31" s="1567" t="s">
        <v>8</v>
      </c>
      <c r="W31" s="1568">
        <f>J31</f>
        <v>100</v>
      </c>
      <c r="X31" s="1569"/>
      <c r="Y31" s="3431"/>
      <c r="Z31" s="2599" t="str">
        <f>Q31</f>
        <v>基础设施水平</v>
      </c>
      <c r="AA31" s="1575">
        <f>D31/F31</f>
        <v>1</v>
      </c>
      <c r="AB31" s="1575">
        <f>D31/H31</f>
        <v>1</v>
      </c>
      <c r="AC31" s="1575">
        <f>D31/J31</f>
        <v>1</v>
      </c>
    </row>
    <row r="32" spans="1:29" s="1220" customFormat="1" ht="20.25">
      <c r="A32" s="577"/>
      <c r="B32" s="566"/>
      <c r="C32" s="579" t="s">
        <v>3186</v>
      </c>
      <c r="D32" s="557"/>
      <c r="E32" s="579" t="s">
        <v>3186</v>
      </c>
      <c r="F32" s="555"/>
      <c r="G32" s="579" t="s">
        <v>3186</v>
      </c>
      <c r="H32" s="555"/>
      <c r="I32" s="579" t="s">
        <v>3186</v>
      </c>
      <c r="J32" s="555"/>
      <c r="K32" s="531"/>
      <c r="L32" s="2135"/>
      <c r="M32" s="2132"/>
      <c r="N32" s="2132"/>
      <c r="O32" s="2137"/>
      <c r="P32" s="3431"/>
      <c r="Q32" s="2602"/>
      <c r="R32" s="1567"/>
      <c r="S32" s="1568"/>
      <c r="T32" s="1567"/>
      <c r="U32" s="1568"/>
      <c r="V32" s="1567"/>
      <c r="W32" s="1568"/>
      <c r="X32" s="1569"/>
      <c r="Y32" s="3431"/>
      <c r="Z32" s="2599"/>
      <c r="AA32" s="1575">
        <v>1</v>
      </c>
      <c r="AB32" s="1575">
        <v>1</v>
      </c>
      <c r="AC32" s="1575">
        <v>1</v>
      </c>
    </row>
    <row r="33" spans="1:29" ht="20.25">
      <c r="A33" s="532"/>
      <c r="B33" s="566" t="s">
        <v>546</v>
      </c>
      <c r="C33" s="580" t="s">
        <v>3187</v>
      </c>
      <c r="D33" s="575">
        <v>100</v>
      </c>
      <c r="E33" s="583" t="s">
        <v>3187</v>
      </c>
      <c r="F33" s="540">
        <f>SUMIF(106:106,E33,107:107)-SUMIF(106:106,C33,107:107)+100</f>
        <v>100</v>
      </c>
      <c r="G33" s="580" t="s">
        <v>3187</v>
      </c>
      <c r="H33" s="540">
        <f>SUMIF(106:106,G33,107:107)-SUMIF(106:106,C33,107:107)+100</f>
        <v>100</v>
      </c>
      <c r="I33" s="580" t="s">
        <v>3338</v>
      </c>
      <c r="J33" s="540">
        <f>SUMIF(106:106,I33,107:107)-SUMIF(106:106,C33,107:107)+100</f>
        <v>100.5</v>
      </c>
      <c r="K33" s="535">
        <v>0.5</v>
      </c>
      <c r="L33" s="2142"/>
      <c r="M33" s="2132"/>
      <c r="N33" s="2132"/>
      <c r="O33" s="2141"/>
      <c r="P33" s="343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31"/>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31"/>
      <c r="Q34" s="1571" t="str">
        <f t="shared" si="8"/>
        <v>毗邻道路的类型与等级</v>
      </c>
      <c r="R34" s="1572" t="s">
        <v>8</v>
      </c>
      <c r="S34" s="1573">
        <f t="shared" si="10"/>
        <v>100</v>
      </c>
      <c r="T34" s="1572" t="s">
        <v>8</v>
      </c>
      <c r="U34" s="1573">
        <f t="shared" si="11"/>
        <v>100</v>
      </c>
      <c r="V34" s="1572" t="s">
        <v>8</v>
      </c>
      <c r="W34" s="1573">
        <f t="shared" si="12"/>
        <v>100</v>
      </c>
      <c r="X34" s="1566"/>
      <c r="Y34" s="3431"/>
      <c r="Z34" s="1574" t="str">
        <f t="shared" si="13"/>
        <v>毗邻道路的类型与等级</v>
      </c>
      <c r="AA34" s="1575">
        <f t="shared" si="3"/>
        <v>1</v>
      </c>
      <c r="AB34" s="1575">
        <f t="shared" si="4"/>
        <v>1</v>
      </c>
      <c r="AC34" s="1575">
        <f t="shared" si="5"/>
        <v>1</v>
      </c>
    </row>
    <row r="35" spans="1:29" ht="20.25">
      <c r="A35" s="532"/>
      <c r="B35" s="566"/>
      <c r="C35" s="554" t="s">
        <v>3192</v>
      </c>
      <c r="D35" s="557"/>
      <c r="E35" s="554" t="s">
        <v>3192</v>
      </c>
      <c r="F35" s="555"/>
      <c r="G35" s="554" t="s">
        <v>3192</v>
      </c>
      <c r="H35" s="555"/>
      <c r="I35" s="554" t="s">
        <v>3192</v>
      </c>
      <c r="J35" s="555"/>
      <c r="K35" s="581"/>
      <c r="L35" s="2142"/>
      <c r="M35" s="2132"/>
      <c r="N35" s="2132"/>
      <c r="O35" s="2141"/>
      <c r="P35" s="3431"/>
      <c r="Q35" s="1571"/>
      <c r="R35" s="1572"/>
      <c r="S35" s="1573"/>
      <c r="T35" s="1572"/>
      <c r="U35" s="1573"/>
      <c r="V35" s="1572"/>
      <c r="W35" s="1573"/>
      <c r="X35" s="1566"/>
      <c r="Y35" s="343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1"/>
      <c r="Q36" s="1571" t="str">
        <f t="shared" si="8"/>
        <v>土地级别</v>
      </c>
      <c r="R36" s="1572" t="s">
        <v>8</v>
      </c>
      <c r="S36" s="1573">
        <f t="shared" si="10"/>
        <v>100</v>
      </c>
      <c r="T36" s="1572" t="s">
        <v>8</v>
      </c>
      <c r="U36" s="1573">
        <f t="shared" si="11"/>
        <v>100</v>
      </c>
      <c r="V36" s="1572" t="s">
        <v>8</v>
      </c>
      <c r="W36" s="1573">
        <f t="shared" si="12"/>
        <v>100</v>
      </c>
      <c r="X36" s="1566"/>
      <c r="Y36" s="343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1"/>
      <c r="Q37" s="1571">
        <f t="shared" si="8"/>
        <v>111</v>
      </c>
      <c r="R37" s="1572" t="s">
        <v>8</v>
      </c>
      <c r="S37" s="1573">
        <f t="shared" si="10"/>
        <v>100</v>
      </c>
      <c r="T37" s="1572" t="s">
        <v>8</v>
      </c>
      <c r="U37" s="1573">
        <f t="shared" si="11"/>
        <v>100</v>
      </c>
      <c r="V37" s="1572" t="s">
        <v>8</v>
      </c>
      <c r="W37" s="1573">
        <f t="shared" si="12"/>
        <v>100</v>
      </c>
      <c r="X37" s="1566"/>
      <c r="Y37" s="343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2" t="s">
        <v>549</v>
      </c>
      <c r="Q38" s="1571">
        <f t="shared" si="8"/>
        <v>111</v>
      </c>
      <c r="R38" s="1572" t="s">
        <v>8</v>
      </c>
      <c r="S38" s="1573">
        <f t="shared" si="10"/>
        <v>100</v>
      </c>
      <c r="T38" s="1572" t="s">
        <v>8</v>
      </c>
      <c r="U38" s="1573">
        <f t="shared" si="11"/>
        <v>100</v>
      </c>
      <c r="V38" s="1572" t="s">
        <v>8</v>
      </c>
      <c r="W38" s="1573">
        <f t="shared" si="12"/>
        <v>100</v>
      </c>
      <c r="X38" s="1566"/>
      <c r="Y38" s="3433"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3"/>
      <c r="Q39" s="1571">
        <f t="shared" si="8"/>
        <v>111</v>
      </c>
      <c r="R39" s="1576" t="s">
        <v>8</v>
      </c>
      <c r="S39" s="1577">
        <f t="shared" si="10"/>
        <v>100</v>
      </c>
      <c r="T39" s="1576" t="s">
        <v>8</v>
      </c>
      <c r="U39" s="1577">
        <f t="shared" si="11"/>
        <v>100</v>
      </c>
      <c r="V39" s="1576" t="s">
        <v>8</v>
      </c>
      <c r="W39" s="1577">
        <f t="shared" si="12"/>
        <v>100</v>
      </c>
      <c r="X39" s="1578"/>
      <c r="Y39" s="3433"/>
      <c r="Z39" s="1579">
        <f t="shared" si="13"/>
        <v>111</v>
      </c>
      <c r="AA39" s="1575">
        <f t="shared" si="3"/>
        <v>1</v>
      </c>
      <c r="AB39" s="1575">
        <f t="shared" si="4"/>
        <v>1</v>
      </c>
      <c r="AC39" s="1575">
        <f t="shared" si="5"/>
        <v>1</v>
      </c>
    </row>
    <row r="40" spans="1:29" ht="20.25">
      <c r="A40" s="2931" t="s">
        <v>2755</v>
      </c>
      <c r="B40" s="595" t="s">
        <v>551</v>
      </c>
      <c r="C40" s="596">
        <f>'数据-基础表'!A3</f>
        <v>33843.809000000001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33"/>
      <c r="Q40" s="1571" t="str">
        <f>B40</f>
        <v>宗地面积</v>
      </c>
      <c r="R40" s="1572" t="s">
        <v>8</v>
      </c>
      <c r="S40" s="1573">
        <f t="shared" si="10"/>
        <v>100</v>
      </c>
      <c r="T40" s="1572" t="s">
        <v>8</v>
      </c>
      <c r="U40" s="1573">
        <f t="shared" si="11"/>
        <v>101</v>
      </c>
      <c r="V40" s="1572" t="s">
        <v>8</v>
      </c>
      <c r="W40" s="1573">
        <f t="shared" si="12"/>
        <v>101</v>
      </c>
      <c r="X40" s="1566"/>
      <c r="Y40" s="3433"/>
      <c r="Z40" s="1574" t="str">
        <f t="shared" si="13"/>
        <v>宗地面积</v>
      </c>
      <c r="AA40" s="1575">
        <f t="shared" si="3"/>
        <v>1</v>
      </c>
      <c r="AB40" s="1575">
        <f t="shared" si="4"/>
        <v>0.99009900990099009</v>
      </c>
      <c r="AC40" s="1575">
        <f t="shared" si="5"/>
        <v>0.99009900990099009</v>
      </c>
    </row>
    <row r="41" spans="1:29" ht="20.25">
      <c r="A41" s="594"/>
      <c r="B41" s="527" t="s">
        <v>552</v>
      </c>
      <c r="C41" s="599" t="s">
        <v>3195</v>
      </c>
      <c r="D41" s="540">
        <v>100</v>
      </c>
      <c r="E41" s="599" t="s">
        <v>3195</v>
      </c>
      <c r="F41" s="540">
        <f>SUMIF(121:121,E41,122:122)-SUMIF(121:121,C41,122:122)+100</f>
        <v>100</v>
      </c>
      <c r="G41" s="599" t="s">
        <v>3195</v>
      </c>
      <c r="H41" s="540">
        <f>SUMIF(121:121,G41,122:122)-SUMIF(121:121,C41,122:122)+100</f>
        <v>100</v>
      </c>
      <c r="I41" s="599" t="s">
        <v>3195</v>
      </c>
      <c r="J41" s="540">
        <f>SUMIF(121:121,I41,122:122)-SUMIF(121:121,C41,122:122)+100</f>
        <v>100</v>
      </c>
      <c r="K41" s="584">
        <v>1</v>
      </c>
      <c r="L41" s="2142"/>
      <c r="M41" s="2132"/>
      <c r="N41" s="2132"/>
      <c r="O41" s="2141"/>
      <c r="P41" s="3433"/>
      <c r="Q41" s="1571" t="str">
        <f t="shared" ref="Q41:Q47" si="14">B41</f>
        <v>宗地形状</v>
      </c>
      <c r="R41" s="1572" t="s">
        <v>8</v>
      </c>
      <c r="S41" s="1573">
        <f t="shared" si="10"/>
        <v>100</v>
      </c>
      <c r="T41" s="1572" t="s">
        <v>8</v>
      </c>
      <c r="U41" s="1573">
        <f t="shared" si="11"/>
        <v>100</v>
      </c>
      <c r="V41" s="1572" t="s">
        <v>8</v>
      </c>
      <c r="W41" s="1573">
        <f t="shared" si="12"/>
        <v>100</v>
      </c>
      <c r="X41" s="1566"/>
      <c r="Y41" s="3433"/>
      <c r="Z41" s="1574" t="str">
        <f t="shared" si="13"/>
        <v>宗地形状</v>
      </c>
      <c r="AA41" s="1575">
        <f t="shared" si="3"/>
        <v>1</v>
      </c>
      <c r="AB41" s="1575">
        <f t="shared" si="4"/>
        <v>1</v>
      </c>
      <c r="AC41" s="1575">
        <f t="shared" si="5"/>
        <v>1</v>
      </c>
    </row>
    <row r="42" spans="1:29" ht="57">
      <c r="A42" s="594"/>
      <c r="B42" s="527" t="s">
        <v>553</v>
      </c>
      <c r="C42" s="599" t="s">
        <v>3199</v>
      </c>
      <c r="D42" s="540">
        <v>100</v>
      </c>
      <c r="E42" s="599" t="s">
        <v>3199</v>
      </c>
      <c r="F42" s="540">
        <f>SUMIF(123:123,E42,124:124)-SUMIF(123:123,C42,124:124)+100</f>
        <v>100</v>
      </c>
      <c r="G42" s="599" t="s">
        <v>3199</v>
      </c>
      <c r="H42" s="540">
        <f>SUMIF(123:123,G42,124:124)-SUMIF(123:123,C42,124:124)+100</f>
        <v>100</v>
      </c>
      <c r="I42" s="599" t="s">
        <v>3199</v>
      </c>
      <c r="J42" s="540">
        <f>SUMIF(123:123,I42,124:124)-SUMIF(123:123,C42,124:124)+100</f>
        <v>100</v>
      </c>
      <c r="K42" s="584">
        <v>1</v>
      </c>
      <c r="L42" s="2142"/>
      <c r="M42" s="2132"/>
      <c r="N42" s="2132"/>
      <c r="O42" s="2141"/>
      <c r="P42" s="3433"/>
      <c r="Q42" s="1571" t="str">
        <f t="shared" si="14"/>
        <v>临街宽度及深度</v>
      </c>
      <c r="R42" s="1572" t="s">
        <v>8</v>
      </c>
      <c r="S42" s="1573">
        <f t="shared" si="10"/>
        <v>100</v>
      </c>
      <c r="T42" s="1572" t="s">
        <v>8</v>
      </c>
      <c r="U42" s="1573">
        <f t="shared" si="11"/>
        <v>100</v>
      </c>
      <c r="V42" s="1572" t="s">
        <v>8</v>
      </c>
      <c r="W42" s="1573">
        <f t="shared" si="12"/>
        <v>100</v>
      </c>
      <c r="X42" s="1566"/>
      <c r="Y42" s="3433"/>
      <c r="Z42" s="1574" t="str">
        <f t="shared" si="13"/>
        <v>临街宽度及深度</v>
      </c>
      <c r="AA42" s="1575">
        <f t="shared" si="3"/>
        <v>1</v>
      </c>
      <c r="AB42" s="1575">
        <f t="shared" si="4"/>
        <v>1</v>
      </c>
      <c r="AC42" s="1575">
        <f t="shared" si="5"/>
        <v>1</v>
      </c>
    </row>
    <row r="43" spans="1:29" s="1220" customFormat="1" ht="20.25">
      <c r="A43" s="600"/>
      <c r="B43" s="1895" t="s">
        <v>2425</v>
      </c>
      <c r="C43" s="601" t="s">
        <v>3204</v>
      </c>
      <c r="D43" s="255">
        <v>100</v>
      </c>
      <c r="E43" s="601" t="s">
        <v>3204</v>
      </c>
      <c r="F43" s="540">
        <f>SUMIF(125:125,E43,126:126)-SUMIF(125:125,C43,126:126)+100</f>
        <v>100</v>
      </c>
      <c r="G43" s="601" t="s">
        <v>3204</v>
      </c>
      <c r="H43" s="540">
        <f>SUMIF(125:125,G43,126:126)-SUMIF(125:125,C43,126:126)+100</f>
        <v>100</v>
      </c>
      <c r="I43" s="601" t="s">
        <v>3337</v>
      </c>
      <c r="J43" s="540">
        <f>SUMIF(125:125,I43,126:126)-SUMIF(125:125,C43,126:126)+100</f>
        <v>100.5</v>
      </c>
      <c r="K43" s="584">
        <v>0.5</v>
      </c>
      <c r="L43" s="2135"/>
      <c r="M43" s="2132"/>
      <c r="N43" s="2132"/>
      <c r="O43" s="2137"/>
      <c r="P43" s="3433"/>
      <c r="Q43" s="1571" t="str">
        <f t="shared" si="14"/>
        <v>宗地开发程度</v>
      </c>
      <c r="R43" s="1567" t="s">
        <v>8</v>
      </c>
      <c r="S43" s="1568">
        <f t="shared" si="10"/>
        <v>100</v>
      </c>
      <c r="T43" s="1567" t="s">
        <v>8</v>
      </c>
      <c r="U43" s="1568">
        <f t="shared" si="11"/>
        <v>100</v>
      </c>
      <c r="V43" s="1567" t="s">
        <v>8</v>
      </c>
      <c r="W43" s="1568">
        <f t="shared" si="12"/>
        <v>100.5</v>
      </c>
      <c r="X43" s="1569"/>
      <c r="Y43" s="3433"/>
      <c r="Z43" s="1150" t="str">
        <f t="shared" si="13"/>
        <v>宗地开发程度</v>
      </c>
      <c r="AA43" s="1570">
        <f t="shared" si="3"/>
        <v>1</v>
      </c>
      <c r="AB43" s="1570">
        <f t="shared" si="4"/>
        <v>1</v>
      </c>
      <c r="AC43" s="1570">
        <f t="shared" si="5"/>
        <v>0.99502487562189057</v>
      </c>
    </row>
    <row r="44" spans="1:29" ht="20.25">
      <c r="A44" s="594"/>
      <c r="B44" s="527" t="s">
        <v>554</v>
      </c>
      <c r="C44" s="599" t="s">
        <v>3177</v>
      </c>
      <c r="D44" s="540">
        <v>100</v>
      </c>
      <c r="E44" s="599" t="s">
        <v>3177</v>
      </c>
      <c r="F44" s="540">
        <f>SUMIF(127:127,E44,128:128)-SUMIF(127:127,C44,128:128)+100</f>
        <v>100</v>
      </c>
      <c r="G44" s="599" t="s">
        <v>3177</v>
      </c>
      <c r="H44" s="540">
        <f>SUMIF(127:127,G44,128:128)-SUMIF(127:127,C44,128:128)+100</f>
        <v>100</v>
      </c>
      <c r="I44" s="599" t="s">
        <v>3177</v>
      </c>
      <c r="J44" s="540">
        <f>SUMIF(127:127,I44,128:128)-SUMIF(127:127,C44,128:128)+100</f>
        <v>100</v>
      </c>
      <c r="K44" s="584">
        <v>1</v>
      </c>
      <c r="L44" s="2142"/>
      <c r="M44" s="2132"/>
      <c r="N44" s="2132"/>
      <c r="O44" s="2141"/>
      <c r="P44" s="3433" t="s">
        <v>549</v>
      </c>
      <c r="Q44" s="1571" t="str">
        <f t="shared" si="14"/>
        <v>工程地质条件</v>
      </c>
      <c r="R44" s="1572" t="s">
        <v>8</v>
      </c>
      <c r="S44" s="1573">
        <f t="shared" si="10"/>
        <v>100</v>
      </c>
      <c r="T44" s="1572" t="s">
        <v>8</v>
      </c>
      <c r="U44" s="1573">
        <f t="shared" si="11"/>
        <v>100</v>
      </c>
      <c r="V44" s="1572" t="s">
        <v>8</v>
      </c>
      <c r="W44" s="1573">
        <f t="shared" si="12"/>
        <v>100</v>
      </c>
      <c r="X44" s="1566"/>
      <c r="Y44" s="3433" t="s">
        <v>549</v>
      </c>
      <c r="Z44" s="1574" t="str">
        <f t="shared" si="13"/>
        <v>工程地质条件</v>
      </c>
      <c r="AA44" s="1575">
        <f t="shared" si="3"/>
        <v>1</v>
      </c>
      <c r="AB44" s="1575">
        <f t="shared" si="4"/>
        <v>1</v>
      </c>
      <c r="AC44" s="1575">
        <f t="shared" si="5"/>
        <v>1</v>
      </c>
    </row>
    <row r="45" spans="1:29" ht="20.25">
      <c r="A45" s="594"/>
      <c r="B45" s="3200" t="s">
        <v>3205</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33"/>
      <c r="Q45" s="1571" t="str">
        <f t="shared" si="14"/>
        <v>自持商品房比例</v>
      </c>
      <c r="R45" s="1572" t="s">
        <v>8</v>
      </c>
      <c r="S45" s="1573">
        <f t="shared" si="10"/>
        <v>100</v>
      </c>
      <c r="T45" s="1572" t="s">
        <v>8</v>
      </c>
      <c r="U45" s="1573">
        <f t="shared" si="11"/>
        <v>100</v>
      </c>
      <c r="V45" s="1572" t="s">
        <v>8</v>
      </c>
      <c r="W45" s="1573">
        <f t="shared" si="12"/>
        <v>100</v>
      </c>
      <c r="X45" s="1566"/>
      <c r="Y45" s="3433"/>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3"/>
      <c r="Q46" s="1571">
        <f t="shared" si="14"/>
        <v>111</v>
      </c>
      <c r="R46" s="1572" t="s">
        <v>8</v>
      </c>
      <c r="S46" s="1573">
        <f t="shared" si="10"/>
        <v>100</v>
      </c>
      <c r="T46" s="1572" t="s">
        <v>8</v>
      </c>
      <c r="U46" s="1573">
        <f t="shared" si="11"/>
        <v>100</v>
      </c>
      <c r="V46" s="1572" t="s">
        <v>8</v>
      </c>
      <c r="W46" s="1573">
        <f t="shared" si="12"/>
        <v>100</v>
      </c>
      <c r="X46" s="1566"/>
      <c r="Y46" s="343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3"/>
      <c r="Q47" s="1571">
        <f t="shared" si="14"/>
        <v>111</v>
      </c>
      <c r="R47" s="1576" t="s">
        <v>8</v>
      </c>
      <c r="S47" s="1577">
        <f t="shared" si="10"/>
        <v>100</v>
      </c>
      <c r="T47" s="1576" t="s">
        <v>8</v>
      </c>
      <c r="U47" s="1577">
        <f t="shared" si="11"/>
        <v>100</v>
      </c>
      <c r="V47" s="1576" t="s">
        <v>8</v>
      </c>
      <c r="W47" s="1577">
        <f t="shared" si="12"/>
        <v>100</v>
      </c>
      <c r="X47" s="1578"/>
      <c r="Y47" s="3433"/>
      <c r="Z47" s="1579">
        <f t="shared" si="13"/>
        <v>111</v>
      </c>
      <c r="AA47" s="1575">
        <f t="shared" si="3"/>
        <v>1</v>
      </c>
      <c r="AB47" s="1575">
        <f t="shared" si="4"/>
        <v>1</v>
      </c>
      <c r="AC47" s="1575">
        <f t="shared" si="5"/>
        <v>1</v>
      </c>
    </row>
    <row r="48" spans="1:29" ht="20.25">
      <c r="A48" s="607" t="s">
        <v>555</v>
      </c>
      <c r="B48" s="608" t="s">
        <v>3175</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395" t="str">
        <f>A48</f>
        <v>成交单价</v>
      </c>
      <c r="Q48" s="3395"/>
      <c r="R48" s="3396">
        <f>E48</f>
        <v>24708</v>
      </c>
      <c r="S48" s="3396"/>
      <c r="T48" s="3396">
        <f>G48</f>
        <v>25547</v>
      </c>
      <c r="U48" s="3396"/>
      <c r="V48" s="3396">
        <f>I48</f>
        <v>31763</v>
      </c>
      <c r="W48" s="3396"/>
      <c r="X48" s="1558"/>
      <c r="Y48" s="1580"/>
      <c r="Z48" s="1558"/>
      <c r="AA48" s="1558"/>
      <c r="AB48" s="1558"/>
      <c r="AC48" s="1558"/>
    </row>
    <row r="49" spans="1:29" ht="21" thickBot="1">
      <c r="A49" s="615" t="s">
        <v>2693</v>
      </c>
      <c r="B49" s="616"/>
      <c r="C49" s="617">
        <f>R50</f>
        <v>29363</v>
      </c>
      <c r="D49" s="618"/>
      <c r="E49" s="617">
        <f>R49</f>
        <v>27924</v>
      </c>
      <c r="F49" s="619"/>
      <c r="G49" s="620">
        <f>T49</f>
        <v>27720</v>
      </c>
      <c r="H49" s="618"/>
      <c r="I49" s="617">
        <f>V49</f>
        <v>32444</v>
      </c>
      <c r="J49" s="618"/>
      <c r="K49" s="1341"/>
      <c r="L49" s="2144"/>
      <c r="M49" s="2132"/>
      <c r="N49" s="2132"/>
      <c r="O49" s="2145"/>
      <c r="P49" s="3395" t="str">
        <f>A49</f>
        <v>比较价格（元/平方米）</v>
      </c>
      <c r="Q49" s="3395"/>
      <c r="R49" s="3397">
        <f>ROUND(PRODUCT(R48,AA9:AA47),0)</f>
        <v>27924</v>
      </c>
      <c r="S49" s="3397"/>
      <c r="T49" s="3397">
        <f>ROUND(PRODUCT(T48,AB9:AB47),0)</f>
        <v>27720</v>
      </c>
      <c r="U49" s="3397"/>
      <c r="V49" s="3397">
        <f>ROUND(PRODUCT(V48,AC9:AC47),0)</f>
        <v>32444</v>
      </c>
      <c r="W49" s="3397"/>
      <c r="X49" s="1558"/>
      <c r="Y49" s="1558"/>
      <c r="Z49" s="1558"/>
      <c r="AA49" s="1558"/>
      <c r="AB49" s="1558"/>
      <c r="AC49" s="1558"/>
    </row>
    <row r="50" spans="1:29" ht="21" thickBot="1">
      <c r="A50" s="621" t="s">
        <v>2932</v>
      </c>
      <c r="B50" s="622"/>
      <c r="C50" s="623">
        <f>R50</f>
        <v>29363</v>
      </c>
      <c r="D50" s="623"/>
      <c r="E50" s="623"/>
      <c r="F50" s="623"/>
      <c r="G50" s="623"/>
      <c r="H50" s="623"/>
      <c r="I50" s="623"/>
      <c r="J50" s="623"/>
      <c r="K50" s="1342"/>
      <c r="L50" s="2144"/>
      <c r="M50" s="2132"/>
      <c r="N50" s="2132"/>
      <c r="O50" s="2145"/>
      <c r="P50" s="3392" t="str">
        <f>A50</f>
        <v>估价对象XX用房的比较价格（楼面单价，元/平方米）</v>
      </c>
      <c r="Q50" s="3393"/>
      <c r="R50" s="3394">
        <f>ROUND(AVERAGE(R49:V49),0)</f>
        <v>29363</v>
      </c>
      <c r="S50" s="3394"/>
      <c r="T50" s="3394"/>
      <c r="U50" s="3394"/>
      <c r="V50" s="3394"/>
      <c r="W50" s="339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0.13016027197668767</v>
      </c>
      <c r="F53" s="627" t="str">
        <f>IF(OR(E53&gt;=0.3,E53&lt;=-0.3),"超过30%","")</f>
        <v/>
      </c>
      <c r="G53" s="626">
        <f>IF(G48&lt;G49,G49/G48-1,G48/G49-1)</f>
        <v>8.5058911026735018E-2</v>
      </c>
      <c r="H53" s="627" t="str">
        <f>IF(OR(G53&gt;=0.3,G53&lt;=-0.3),"超过30%","")</f>
        <v/>
      </c>
      <c r="I53" s="626">
        <f>IF(I48&lt;I49,I49/I48-1,I48/I49-1)</f>
        <v>2.1440040298460472E-2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7.3593073593074543E-3</v>
      </c>
      <c r="F54" s="627" t="str">
        <f>IF(OR(E54&gt;=0.2,E54&lt;=-0.2),"超过20%","")</f>
        <v/>
      </c>
      <c r="G54" s="626">
        <f>IF(G49&lt;I49,I49/G49-1,G49/I49-1)</f>
        <v>0.17041847041847036</v>
      </c>
      <c r="H54" s="627" t="str">
        <f>IF(OR(G54&gt;=0.2,G54&lt;=-0.2),"超过20%","")</f>
        <v/>
      </c>
      <c r="I54" s="626">
        <f>IF(I49&lt;E49,E49/I49-1,I49/E49-1)</f>
        <v>0.1618679272310557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22" t="s">
        <v>2281</v>
      </c>
      <c r="H57" s="342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29363</v>
      </c>
      <c r="C58" s="635">
        <v>1</v>
      </c>
      <c r="D58" s="2228">
        <v>1</v>
      </c>
      <c r="E58" s="635">
        <f>'数据-汇总表'!E8+'数据-汇总表'!E9</f>
        <v>71890.36</v>
      </c>
      <c r="F58" s="636">
        <f t="shared" ref="F58:F67" si="15">ROUND(B58*E58/10000,0)</f>
        <v>211092</v>
      </c>
      <c r="G58" s="3424"/>
      <c r="H58" s="342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5139</v>
      </c>
      <c r="C59" s="378">
        <f t="shared" ref="C59:C67" si="16">IF($C$57="北京市系数",I59,J59)</f>
        <v>0.7</v>
      </c>
      <c r="D59" s="2229">
        <v>0.25</v>
      </c>
      <c r="E59" s="639">
        <v>0</v>
      </c>
      <c r="F59" s="636">
        <f t="shared" si="15"/>
        <v>0</v>
      </c>
      <c r="G59" s="342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2936</v>
      </c>
      <c r="C60" s="378">
        <f t="shared" si="16"/>
        <v>0.4</v>
      </c>
      <c r="D60" s="2229">
        <v>0.25</v>
      </c>
      <c r="E60" s="639">
        <v>0</v>
      </c>
      <c r="F60" s="636">
        <f t="shared" si="15"/>
        <v>0</v>
      </c>
      <c r="G60" s="342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2055</v>
      </c>
      <c r="C61" s="378">
        <f t="shared" si="16"/>
        <v>0.28000000000000003</v>
      </c>
      <c r="D61" s="2229">
        <v>0.25</v>
      </c>
      <c r="E61" s="639">
        <v>0</v>
      </c>
      <c r="F61" s="636">
        <f t="shared" si="15"/>
        <v>0</v>
      </c>
      <c r="G61" s="342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1835</v>
      </c>
      <c r="C62" s="378">
        <f t="shared" si="16"/>
        <v>0.25</v>
      </c>
      <c r="D62" s="2229">
        <v>0.25</v>
      </c>
      <c r="E62" s="639">
        <v>0</v>
      </c>
      <c r="F62" s="636">
        <f t="shared" si="15"/>
        <v>0</v>
      </c>
      <c r="G62" s="342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1835</v>
      </c>
      <c r="C63" s="378">
        <f t="shared" si="16"/>
        <v>0.25</v>
      </c>
      <c r="D63" s="2229">
        <v>0.25</v>
      </c>
      <c r="E63" s="641">
        <f>'数据-汇总表'!E11</f>
        <v>0</v>
      </c>
      <c r="F63" s="6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1835</v>
      </c>
      <c r="C64" s="378">
        <f t="shared" si="16"/>
        <v>0.25</v>
      </c>
      <c r="D64" s="2229">
        <v>0.25</v>
      </c>
      <c r="E64" s="641">
        <f>'数据-汇总表'!E12</f>
        <v>8977.4699999999993</v>
      </c>
      <c r="F64" s="636">
        <f t="shared" si="15"/>
        <v>1647</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1468</v>
      </c>
      <c r="C65" s="378">
        <f t="shared" si="16"/>
        <v>0.2</v>
      </c>
      <c r="D65" s="2229">
        <v>0.25</v>
      </c>
      <c r="E65" s="641">
        <f>'数据-汇总表'!E13</f>
        <v>24706.579999999998</v>
      </c>
      <c r="F65" s="636">
        <f t="shared" si="15"/>
        <v>3627</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1468</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1468</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105574.41</v>
      </c>
      <c r="F68" s="644">
        <f>IF(B48="楼面地价",SUM(F58:F67),ROUND(C50*E68/10000,0))</f>
        <v>216366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3171</v>
      </c>
      <c r="D77" s="598" t="s">
        <v>3333</v>
      </c>
      <c r="E77" s="598" t="s">
        <v>3331</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3188</v>
      </c>
      <c r="D108" s="3194" t="s">
        <v>3189</v>
      </c>
      <c r="E108" s="3194" t="s">
        <v>3190</v>
      </c>
      <c r="F108" s="3194" t="s">
        <v>3191</v>
      </c>
      <c r="G108" s="3194" t="s">
        <v>3193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3194</v>
      </c>
      <c r="D121" s="3196" t="s">
        <v>3195</v>
      </c>
      <c r="E121" s="3196" t="s">
        <v>2935</v>
      </c>
      <c r="F121" s="3196" t="s">
        <v>3196</v>
      </c>
      <c r="G121" s="3196" t="s">
        <v>3197</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3198</v>
      </c>
      <c r="D123" s="3194" t="s">
        <v>3200</v>
      </c>
      <c r="E123" s="3194" t="s">
        <v>3201</v>
      </c>
      <c r="F123" s="3197" t="s">
        <v>3202</v>
      </c>
      <c r="G123" s="3197" t="s">
        <v>3203</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7" t="str">
        <f>项目基本情况!B1</f>
        <v>北京市海淀区“海淀北部地区整体开发”西北旺镇亮甲店村HD00-0404-6005地块R2二类居住用地出让国有建设用地使用权抵押价格预评估</v>
      </c>
      <c r="C37" s="3227"/>
      <c r="D37" s="3227"/>
      <c r="E37" s="3227"/>
      <c r="F37" s="3227"/>
      <c r="G37" s="3227"/>
      <c r="H37" s="3227"/>
      <c r="I37" s="3227"/>
    </row>
    <row r="38" spans="1:9">
      <c r="A38" s="1655"/>
      <c r="B38" s="1655"/>
    </row>
    <row r="39" spans="1:9">
      <c r="A39" s="1653" t="s">
        <v>1901</v>
      </c>
      <c r="B39" s="1653" t="s">
        <v>2046</v>
      </c>
    </row>
    <row r="40" spans="1:9">
      <c r="A40" s="1653"/>
      <c r="B40" s="1653" t="str">
        <f>项目基本情况!B5</f>
        <v>北京万永房地产开发有限公司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欧红伟、崔锴</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J28" sqref="J28"/>
    </sheetView>
  </sheetViews>
  <sheetFormatPr defaultRowHeight="13.5"/>
  <cols>
    <col min="1" max="1" width="46.875" customWidth="1"/>
    <col min="19" max="19" width="45" customWidth="1"/>
    <col min="21" max="21" width="34.375" customWidth="1"/>
  </cols>
  <sheetData>
    <row r="1" spans="1:44" s="3185" customFormat="1" ht="12">
      <c r="A1" s="3185" t="s">
        <v>3025</v>
      </c>
      <c r="B1" s="3185" t="s">
        <v>3026</v>
      </c>
      <c r="C1" s="3185" t="s">
        <v>3027</v>
      </c>
      <c r="D1" s="3185" t="s">
        <v>3028</v>
      </c>
      <c r="E1" s="3185" t="s">
        <v>3029</v>
      </c>
      <c r="F1" s="3185" t="s">
        <v>3030</v>
      </c>
      <c r="G1" s="3185" t="s">
        <v>3031</v>
      </c>
      <c r="H1" s="3185" t="s">
        <v>3032</v>
      </c>
      <c r="I1" s="3185" t="s">
        <v>3033</v>
      </c>
      <c r="J1" s="3185" t="s">
        <v>3034</v>
      </c>
      <c r="K1" s="3185" t="s">
        <v>3035</v>
      </c>
      <c r="L1" s="3185" t="s">
        <v>2032</v>
      </c>
      <c r="M1" s="3185" t="s">
        <v>3036</v>
      </c>
      <c r="N1" s="3185" t="s">
        <v>3037</v>
      </c>
      <c r="O1" s="3185" t="s">
        <v>3038</v>
      </c>
      <c r="P1" s="3185" t="s">
        <v>3039</v>
      </c>
      <c r="Q1" s="3185" t="s">
        <v>3040</v>
      </c>
      <c r="R1" s="3185" t="s">
        <v>3041</v>
      </c>
      <c r="S1" s="3185" t="s">
        <v>3042</v>
      </c>
      <c r="T1" s="3185" t="s">
        <v>3043</v>
      </c>
      <c r="U1" s="3185" t="s">
        <v>3044</v>
      </c>
      <c r="V1" s="3185" t="s">
        <v>3045</v>
      </c>
      <c r="W1" s="3185" t="s">
        <v>3046</v>
      </c>
      <c r="X1" s="3185" t="s">
        <v>3047</v>
      </c>
      <c r="Y1" s="3185" t="s">
        <v>3048</v>
      </c>
      <c r="Z1" s="3185" t="s">
        <v>3049</v>
      </c>
      <c r="AA1" s="3185" t="s">
        <v>3050</v>
      </c>
      <c r="AB1" s="3185" t="s">
        <v>3051</v>
      </c>
      <c r="AC1" s="3185" t="s">
        <v>3052</v>
      </c>
      <c r="AD1" s="3185" t="s">
        <v>3053</v>
      </c>
      <c r="AE1" s="3185" t="s">
        <v>3054</v>
      </c>
      <c r="AF1" s="3185" t="s">
        <v>3055</v>
      </c>
      <c r="AG1" s="3185" t="s">
        <v>3056</v>
      </c>
      <c r="AH1" s="3185" t="s">
        <v>3057</v>
      </c>
      <c r="AI1" s="3185" t="s">
        <v>3058</v>
      </c>
      <c r="AJ1" s="3185" t="s">
        <v>3059</v>
      </c>
      <c r="AK1" s="3185" t="s">
        <v>3060</v>
      </c>
      <c r="AL1" s="3185" t="s">
        <v>3061</v>
      </c>
      <c r="AM1" s="3185" t="s">
        <v>3062</v>
      </c>
      <c r="AN1" s="3185" t="s">
        <v>3063</v>
      </c>
      <c r="AO1" s="3185" t="s">
        <v>3064</v>
      </c>
      <c r="AP1" s="3185" t="s">
        <v>3065</v>
      </c>
      <c r="AQ1" s="3185" t="s">
        <v>3066</v>
      </c>
      <c r="AR1" s="3185" t="s">
        <v>3067</v>
      </c>
    </row>
    <row r="2" spans="1:44" s="3185" customFormat="1" ht="12">
      <c r="A2" s="3185" t="s">
        <v>3068</v>
      </c>
      <c r="B2" s="3185" t="s">
        <v>1947</v>
      </c>
      <c r="C2" s="3185" t="s">
        <v>3069</v>
      </c>
      <c r="D2" s="3185" t="s">
        <v>3070</v>
      </c>
      <c r="E2" s="3185" t="s">
        <v>2818</v>
      </c>
      <c r="F2" s="3185" t="s">
        <v>3071</v>
      </c>
      <c r="G2" s="3185" t="s">
        <v>3072</v>
      </c>
      <c r="H2" s="3185" t="s">
        <v>3073</v>
      </c>
      <c r="I2" s="3185" t="s">
        <v>2984</v>
      </c>
      <c r="J2" s="3185">
        <v>74772.84</v>
      </c>
      <c r="K2" s="3185">
        <v>134591</v>
      </c>
      <c r="L2" s="3185">
        <v>1.8</v>
      </c>
      <c r="M2" s="3185" t="s">
        <v>2818</v>
      </c>
      <c r="N2" s="3185" t="s">
        <v>3074</v>
      </c>
      <c r="O2" s="3185" t="s">
        <v>3075</v>
      </c>
      <c r="P2" s="3185" t="s">
        <v>2818</v>
      </c>
      <c r="Q2" s="3185" t="s">
        <v>2818</v>
      </c>
      <c r="R2" s="3185" t="s">
        <v>2818</v>
      </c>
      <c r="S2" s="3185" t="s">
        <v>2818</v>
      </c>
      <c r="T2" s="3185" t="s">
        <v>3076</v>
      </c>
      <c r="U2" s="3185" t="s">
        <v>3077</v>
      </c>
      <c r="V2" s="3185" t="s">
        <v>2818</v>
      </c>
      <c r="W2" s="3185" t="s">
        <v>3078</v>
      </c>
      <c r="X2" s="3185" t="s">
        <v>3079</v>
      </c>
      <c r="Y2" s="3185" t="s">
        <v>3080</v>
      </c>
      <c r="Z2" s="3185" t="s">
        <v>3081</v>
      </c>
      <c r="AA2" s="3185" t="s">
        <v>3081</v>
      </c>
      <c r="AB2" s="3185" t="s">
        <v>3073</v>
      </c>
      <c r="AC2" s="3185" t="s">
        <v>3082</v>
      </c>
      <c r="AD2" s="3185" t="s">
        <v>3083</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3084</v>
      </c>
      <c r="AP2" s="3185" t="s">
        <v>2818</v>
      </c>
      <c r="AQ2" s="3185" t="s">
        <v>2818</v>
      </c>
      <c r="AR2" s="3185" t="s">
        <v>2818</v>
      </c>
    </row>
    <row r="3" spans="1:44" s="3185" customFormat="1" ht="12">
      <c r="A3" s="3185" t="s">
        <v>3085</v>
      </c>
      <c r="B3" s="3185" t="s">
        <v>1947</v>
      </c>
      <c r="C3" s="3185" t="s">
        <v>3069</v>
      </c>
      <c r="D3" s="3185" t="s">
        <v>3070</v>
      </c>
      <c r="E3" s="3185" t="s">
        <v>2818</v>
      </c>
      <c r="F3" s="3185" t="s">
        <v>3086</v>
      </c>
      <c r="G3" s="3185" t="s">
        <v>3087</v>
      </c>
      <c r="H3" s="3185" t="s">
        <v>3088</v>
      </c>
      <c r="I3" s="3185" t="s">
        <v>2984</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3078</v>
      </c>
      <c r="X3" s="3185" t="s">
        <v>3089</v>
      </c>
      <c r="Y3" s="3185" t="s">
        <v>3090</v>
      </c>
      <c r="Z3" s="3185" t="s">
        <v>3090</v>
      </c>
      <c r="AA3" s="3185" t="s">
        <v>3090</v>
      </c>
      <c r="AB3" s="3185" t="s">
        <v>3088</v>
      </c>
      <c r="AC3" s="3185" t="s">
        <v>3082</v>
      </c>
      <c r="AD3" s="3185" t="s">
        <v>3091</v>
      </c>
      <c r="AE3" s="3185">
        <v>2400</v>
      </c>
      <c r="AF3" s="3185" t="s">
        <v>2818</v>
      </c>
      <c r="AG3" s="3185" t="s">
        <v>2818</v>
      </c>
      <c r="AH3" s="3185" t="s">
        <v>2818</v>
      </c>
      <c r="AI3" s="3185" t="s">
        <v>2818</v>
      </c>
      <c r="AJ3" s="3185" t="s">
        <v>2818</v>
      </c>
      <c r="AK3" s="3185" t="s">
        <v>2818</v>
      </c>
      <c r="AL3" s="3185" t="s">
        <v>2818</v>
      </c>
      <c r="AM3" s="3185" t="s">
        <v>2818</v>
      </c>
      <c r="AN3" s="3185" t="s">
        <v>2818</v>
      </c>
      <c r="AO3" s="3185" t="s">
        <v>3084</v>
      </c>
      <c r="AP3" s="3185" t="s">
        <v>2818</v>
      </c>
      <c r="AQ3" s="3185" t="s">
        <v>2818</v>
      </c>
      <c r="AR3" s="3185" t="s">
        <v>2818</v>
      </c>
    </row>
    <row r="4" spans="1:44" s="3185" customFormat="1" ht="12">
      <c r="A4" s="3185" t="s">
        <v>3092</v>
      </c>
      <c r="B4" s="3185" t="s">
        <v>1947</v>
      </c>
      <c r="C4" s="3185" t="s">
        <v>3093</v>
      </c>
      <c r="D4" s="3185" t="s">
        <v>3070</v>
      </c>
      <c r="E4" s="3185" t="s">
        <v>2818</v>
      </c>
      <c r="F4" s="3185" t="s">
        <v>3094</v>
      </c>
      <c r="G4" s="3185" t="s">
        <v>3072</v>
      </c>
      <c r="H4" s="3185" t="s">
        <v>3095</v>
      </c>
      <c r="I4" s="3185" t="s">
        <v>3096</v>
      </c>
      <c r="J4" s="3185">
        <v>105309.9</v>
      </c>
      <c r="K4" s="3185">
        <v>201320</v>
      </c>
      <c r="L4" s="3185">
        <v>1.9116899999999999</v>
      </c>
      <c r="M4" s="3185" t="s">
        <v>2818</v>
      </c>
      <c r="N4" s="3185" t="s">
        <v>3074</v>
      </c>
      <c r="O4" s="3185" t="s">
        <v>3097</v>
      </c>
      <c r="P4" s="3185" t="s">
        <v>2818</v>
      </c>
      <c r="Q4" s="3185" t="s">
        <v>2818</v>
      </c>
      <c r="R4" s="3185" t="s">
        <v>2818</v>
      </c>
      <c r="S4" s="3185" t="s">
        <v>2818</v>
      </c>
      <c r="T4" s="3185" t="s">
        <v>3076</v>
      </c>
      <c r="U4" s="3185" t="s">
        <v>3077</v>
      </c>
      <c r="V4" s="3185" t="s">
        <v>2818</v>
      </c>
      <c r="W4" s="3185" t="s">
        <v>3078</v>
      </c>
      <c r="X4" s="3185" t="s">
        <v>3098</v>
      </c>
      <c r="Y4" s="3185" t="s">
        <v>3099</v>
      </c>
      <c r="Z4" s="3185" t="s">
        <v>3100</v>
      </c>
      <c r="AA4" s="3185" t="s">
        <v>3100</v>
      </c>
      <c r="AB4" s="3185" t="s">
        <v>3095</v>
      </c>
      <c r="AC4" s="3185" t="s">
        <v>3082</v>
      </c>
      <c r="AD4" s="3185" t="s">
        <v>3101</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3084</v>
      </c>
      <c r="AP4" s="3185" t="s">
        <v>2818</v>
      </c>
      <c r="AQ4" s="3185" t="s">
        <v>2818</v>
      </c>
      <c r="AR4" s="3185" t="s">
        <v>2818</v>
      </c>
    </row>
    <row r="5" spans="1:44" s="3217" customFormat="1" ht="12.75">
      <c r="A5" s="3217" t="s">
        <v>3102</v>
      </c>
      <c r="B5" s="3217" t="s">
        <v>1947</v>
      </c>
      <c r="C5" s="3217" t="s">
        <v>3069</v>
      </c>
      <c r="D5" s="3217" t="s">
        <v>3070</v>
      </c>
      <c r="E5" s="3217" t="s">
        <v>2818</v>
      </c>
      <c r="F5" s="3217" t="s">
        <v>3094</v>
      </c>
      <c r="G5" s="3217" t="s">
        <v>3072</v>
      </c>
      <c r="H5" s="3217" t="s">
        <v>3103</v>
      </c>
      <c r="I5" s="3217" t="s">
        <v>2984</v>
      </c>
      <c r="J5" s="3217">
        <v>84786.55</v>
      </c>
      <c r="K5" s="3217">
        <v>186530</v>
      </c>
      <c r="L5" s="3217">
        <v>2.2000000000000002</v>
      </c>
      <c r="M5" s="3217" t="s">
        <v>2818</v>
      </c>
      <c r="N5" s="3217" t="s">
        <v>3074</v>
      </c>
      <c r="O5" s="3217" t="s">
        <v>3104</v>
      </c>
      <c r="P5" s="3217" t="s">
        <v>2818</v>
      </c>
      <c r="Q5" s="3217" t="s">
        <v>2818</v>
      </c>
      <c r="R5" s="3217" t="s">
        <v>2818</v>
      </c>
      <c r="S5" s="3217" t="s">
        <v>3105</v>
      </c>
      <c r="T5" s="3217" t="s">
        <v>3106</v>
      </c>
      <c r="U5" s="3217" t="s">
        <v>3106</v>
      </c>
      <c r="V5" s="3217" t="s">
        <v>2818</v>
      </c>
      <c r="W5" s="3217" t="s">
        <v>3078</v>
      </c>
      <c r="X5" s="3217" t="s">
        <v>3107</v>
      </c>
      <c r="Y5" s="3217" t="s">
        <v>3108</v>
      </c>
      <c r="Z5" s="3217" t="s">
        <v>3109</v>
      </c>
      <c r="AA5" s="3217" t="s">
        <v>3109</v>
      </c>
      <c r="AB5" s="3217" t="s">
        <v>3103</v>
      </c>
      <c r="AC5" s="3217" t="s">
        <v>3082</v>
      </c>
      <c r="AD5" s="3217" t="s">
        <v>3110</v>
      </c>
      <c r="AE5" s="3217">
        <v>160000</v>
      </c>
      <c r="AF5" s="3217">
        <v>532800</v>
      </c>
      <c r="AG5" s="3217">
        <v>535500</v>
      </c>
      <c r="AH5" s="3217">
        <v>4189.34</v>
      </c>
      <c r="AI5" s="3217">
        <v>4210.57</v>
      </c>
      <c r="AJ5" s="3217">
        <v>28563.77</v>
      </c>
      <c r="AK5" s="3217">
        <v>28708.52</v>
      </c>
      <c r="AL5" s="3217" t="s">
        <v>2818</v>
      </c>
      <c r="AM5" s="3217" t="s">
        <v>2818</v>
      </c>
      <c r="AN5" s="3217">
        <v>0.51</v>
      </c>
      <c r="AO5" s="3217" t="s">
        <v>3084</v>
      </c>
      <c r="AP5" s="3217" t="s">
        <v>2818</v>
      </c>
      <c r="AQ5" s="3217" t="s">
        <v>2818</v>
      </c>
      <c r="AR5" s="3217" t="s">
        <v>2818</v>
      </c>
    </row>
    <row r="6" spans="1:44" s="3185" customFormat="1" ht="12">
      <c r="A6" s="3185" t="s">
        <v>3111</v>
      </c>
      <c r="B6" s="3185" t="s">
        <v>1947</v>
      </c>
      <c r="C6" s="3185" t="s">
        <v>3069</v>
      </c>
      <c r="D6" s="3185" t="s">
        <v>3070</v>
      </c>
      <c r="E6" s="3185" t="s">
        <v>2818</v>
      </c>
      <c r="F6" s="3185" t="s">
        <v>3112</v>
      </c>
      <c r="G6" s="3185" t="s">
        <v>3072</v>
      </c>
      <c r="H6" s="3185" t="s">
        <v>3113</v>
      </c>
      <c r="I6" s="3185" t="s">
        <v>3114</v>
      </c>
      <c r="J6" s="3185">
        <v>10423.85</v>
      </c>
      <c r="K6" s="3185">
        <v>31272</v>
      </c>
      <c r="L6" s="3185">
        <v>3</v>
      </c>
      <c r="M6" s="3185" t="s">
        <v>2818</v>
      </c>
      <c r="N6" s="3185" t="s">
        <v>2818</v>
      </c>
      <c r="O6" s="3185" t="s">
        <v>3115</v>
      </c>
      <c r="P6" s="3185" t="s">
        <v>2818</v>
      </c>
      <c r="Q6" s="3185" t="s">
        <v>2818</v>
      </c>
      <c r="R6" s="3185" t="s">
        <v>2818</v>
      </c>
      <c r="S6" s="3185" t="s">
        <v>2818</v>
      </c>
      <c r="T6" s="3185" t="s">
        <v>3076</v>
      </c>
      <c r="U6" s="3185" t="s">
        <v>3116</v>
      </c>
      <c r="V6" s="3185" t="s">
        <v>2818</v>
      </c>
      <c r="W6" s="3185" t="s">
        <v>3078</v>
      </c>
      <c r="X6" s="3185" t="s">
        <v>3117</v>
      </c>
      <c r="Y6" s="3185" t="s">
        <v>3118</v>
      </c>
      <c r="Z6" s="3185" t="s">
        <v>3119</v>
      </c>
      <c r="AA6" s="3185" t="s">
        <v>3119</v>
      </c>
      <c r="AB6" s="3185" t="s">
        <v>3113</v>
      </c>
      <c r="AC6" s="3185" t="s">
        <v>3082</v>
      </c>
      <c r="AD6" s="3185" t="s">
        <v>3120</v>
      </c>
      <c r="AE6" s="3185">
        <v>37100</v>
      </c>
      <c r="AF6" s="3185">
        <v>123600</v>
      </c>
      <c r="AG6" s="3185">
        <v>165000</v>
      </c>
      <c r="AH6" s="3185">
        <v>7904.95</v>
      </c>
      <c r="AI6" s="3185">
        <v>10552.72</v>
      </c>
      <c r="AJ6" s="3185">
        <v>39524.17</v>
      </c>
      <c r="AK6" s="3185">
        <v>52762.84</v>
      </c>
      <c r="AL6" s="3185" t="s">
        <v>2818</v>
      </c>
      <c r="AM6" s="3185" t="s">
        <v>2818</v>
      </c>
      <c r="AN6" s="3185">
        <v>33.5</v>
      </c>
      <c r="AO6" s="3185" t="s">
        <v>3084</v>
      </c>
      <c r="AP6" s="3185" t="s">
        <v>2818</v>
      </c>
      <c r="AQ6" s="3185">
        <v>36</v>
      </c>
      <c r="AR6" s="3185" t="s">
        <v>2818</v>
      </c>
    </row>
    <row r="7" spans="1:44" s="3185" customFormat="1" ht="12">
      <c r="A7" s="3185" t="s">
        <v>3121</v>
      </c>
      <c r="B7" s="3185" t="s">
        <v>1947</v>
      </c>
      <c r="C7" s="3185" t="s">
        <v>3069</v>
      </c>
      <c r="D7" s="3185" t="s">
        <v>3070</v>
      </c>
      <c r="E7" s="3185" t="s">
        <v>2818</v>
      </c>
      <c r="F7" s="3185" t="s">
        <v>3071</v>
      </c>
      <c r="G7" s="3185" t="s">
        <v>3072</v>
      </c>
      <c r="H7" s="3185" t="s">
        <v>3122</v>
      </c>
      <c r="I7" s="3185" t="s">
        <v>2984</v>
      </c>
      <c r="J7" s="3185">
        <v>82336.42</v>
      </c>
      <c r="K7" s="3185">
        <v>139022</v>
      </c>
      <c r="L7" s="3185" t="s">
        <v>3123</v>
      </c>
      <c r="M7" s="3185" t="s">
        <v>2818</v>
      </c>
      <c r="N7" s="3185" t="s">
        <v>3074</v>
      </c>
      <c r="O7" s="3185" t="s">
        <v>3124</v>
      </c>
      <c r="P7" s="3185" t="s">
        <v>2818</v>
      </c>
      <c r="Q7" s="3185" t="s">
        <v>2818</v>
      </c>
      <c r="R7" s="3185" t="s">
        <v>2818</v>
      </c>
      <c r="S7" s="3185" t="s">
        <v>2818</v>
      </c>
      <c r="T7" s="3185" t="s">
        <v>3076</v>
      </c>
      <c r="U7" s="3185" t="s">
        <v>3116</v>
      </c>
      <c r="V7" s="3185" t="s">
        <v>2818</v>
      </c>
      <c r="W7" s="3185" t="s">
        <v>3141</v>
      </c>
      <c r="X7" s="3185" t="s">
        <v>3125</v>
      </c>
      <c r="Y7" s="3185" t="s">
        <v>3126</v>
      </c>
      <c r="Z7" s="3185" t="s">
        <v>3127</v>
      </c>
      <c r="AA7" s="3185" t="s">
        <v>3127</v>
      </c>
      <c r="AB7" s="3185" t="s">
        <v>3122</v>
      </c>
      <c r="AC7" s="3185" t="s">
        <v>3082</v>
      </c>
      <c r="AD7" s="3185" t="s">
        <v>3128</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3084</v>
      </c>
      <c r="AP7" s="3185" t="s">
        <v>2818</v>
      </c>
      <c r="AQ7" s="3185">
        <v>36</v>
      </c>
      <c r="AR7" s="3185" t="s">
        <v>2818</v>
      </c>
    </row>
    <row r="8" spans="1:44" s="3185" customFormat="1" ht="12">
      <c r="A8" s="3185" t="s">
        <v>3129</v>
      </c>
      <c r="B8" s="3185" t="s">
        <v>1947</v>
      </c>
      <c r="C8" s="3185" t="s">
        <v>3069</v>
      </c>
      <c r="D8" s="3185" t="s">
        <v>3070</v>
      </c>
      <c r="E8" s="3185" t="s">
        <v>2818</v>
      </c>
      <c r="F8" s="3185" t="s">
        <v>3071</v>
      </c>
      <c r="G8" s="3185" t="s">
        <v>3072</v>
      </c>
      <c r="H8" s="3185" t="s">
        <v>3130</v>
      </c>
      <c r="I8" s="3185" t="s">
        <v>2984</v>
      </c>
      <c r="J8" s="3185">
        <v>54881.23</v>
      </c>
      <c r="K8" s="3185">
        <v>104288</v>
      </c>
      <c r="L8" s="3185" t="s">
        <v>3131</v>
      </c>
      <c r="M8" s="3185" t="s">
        <v>2818</v>
      </c>
      <c r="N8" s="3185" t="s">
        <v>3074</v>
      </c>
      <c r="O8" s="3185" t="s">
        <v>3132</v>
      </c>
      <c r="P8" s="3185" t="s">
        <v>3133</v>
      </c>
      <c r="Q8" s="3185">
        <v>55019</v>
      </c>
      <c r="R8" s="3185">
        <v>55019</v>
      </c>
      <c r="S8" s="3185" t="s">
        <v>2818</v>
      </c>
      <c r="T8" s="3185" t="s">
        <v>3134</v>
      </c>
      <c r="U8" s="3185" t="s">
        <v>3135</v>
      </c>
      <c r="V8" s="3185" t="s">
        <v>2818</v>
      </c>
      <c r="W8" s="3185" t="s">
        <v>3141</v>
      </c>
      <c r="X8" s="3185" t="s">
        <v>3125</v>
      </c>
      <c r="Y8" s="3185" t="s">
        <v>3126</v>
      </c>
      <c r="Z8" s="3185" t="s">
        <v>3127</v>
      </c>
      <c r="AA8" s="3185" t="s">
        <v>3127</v>
      </c>
      <c r="AB8" s="3185" t="s">
        <v>3130</v>
      </c>
      <c r="AC8" s="3185" t="s">
        <v>3082</v>
      </c>
      <c r="AD8" s="3185" t="s">
        <v>3136</v>
      </c>
      <c r="AE8" s="3185">
        <v>48000</v>
      </c>
      <c r="AF8" s="3185">
        <v>157000</v>
      </c>
      <c r="AG8" s="3185">
        <v>180550</v>
      </c>
      <c r="AH8" s="3185">
        <v>1907.15</v>
      </c>
      <c r="AI8" s="3185">
        <v>2193.2199999999998</v>
      </c>
      <c r="AJ8" s="3185">
        <v>15054.46</v>
      </c>
      <c r="AK8" s="3185">
        <v>17312.63</v>
      </c>
      <c r="AL8" s="3185">
        <v>31866</v>
      </c>
      <c r="AM8" s="3185">
        <v>36646</v>
      </c>
      <c r="AN8" s="3185">
        <v>15</v>
      </c>
      <c r="AO8" s="3185" t="s">
        <v>3084</v>
      </c>
      <c r="AP8" s="3185" t="s">
        <v>2818</v>
      </c>
      <c r="AQ8" s="3185">
        <v>44</v>
      </c>
      <c r="AR8" s="3185" t="s">
        <v>2818</v>
      </c>
    </row>
    <row r="9" spans="1:44" s="3185" customFormat="1" ht="12">
      <c r="A9" s="3185" t="s">
        <v>3137</v>
      </c>
      <c r="B9" s="3185" t="s">
        <v>1947</v>
      </c>
      <c r="C9" s="3185" t="s">
        <v>3069</v>
      </c>
      <c r="D9" s="3185" t="s">
        <v>3070</v>
      </c>
      <c r="E9" s="3185" t="s">
        <v>2818</v>
      </c>
      <c r="F9" s="3185" t="s">
        <v>3138</v>
      </c>
      <c r="G9" s="3185" t="s">
        <v>3072</v>
      </c>
      <c r="H9" s="3185" t="s">
        <v>3139</v>
      </c>
      <c r="I9" s="3185" t="s">
        <v>2984</v>
      </c>
      <c r="J9" s="3185">
        <v>83549.62</v>
      </c>
      <c r="K9" s="3185">
        <v>138825</v>
      </c>
      <c r="L9" s="3185">
        <v>1.66</v>
      </c>
      <c r="M9" s="3185" t="s">
        <v>2818</v>
      </c>
      <c r="N9" s="3185" t="s">
        <v>2818</v>
      </c>
      <c r="O9" s="3185" t="s">
        <v>2818</v>
      </c>
      <c r="P9" s="3185" t="s">
        <v>2818</v>
      </c>
      <c r="Q9" s="3185" t="s">
        <v>2818</v>
      </c>
      <c r="R9" s="3185" t="s">
        <v>2818</v>
      </c>
      <c r="S9" s="3185" t="s">
        <v>2818</v>
      </c>
      <c r="T9" s="3185" t="s">
        <v>3140</v>
      </c>
      <c r="U9" s="3185" t="s">
        <v>3140</v>
      </c>
      <c r="V9" s="3185" t="s">
        <v>2818</v>
      </c>
      <c r="W9" s="3185" t="s">
        <v>3141</v>
      </c>
      <c r="X9" s="3185" t="s">
        <v>3142</v>
      </c>
      <c r="Y9" s="3185" t="s">
        <v>3143</v>
      </c>
      <c r="Z9" s="3185" t="s">
        <v>3144</v>
      </c>
      <c r="AA9" s="3185" t="s">
        <v>3144</v>
      </c>
      <c r="AB9" s="3185" t="s">
        <v>3139</v>
      </c>
      <c r="AC9" s="3185" t="s">
        <v>3082</v>
      </c>
      <c r="AD9" s="3185" t="s">
        <v>3145</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3084</v>
      </c>
      <c r="AP9" s="3185" t="s">
        <v>2818</v>
      </c>
      <c r="AQ9" s="3185">
        <v>100</v>
      </c>
      <c r="AR9" s="3185" t="s">
        <v>2818</v>
      </c>
    </row>
    <row r="10" spans="1:44" s="3185" customFormat="1" ht="12">
      <c r="A10" s="3185" t="s">
        <v>3146</v>
      </c>
      <c r="B10" s="3185" t="s">
        <v>1947</v>
      </c>
      <c r="C10" s="3185" t="s">
        <v>3093</v>
      </c>
      <c r="D10" s="3185" t="s">
        <v>3070</v>
      </c>
      <c r="E10" s="3185" t="s">
        <v>2818</v>
      </c>
      <c r="F10" s="3185" t="s">
        <v>3138</v>
      </c>
      <c r="G10" s="3185" t="s">
        <v>3072</v>
      </c>
      <c r="H10" s="3185" t="s">
        <v>3147</v>
      </c>
      <c r="I10" s="3185" t="s">
        <v>3148</v>
      </c>
      <c r="J10" s="3185">
        <v>85584.57</v>
      </c>
      <c r="K10" s="3185">
        <v>162894</v>
      </c>
      <c r="L10" s="3185">
        <v>1.9</v>
      </c>
      <c r="M10" s="3185" t="s">
        <v>2818</v>
      </c>
      <c r="N10" s="3185" t="s">
        <v>2818</v>
      </c>
      <c r="O10" s="3185" t="s">
        <v>2818</v>
      </c>
      <c r="P10" s="3185" t="s">
        <v>2818</v>
      </c>
      <c r="Q10" s="3185" t="s">
        <v>2818</v>
      </c>
      <c r="R10" s="3185" t="s">
        <v>2818</v>
      </c>
      <c r="S10" s="3185" t="s">
        <v>2818</v>
      </c>
      <c r="T10" s="3185" t="s">
        <v>3140</v>
      </c>
      <c r="U10" s="3185" t="s">
        <v>3140</v>
      </c>
      <c r="V10" s="3185" t="s">
        <v>2818</v>
      </c>
      <c r="W10" s="3185" t="s">
        <v>3141</v>
      </c>
      <c r="X10" s="3185" t="s">
        <v>3142</v>
      </c>
      <c r="Y10" s="3185" t="s">
        <v>3143</v>
      </c>
      <c r="Z10" s="3185" t="s">
        <v>3144</v>
      </c>
      <c r="AA10" s="3185" t="s">
        <v>3144</v>
      </c>
      <c r="AB10" s="3185" t="s">
        <v>3147</v>
      </c>
      <c r="AC10" s="3185" t="s">
        <v>3082</v>
      </c>
      <c r="AD10" s="3185" t="s">
        <v>3149</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3084</v>
      </c>
      <c r="AP10" s="3185" t="s">
        <v>2818</v>
      </c>
      <c r="AQ10" s="3185">
        <v>100</v>
      </c>
      <c r="AR10" s="3185">
        <v>100</v>
      </c>
    </row>
    <row r="11" spans="1:44" s="3185" customFormat="1" ht="12">
      <c r="A11" s="3185" t="s">
        <v>3150</v>
      </c>
      <c r="B11" s="3185" t="s">
        <v>1947</v>
      </c>
      <c r="C11" s="3185" t="s">
        <v>3093</v>
      </c>
      <c r="D11" s="3185" t="s">
        <v>3070</v>
      </c>
      <c r="E11" s="3185" t="s">
        <v>2818</v>
      </c>
      <c r="F11" s="3185" t="s">
        <v>3138</v>
      </c>
      <c r="G11" s="3185" t="s">
        <v>3072</v>
      </c>
      <c r="H11" s="3185" t="s">
        <v>3151</v>
      </c>
      <c r="I11" s="3185" t="s">
        <v>3148</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3140</v>
      </c>
      <c r="U11" s="3185" t="s">
        <v>3152</v>
      </c>
      <c r="V11" s="3185" t="s">
        <v>2818</v>
      </c>
      <c r="W11" s="3185" t="s">
        <v>3141</v>
      </c>
      <c r="X11" s="3185" t="s">
        <v>3142</v>
      </c>
      <c r="Y11" s="3185" t="s">
        <v>3143</v>
      </c>
      <c r="Z11" s="3185" t="s">
        <v>3153</v>
      </c>
      <c r="AA11" s="3185" t="s">
        <v>3153</v>
      </c>
      <c r="AB11" s="3185" t="s">
        <v>3151</v>
      </c>
      <c r="AC11" s="3185" t="s">
        <v>3082</v>
      </c>
      <c r="AD11" s="3185" t="s">
        <v>3154</v>
      </c>
      <c r="AE11" s="3185">
        <v>117000</v>
      </c>
      <c r="AF11" s="3185">
        <v>390000</v>
      </c>
      <c r="AG11" s="3185">
        <v>576000</v>
      </c>
      <c r="AH11" s="3185">
        <v>3086.36</v>
      </c>
      <c r="AI11" s="3185">
        <v>4558.32</v>
      </c>
      <c r="AJ11" s="3185">
        <v>21272.41</v>
      </c>
      <c r="AK11" s="3185">
        <v>31417.72</v>
      </c>
      <c r="AL11" s="3185" t="s">
        <v>2818</v>
      </c>
      <c r="AM11" s="3185" t="s">
        <v>2818</v>
      </c>
      <c r="AN11" s="3185">
        <v>47.69</v>
      </c>
      <c r="AO11" s="3185" t="s">
        <v>3084</v>
      </c>
      <c r="AP11" s="3185" t="s">
        <v>2818</v>
      </c>
      <c r="AQ11" s="3185">
        <v>100</v>
      </c>
      <c r="AR11" s="3185">
        <v>10</v>
      </c>
    </row>
    <row r="12" spans="1:44" s="3185" customFormat="1" ht="12">
      <c r="A12" s="3185" t="s">
        <v>3155</v>
      </c>
      <c r="B12" s="3185" t="s">
        <v>1947</v>
      </c>
      <c r="C12" s="3185" t="s">
        <v>3069</v>
      </c>
      <c r="D12" s="3185" t="s">
        <v>3070</v>
      </c>
      <c r="E12" s="3185" t="s">
        <v>2818</v>
      </c>
      <c r="F12" s="3185" t="s">
        <v>3138</v>
      </c>
      <c r="G12" s="3185" t="s">
        <v>3072</v>
      </c>
      <c r="H12" s="3185" t="s">
        <v>3156</v>
      </c>
      <c r="I12" s="3185" t="s">
        <v>2984</v>
      </c>
      <c r="J12" s="3185">
        <v>43356.75</v>
      </c>
      <c r="K12" s="3185">
        <v>91049</v>
      </c>
      <c r="L12" s="3185">
        <v>2.1</v>
      </c>
      <c r="M12" s="3185" t="s">
        <v>2818</v>
      </c>
      <c r="N12" s="3185" t="s">
        <v>2818</v>
      </c>
      <c r="O12" s="3185" t="s">
        <v>2818</v>
      </c>
      <c r="P12" s="3185" t="s">
        <v>3157</v>
      </c>
      <c r="Q12" s="3185">
        <v>36000</v>
      </c>
      <c r="R12" s="3185">
        <v>36000</v>
      </c>
      <c r="S12" s="3185" t="s">
        <v>3158</v>
      </c>
      <c r="T12" s="3185" t="s">
        <v>2818</v>
      </c>
      <c r="U12" s="3185" t="s">
        <v>2818</v>
      </c>
      <c r="V12" s="3185" t="s">
        <v>2818</v>
      </c>
      <c r="W12" s="3185" t="s">
        <v>3141</v>
      </c>
      <c r="X12" s="3185" t="s">
        <v>3142</v>
      </c>
      <c r="Y12" s="3185" t="s">
        <v>3159</v>
      </c>
      <c r="Z12" s="3185" t="s">
        <v>3143</v>
      </c>
      <c r="AA12" s="3185" t="s">
        <v>3143</v>
      </c>
      <c r="AB12" s="3185" t="s">
        <v>3156</v>
      </c>
      <c r="AC12" s="3185" t="s">
        <v>3082</v>
      </c>
      <c r="AD12" s="3185" t="s">
        <v>3160</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3084</v>
      </c>
      <c r="AP12" s="3185" t="s">
        <v>2818</v>
      </c>
      <c r="AQ12" s="3185" t="s">
        <v>2818</v>
      </c>
      <c r="AR12" s="3185" t="s">
        <v>2818</v>
      </c>
    </row>
    <row r="13" spans="1:44" s="3185" customFormat="1" ht="12">
      <c r="A13" s="3185" t="s">
        <v>3161</v>
      </c>
      <c r="B13" s="3185" t="s">
        <v>1947</v>
      </c>
      <c r="C13" s="3185" t="s">
        <v>3093</v>
      </c>
      <c r="D13" s="3185" t="s">
        <v>3070</v>
      </c>
      <c r="E13" s="3185" t="s">
        <v>2818</v>
      </c>
      <c r="F13" s="3185" t="s">
        <v>3162</v>
      </c>
      <c r="G13" s="3185" t="s">
        <v>3072</v>
      </c>
      <c r="H13" s="3185" t="s">
        <v>3163</v>
      </c>
      <c r="I13" s="3185" t="s">
        <v>3114</v>
      </c>
      <c r="J13" s="3185">
        <v>65219.27</v>
      </c>
      <c r="K13" s="3185">
        <v>208702</v>
      </c>
      <c r="L13" s="3185">
        <v>3.2</v>
      </c>
      <c r="M13" s="3185" t="s">
        <v>2818</v>
      </c>
      <c r="N13" s="3185" t="s">
        <v>2818</v>
      </c>
      <c r="O13" s="3185" t="s">
        <v>2818</v>
      </c>
      <c r="P13" s="3185" t="s">
        <v>3157</v>
      </c>
      <c r="Q13" s="3185">
        <v>7500</v>
      </c>
      <c r="R13" s="3185">
        <v>7500</v>
      </c>
      <c r="S13" s="3185" t="s">
        <v>3164</v>
      </c>
      <c r="T13" s="3185" t="s">
        <v>2818</v>
      </c>
      <c r="U13" s="3185" t="s">
        <v>2818</v>
      </c>
      <c r="V13" s="3185" t="s">
        <v>2818</v>
      </c>
      <c r="W13" s="3185" t="s">
        <v>3165</v>
      </c>
      <c r="X13" s="3185" t="s">
        <v>3166</v>
      </c>
      <c r="Y13" s="3185" t="s">
        <v>3167</v>
      </c>
      <c r="Z13" s="3185" t="s">
        <v>3168</v>
      </c>
      <c r="AA13" s="3185" t="s">
        <v>3168</v>
      </c>
      <c r="AB13" s="3185" t="s">
        <v>3163</v>
      </c>
      <c r="AC13" s="3185" t="s">
        <v>3082</v>
      </c>
      <c r="AD13" s="3185" t="s">
        <v>3169</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3170</v>
      </c>
      <c r="AP13" s="3185" t="s">
        <v>2818</v>
      </c>
      <c r="AQ13" s="3185" t="s">
        <v>2818</v>
      </c>
      <c r="AR13" s="3185" t="s">
        <v>2818</v>
      </c>
    </row>
    <row r="14" spans="1:44" s="3219" customFormat="1" ht="12">
      <c r="A14" s="3219" t="s">
        <v>3220</v>
      </c>
      <c r="B14" s="3219" t="s">
        <v>1947</v>
      </c>
      <c r="C14" s="3219" t="s">
        <v>3093</v>
      </c>
      <c r="D14" s="3219" t="s">
        <v>3221</v>
      </c>
      <c r="E14" s="3219" t="s">
        <v>2818</v>
      </c>
      <c r="F14" s="3219" t="s">
        <v>3222</v>
      </c>
      <c r="G14" s="3219" t="s">
        <v>3072</v>
      </c>
      <c r="H14" s="3219" t="s">
        <v>3223</v>
      </c>
      <c r="I14" s="3219" t="s">
        <v>3224</v>
      </c>
      <c r="J14" s="3219">
        <v>55477.35</v>
      </c>
      <c r="K14" s="3219">
        <v>87924</v>
      </c>
      <c r="L14" s="3219">
        <v>1.58</v>
      </c>
      <c r="M14" s="3219" t="s">
        <v>2818</v>
      </c>
      <c r="N14" s="3219" t="s">
        <v>3074</v>
      </c>
      <c r="O14" s="3219">
        <v>18</v>
      </c>
      <c r="P14" s="3219" t="s">
        <v>2818</v>
      </c>
      <c r="Q14" s="3219" t="s">
        <v>2818</v>
      </c>
      <c r="R14" s="3219" t="s">
        <v>2818</v>
      </c>
      <c r="S14" s="3219" t="s">
        <v>3225</v>
      </c>
      <c r="T14" s="3219" t="s">
        <v>3106</v>
      </c>
      <c r="U14" s="3219" t="s">
        <v>3106</v>
      </c>
      <c r="V14" s="3219" t="s">
        <v>2818</v>
      </c>
      <c r="W14" s="3219" t="s">
        <v>3078</v>
      </c>
      <c r="X14" s="3219" t="s">
        <v>3226</v>
      </c>
      <c r="Y14" s="3219" t="s">
        <v>3227</v>
      </c>
      <c r="Z14" s="3219" t="s">
        <v>3228</v>
      </c>
      <c r="AA14" s="3219" t="s">
        <v>3228</v>
      </c>
      <c r="AB14" s="3219" t="s">
        <v>3223</v>
      </c>
      <c r="AC14" s="3219" t="s">
        <v>3082</v>
      </c>
      <c r="AD14" s="3219" t="s">
        <v>3229</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3084</v>
      </c>
      <c r="AP14" s="3219" t="s">
        <v>2818</v>
      </c>
      <c r="AQ14" s="3219" t="s">
        <v>2818</v>
      </c>
      <c r="AR14" s="3219" t="s">
        <v>2818</v>
      </c>
    </row>
    <row r="15" spans="1:44" s="3185" customFormat="1" ht="12">
      <c r="A15" s="3185" t="s">
        <v>3230</v>
      </c>
      <c r="B15" s="3185" t="s">
        <v>1947</v>
      </c>
      <c r="C15" s="3185" t="s">
        <v>3069</v>
      </c>
      <c r="D15" s="3185" t="s">
        <v>3221</v>
      </c>
      <c r="E15" s="3185" t="s">
        <v>2818</v>
      </c>
      <c r="F15" s="3185" t="s">
        <v>3230</v>
      </c>
      <c r="G15" s="3185" t="s">
        <v>3072</v>
      </c>
      <c r="H15" s="3185" t="s">
        <v>3231</v>
      </c>
      <c r="I15" s="3185" t="s">
        <v>2984</v>
      </c>
      <c r="J15" s="3185">
        <v>53525.81</v>
      </c>
      <c r="K15" s="3185">
        <v>58878</v>
      </c>
      <c r="L15" s="3185">
        <v>1.1000000000000001</v>
      </c>
      <c r="M15" s="3185" t="s">
        <v>2818</v>
      </c>
      <c r="N15" s="3185" t="s">
        <v>3074</v>
      </c>
      <c r="O15" s="3185" t="s">
        <v>3232</v>
      </c>
      <c r="P15" s="3185" t="s">
        <v>2818</v>
      </c>
      <c r="Q15" s="3185" t="s">
        <v>2818</v>
      </c>
      <c r="R15" s="3185" t="s">
        <v>2818</v>
      </c>
      <c r="S15" s="3185" t="s">
        <v>2818</v>
      </c>
      <c r="T15" s="3185" t="s">
        <v>3140</v>
      </c>
      <c r="U15" s="3185" t="s">
        <v>3233</v>
      </c>
      <c r="V15" s="3185" t="s">
        <v>2818</v>
      </c>
      <c r="W15" s="3185" t="s">
        <v>3078</v>
      </c>
      <c r="X15" s="3185" t="s">
        <v>3234</v>
      </c>
      <c r="Y15" s="3185" t="s">
        <v>3235</v>
      </c>
      <c r="Z15" s="3185" t="s">
        <v>3236</v>
      </c>
      <c r="AA15" s="3185" t="s">
        <v>3236</v>
      </c>
      <c r="AB15" s="3185" t="s">
        <v>3231</v>
      </c>
      <c r="AC15" s="3185" t="s">
        <v>3082</v>
      </c>
      <c r="AD15" s="3185" t="s">
        <v>3237</v>
      </c>
      <c r="AE15" s="3185">
        <v>100000</v>
      </c>
      <c r="AF15" s="3185">
        <v>333100</v>
      </c>
      <c r="AG15" s="3185">
        <v>336500</v>
      </c>
      <c r="AH15" s="3185">
        <v>4148.78</v>
      </c>
      <c r="AI15" s="3185">
        <v>4191.12</v>
      </c>
      <c r="AJ15" s="3185">
        <v>56574.61</v>
      </c>
      <c r="AK15" s="3185">
        <v>57152.08</v>
      </c>
      <c r="AL15" s="3185" t="s">
        <v>2818</v>
      </c>
      <c r="AM15" s="3185" t="s">
        <v>2818</v>
      </c>
      <c r="AN15" s="3185">
        <v>1.02</v>
      </c>
      <c r="AO15" s="3185" t="s">
        <v>3084</v>
      </c>
      <c r="AP15" s="3185" t="s">
        <v>2818</v>
      </c>
      <c r="AQ15" s="3185" t="s">
        <v>2818</v>
      </c>
      <c r="AR15" s="3185" t="s">
        <v>2818</v>
      </c>
    </row>
    <row r="16" spans="1:44" s="3185" customFormat="1" ht="12">
      <c r="A16" s="3185" t="s">
        <v>3238</v>
      </c>
      <c r="B16" s="3185" t="s">
        <v>1947</v>
      </c>
      <c r="C16" s="3185" t="s">
        <v>3069</v>
      </c>
      <c r="D16" s="3185" t="s">
        <v>3221</v>
      </c>
      <c r="E16" s="3185" t="s">
        <v>2818</v>
      </c>
      <c r="F16" s="3185" t="s">
        <v>3239</v>
      </c>
      <c r="G16" s="3185" t="s">
        <v>3072</v>
      </c>
      <c r="H16" s="3185" t="s">
        <v>3240</v>
      </c>
      <c r="I16" s="3185" t="s">
        <v>2984</v>
      </c>
      <c r="J16" s="3185">
        <v>90394.02</v>
      </c>
      <c r="K16" s="3185">
        <v>99433</v>
      </c>
      <c r="L16" s="3185">
        <v>1.1000000000000001</v>
      </c>
      <c r="M16" s="3185" t="s">
        <v>2818</v>
      </c>
      <c r="N16" s="3185" t="s">
        <v>3074</v>
      </c>
      <c r="O16" s="3185" t="s">
        <v>3241</v>
      </c>
      <c r="P16" s="3185" t="s">
        <v>2818</v>
      </c>
      <c r="Q16" s="3185" t="s">
        <v>2818</v>
      </c>
      <c r="R16" s="3185" t="s">
        <v>2818</v>
      </c>
      <c r="S16" s="3185" t="s">
        <v>2818</v>
      </c>
      <c r="T16" s="3185" t="s">
        <v>3140</v>
      </c>
      <c r="U16" s="3185" t="s">
        <v>3233</v>
      </c>
      <c r="V16" s="3185" t="s">
        <v>2818</v>
      </c>
      <c r="W16" s="3185" t="s">
        <v>3078</v>
      </c>
      <c r="X16" s="3185" t="s">
        <v>3242</v>
      </c>
      <c r="Y16" s="3185" t="s">
        <v>3243</v>
      </c>
      <c r="Z16" s="3185" t="s">
        <v>3244</v>
      </c>
      <c r="AA16" s="3185" t="s">
        <v>3244</v>
      </c>
      <c r="AB16" s="3185" t="s">
        <v>3240</v>
      </c>
      <c r="AC16" s="3185" t="s">
        <v>3082</v>
      </c>
      <c r="AD16" s="3185" t="s">
        <v>3245</v>
      </c>
      <c r="AE16" s="3185">
        <v>170000</v>
      </c>
      <c r="AF16" s="3185">
        <v>557900</v>
      </c>
      <c r="AG16" s="3185">
        <v>610000</v>
      </c>
      <c r="AH16" s="3185">
        <v>4114.58</v>
      </c>
      <c r="AI16" s="3185">
        <v>4498.82</v>
      </c>
      <c r="AJ16" s="3185">
        <v>56108.13</v>
      </c>
      <c r="AK16" s="3185">
        <v>61347.83</v>
      </c>
      <c r="AL16" s="3185" t="s">
        <v>2818</v>
      </c>
      <c r="AM16" s="3185" t="s">
        <v>2818</v>
      </c>
      <c r="AN16" s="3185">
        <v>9.34</v>
      </c>
      <c r="AO16" s="3185" t="s">
        <v>3084</v>
      </c>
      <c r="AP16" s="3185" t="s">
        <v>2818</v>
      </c>
      <c r="AQ16" s="3185" t="s">
        <v>2818</v>
      </c>
      <c r="AR16" s="3185" t="s">
        <v>2818</v>
      </c>
    </row>
    <row r="17" spans="1:44" s="3218" customFormat="1" ht="12">
      <c r="A17" s="3218" t="s">
        <v>3246</v>
      </c>
      <c r="B17" s="3218" t="s">
        <v>1947</v>
      </c>
      <c r="C17" s="3218" t="s">
        <v>3069</v>
      </c>
      <c r="D17" s="3218" t="s">
        <v>3221</v>
      </c>
      <c r="E17" s="3218" t="s">
        <v>2818</v>
      </c>
      <c r="F17" s="3218" t="s">
        <v>3222</v>
      </c>
      <c r="G17" s="3218" t="s">
        <v>3072</v>
      </c>
      <c r="H17" s="3218" t="s">
        <v>3247</v>
      </c>
      <c r="I17" s="3218" t="s">
        <v>2984</v>
      </c>
      <c r="J17" s="3218">
        <v>35847.35</v>
      </c>
      <c r="K17" s="3218">
        <v>75279</v>
      </c>
      <c r="L17" s="3218">
        <v>2.1</v>
      </c>
      <c r="M17" s="3218" t="s">
        <v>2818</v>
      </c>
      <c r="N17" s="3218" t="s">
        <v>3074</v>
      </c>
      <c r="O17" s="3218" t="s">
        <v>3248</v>
      </c>
      <c r="P17" s="3218" t="s">
        <v>2818</v>
      </c>
      <c r="Q17" s="3218" t="s">
        <v>2818</v>
      </c>
      <c r="R17" s="3218" t="s">
        <v>2818</v>
      </c>
      <c r="S17" s="3218" t="s">
        <v>3225</v>
      </c>
      <c r="T17" s="3218" t="s">
        <v>3106</v>
      </c>
      <c r="U17" s="3218" t="s">
        <v>3106</v>
      </c>
      <c r="V17" s="3218" t="s">
        <v>2818</v>
      </c>
      <c r="W17" s="3218" t="s">
        <v>3078</v>
      </c>
      <c r="X17" s="3218" t="s">
        <v>3249</v>
      </c>
      <c r="Y17" s="3218" t="s">
        <v>3242</v>
      </c>
      <c r="Z17" s="3218" t="s">
        <v>3234</v>
      </c>
      <c r="AA17" s="3218" t="s">
        <v>3234</v>
      </c>
      <c r="AB17" s="3218" t="s">
        <v>3247</v>
      </c>
      <c r="AC17" s="3218" t="s">
        <v>3082</v>
      </c>
      <c r="AD17" s="3218" t="s">
        <v>3250</v>
      </c>
      <c r="AE17" s="3218">
        <v>51000</v>
      </c>
      <c r="AF17" s="3218">
        <v>170000</v>
      </c>
      <c r="AG17" s="3218">
        <v>186000</v>
      </c>
      <c r="AH17" s="3218">
        <v>3161.55</v>
      </c>
      <c r="AI17" s="3218">
        <v>3459.11</v>
      </c>
      <c r="AJ17" s="3218">
        <v>22582.65</v>
      </c>
      <c r="AK17" s="3218">
        <v>24708.09</v>
      </c>
      <c r="AL17" s="3218" t="s">
        <v>2818</v>
      </c>
      <c r="AM17" s="3218" t="s">
        <v>2818</v>
      </c>
      <c r="AN17" s="3218">
        <v>9.41</v>
      </c>
      <c r="AO17" s="3218" t="s">
        <v>3084</v>
      </c>
      <c r="AP17" s="3218" t="s">
        <v>2818</v>
      </c>
      <c r="AQ17" s="3218" t="s">
        <v>2818</v>
      </c>
      <c r="AR17" s="3218" t="s">
        <v>2818</v>
      </c>
    </row>
    <row r="18" spans="1:44" s="3218" customFormat="1" ht="12">
      <c r="A18" s="3218" t="s">
        <v>3251</v>
      </c>
      <c r="B18" s="3218" t="s">
        <v>1947</v>
      </c>
      <c r="C18" s="3218" t="s">
        <v>3069</v>
      </c>
      <c r="D18" s="3218" t="s">
        <v>3221</v>
      </c>
      <c r="E18" s="3218" t="s">
        <v>2818</v>
      </c>
      <c r="F18" s="3218" t="s">
        <v>3252</v>
      </c>
      <c r="G18" s="3218" t="s">
        <v>3072</v>
      </c>
      <c r="H18" s="3218" t="s">
        <v>3253</v>
      </c>
      <c r="I18" s="3218" t="s">
        <v>2984</v>
      </c>
      <c r="J18" s="3218">
        <v>77973.48</v>
      </c>
      <c r="K18" s="3218">
        <v>194934</v>
      </c>
      <c r="L18" s="3218">
        <v>2.5</v>
      </c>
      <c r="M18" s="3218" t="s">
        <v>2818</v>
      </c>
      <c r="N18" s="3218" t="s">
        <v>3074</v>
      </c>
      <c r="O18" s="3218" t="s">
        <v>3115</v>
      </c>
      <c r="P18" s="3218" t="s">
        <v>2818</v>
      </c>
      <c r="Q18" s="3218" t="s">
        <v>2818</v>
      </c>
      <c r="R18" s="3218" t="s">
        <v>2818</v>
      </c>
      <c r="S18" s="3218" t="s">
        <v>3254</v>
      </c>
      <c r="T18" s="3218" t="s">
        <v>3106</v>
      </c>
      <c r="U18" s="3218" t="s">
        <v>3106</v>
      </c>
      <c r="V18" s="3218" t="s">
        <v>2818</v>
      </c>
      <c r="W18" s="3218" t="s">
        <v>3078</v>
      </c>
      <c r="X18" s="3218" t="s">
        <v>3107</v>
      </c>
      <c r="Y18" s="3218" t="s">
        <v>3108</v>
      </c>
      <c r="Z18" s="3218" t="s">
        <v>3109</v>
      </c>
      <c r="AA18" s="3218" t="s">
        <v>3109</v>
      </c>
      <c r="AB18" s="3218" t="s">
        <v>3253</v>
      </c>
      <c r="AC18" s="3218" t="s">
        <v>3082</v>
      </c>
      <c r="AD18" s="3218" t="s">
        <v>3255</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3084</v>
      </c>
      <c r="AP18" s="3218" t="s">
        <v>2818</v>
      </c>
      <c r="AQ18" s="3218" t="s">
        <v>2818</v>
      </c>
      <c r="AR18" s="3218" t="s">
        <v>2818</v>
      </c>
    </row>
    <row r="19" spans="1:44" s="3185" customFormat="1" ht="12">
      <c r="A19" s="3185" t="s">
        <v>3256</v>
      </c>
      <c r="B19" s="3185" t="s">
        <v>1947</v>
      </c>
      <c r="C19" s="3185" t="s">
        <v>3093</v>
      </c>
      <c r="D19" s="3185" t="s">
        <v>3221</v>
      </c>
      <c r="E19" s="3185" t="s">
        <v>2818</v>
      </c>
      <c r="F19" s="3185" t="s">
        <v>3239</v>
      </c>
      <c r="G19" s="3185" t="s">
        <v>3072</v>
      </c>
      <c r="H19" s="3185" t="s">
        <v>3257</v>
      </c>
      <c r="I19" s="3185" t="s">
        <v>3332</v>
      </c>
      <c r="J19" s="3185">
        <v>99921.81</v>
      </c>
      <c r="K19" s="3185">
        <v>109014</v>
      </c>
      <c r="L19" s="3185">
        <v>1.1000000000000001</v>
      </c>
      <c r="M19" s="3185" t="s">
        <v>2818</v>
      </c>
      <c r="N19" s="3185" t="s">
        <v>3074</v>
      </c>
      <c r="O19" s="3185" t="s">
        <v>3241</v>
      </c>
      <c r="P19" s="3185" t="s">
        <v>2818</v>
      </c>
      <c r="Q19" s="3185" t="s">
        <v>2818</v>
      </c>
      <c r="R19" s="3185" t="s">
        <v>2818</v>
      </c>
      <c r="S19" s="3185" t="s">
        <v>2818</v>
      </c>
      <c r="T19" s="3185" t="s">
        <v>3076</v>
      </c>
      <c r="U19" s="3185" t="s">
        <v>3116</v>
      </c>
      <c r="V19" s="3185" t="s">
        <v>2818</v>
      </c>
      <c r="W19" s="3185" t="s">
        <v>3141</v>
      </c>
      <c r="X19" s="3185" t="s">
        <v>3258</v>
      </c>
      <c r="Y19" s="3185" t="s">
        <v>3259</v>
      </c>
      <c r="Z19" s="3185" t="s">
        <v>3260</v>
      </c>
      <c r="AA19" s="3185" t="s">
        <v>3260</v>
      </c>
      <c r="AB19" s="3185" t="s">
        <v>3257</v>
      </c>
      <c r="AC19" s="3185" t="s">
        <v>3082</v>
      </c>
      <c r="AD19" s="3185" t="s">
        <v>3261</v>
      </c>
      <c r="AE19" s="3185">
        <v>120000</v>
      </c>
      <c r="AF19" s="3185">
        <v>400000</v>
      </c>
      <c r="AG19" s="3185">
        <v>596000</v>
      </c>
      <c r="AH19" s="3185">
        <v>2668.75</v>
      </c>
      <c r="AI19" s="3185">
        <v>3976.44</v>
      </c>
      <c r="AJ19" s="3185">
        <v>36692.53</v>
      </c>
      <c r="AK19" s="3185">
        <v>54671.87</v>
      </c>
      <c r="AL19" s="3185" t="s">
        <v>2818</v>
      </c>
      <c r="AM19" s="3185" t="s">
        <v>2818</v>
      </c>
      <c r="AN19" s="3185">
        <v>49</v>
      </c>
      <c r="AO19" s="3185" t="s">
        <v>3084</v>
      </c>
      <c r="AP19" s="3185" t="s">
        <v>2818</v>
      </c>
      <c r="AQ19" s="3185">
        <v>36</v>
      </c>
      <c r="AR19" s="3185" t="s">
        <v>2818</v>
      </c>
    </row>
    <row r="20" spans="1:44" s="3185" customFormat="1" ht="12">
      <c r="A20" s="3185" t="s">
        <v>3262</v>
      </c>
      <c r="B20" s="3185" t="s">
        <v>1947</v>
      </c>
      <c r="C20" s="3185" t="s">
        <v>3069</v>
      </c>
      <c r="D20" s="3185" t="s">
        <v>3221</v>
      </c>
      <c r="E20" s="3185" t="s">
        <v>2818</v>
      </c>
      <c r="F20" s="3185" t="s">
        <v>3263</v>
      </c>
      <c r="G20" s="3185" t="s">
        <v>3072</v>
      </c>
      <c r="H20" s="3185" t="s">
        <v>3264</v>
      </c>
      <c r="I20" s="3185" t="s">
        <v>3114</v>
      </c>
      <c r="J20" s="3185">
        <v>59511.18</v>
      </c>
      <c r="K20" s="3185">
        <v>89267</v>
      </c>
      <c r="L20" s="3185">
        <v>1.5</v>
      </c>
      <c r="M20" s="3185" t="s">
        <v>2818</v>
      </c>
      <c r="N20" s="3185" t="s">
        <v>2818</v>
      </c>
      <c r="O20" s="3185" t="s">
        <v>2818</v>
      </c>
      <c r="P20" s="3185" t="s">
        <v>2818</v>
      </c>
      <c r="Q20" s="3185" t="s">
        <v>2818</v>
      </c>
      <c r="R20" s="3185" t="s">
        <v>2818</v>
      </c>
      <c r="S20" s="3185" t="s">
        <v>2818</v>
      </c>
      <c r="T20" s="3185" t="s">
        <v>3076</v>
      </c>
      <c r="U20" s="3185" t="s">
        <v>3233</v>
      </c>
      <c r="V20" s="3185" t="s">
        <v>2818</v>
      </c>
      <c r="W20" s="3185" t="s">
        <v>3141</v>
      </c>
      <c r="X20" s="3185" t="s">
        <v>3265</v>
      </c>
      <c r="Y20" s="3185" t="s">
        <v>3266</v>
      </c>
      <c r="Z20" s="3185" t="s">
        <v>3267</v>
      </c>
      <c r="AA20" s="3185" t="s">
        <v>3267</v>
      </c>
      <c r="AB20" s="3185" t="s">
        <v>3264</v>
      </c>
      <c r="AC20" s="3185" t="s">
        <v>3082</v>
      </c>
      <c r="AD20" s="3185" t="s">
        <v>3268</v>
      </c>
      <c r="AE20" s="3185">
        <v>110000</v>
      </c>
      <c r="AF20" s="3185">
        <v>349000</v>
      </c>
      <c r="AG20" s="3185">
        <v>457500</v>
      </c>
      <c r="AH20" s="3185">
        <v>3909.63</v>
      </c>
      <c r="AI20" s="3185">
        <v>5125.09</v>
      </c>
      <c r="AJ20" s="3185">
        <v>39096.19</v>
      </c>
      <c r="AK20" s="3185">
        <v>51250.73</v>
      </c>
      <c r="AL20" s="3185" t="s">
        <v>2818</v>
      </c>
      <c r="AM20" s="3185" t="s">
        <v>2818</v>
      </c>
      <c r="AN20" s="3185">
        <v>31.09</v>
      </c>
      <c r="AO20" s="3185" t="s">
        <v>3269</v>
      </c>
      <c r="AP20" s="3185" t="s">
        <v>2818</v>
      </c>
      <c r="AQ20" s="3185" t="s">
        <v>2818</v>
      </c>
      <c r="AR20" s="3185" t="s">
        <v>2818</v>
      </c>
    </row>
    <row r="21" spans="1:44" s="3218" customFormat="1" ht="12">
      <c r="A21" s="3218" t="s">
        <v>3270</v>
      </c>
      <c r="B21" s="3218" t="s">
        <v>1947</v>
      </c>
      <c r="C21" s="3218" t="s">
        <v>3069</v>
      </c>
      <c r="D21" s="3218" t="s">
        <v>3221</v>
      </c>
      <c r="E21" s="3218" t="s">
        <v>2818</v>
      </c>
      <c r="F21" s="3218" t="s">
        <v>3271</v>
      </c>
      <c r="G21" s="3218" t="s">
        <v>3072</v>
      </c>
      <c r="H21" s="3218" t="s">
        <v>3272</v>
      </c>
      <c r="I21" s="3218" t="s">
        <v>3330</v>
      </c>
      <c r="J21" s="3218">
        <v>60374.36</v>
      </c>
      <c r="K21" s="3218">
        <v>102636</v>
      </c>
      <c r="L21" s="3218">
        <v>1.7</v>
      </c>
      <c r="M21" s="3218" t="s">
        <v>2818</v>
      </c>
      <c r="N21" s="3218" t="s">
        <v>2818</v>
      </c>
      <c r="O21" s="3218" t="s">
        <v>2818</v>
      </c>
      <c r="P21" s="3218" t="s">
        <v>2818</v>
      </c>
      <c r="Q21" s="3218" t="s">
        <v>2818</v>
      </c>
      <c r="R21" s="3218" t="s">
        <v>2818</v>
      </c>
      <c r="S21" s="3218" t="s">
        <v>3273</v>
      </c>
      <c r="T21" s="3218" t="s">
        <v>3106</v>
      </c>
      <c r="U21" s="3218" t="s">
        <v>3106</v>
      </c>
      <c r="V21" s="3218" t="s">
        <v>2818</v>
      </c>
      <c r="W21" s="3218" t="s">
        <v>3141</v>
      </c>
      <c r="X21" s="3218" t="s">
        <v>3274</v>
      </c>
      <c r="Y21" s="3218" t="s">
        <v>3275</v>
      </c>
      <c r="Z21" s="3218" t="s">
        <v>3276</v>
      </c>
      <c r="AA21" s="3218" t="s">
        <v>3276</v>
      </c>
      <c r="AB21" s="3218" t="s">
        <v>3272</v>
      </c>
      <c r="AC21" s="3218" t="s">
        <v>3082</v>
      </c>
      <c r="AD21" s="3218" t="s">
        <v>3277</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3269</v>
      </c>
      <c r="AP21" s="3218" t="s">
        <v>2818</v>
      </c>
      <c r="AQ21" s="3218" t="s">
        <v>2818</v>
      </c>
      <c r="AR21" s="3218" t="s">
        <v>2818</v>
      </c>
    </row>
    <row r="22" spans="1:44" s="3185" customFormat="1" ht="12">
      <c r="A22" s="3185" t="s">
        <v>3278</v>
      </c>
      <c r="B22" s="3185" t="s">
        <v>1947</v>
      </c>
      <c r="C22" s="3185" t="s">
        <v>3093</v>
      </c>
      <c r="D22" s="3185" t="s">
        <v>3221</v>
      </c>
      <c r="E22" s="3185" t="s">
        <v>2818</v>
      </c>
      <c r="F22" s="3185" t="s">
        <v>3279</v>
      </c>
      <c r="G22" s="3185" t="s">
        <v>3072</v>
      </c>
      <c r="H22" s="3185" t="s">
        <v>3280</v>
      </c>
      <c r="I22" s="3185" t="s">
        <v>3281</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3141</v>
      </c>
      <c r="X22" s="3185" t="s">
        <v>3282</v>
      </c>
      <c r="Y22" s="3185" t="s">
        <v>3283</v>
      </c>
      <c r="Z22" s="3185" t="s">
        <v>3284</v>
      </c>
      <c r="AA22" s="3185" t="s">
        <v>3284</v>
      </c>
      <c r="AB22" s="3185" t="s">
        <v>3280</v>
      </c>
      <c r="AC22" s="3185" t="s">
        <v>3082</v>
      </c>
      <c r="AD22" s="3185" t="s">
        <v>3285</v>
      </c>
      <c r="AE22" s="3185">
        <v>185000</v>
      </c>
      <c r="AF22" s="3185">
        <v>615200</v>
      </c>
      <c r="AG22" s="3185">
        <v>615200</v>
      </c>
      <c r="AH22" s="3185">
        <v>5492.09</v>
      </c>
      <c r="AI22" s="3185">
        <v>5492.09</v>
      </c>
      <c r="AJ22" s="3185">
        <v>25855.47</v>
      </c>
      <c r="AK22" s="3185">
        <v>25855.47</v>
      </c>
      <c r="AL22" s="3185" t="s">
        <v>2818</v>
      </c>
      <c r="AM22" s="3185" t="s">
        <v>2818</v>
      </c>
      <c r="AN22" s="3185">
        <v>0</v>
      </c>
      <c r="AO22" s="3185" t="s">
        <v>3084</v>
      </c>
      <c r="AP22" s="3185" t="s">
        <v>2818</v>
      </c>
      <c r="AQ22" s="3185" t="s">
        <v>2818</v>
      </c>
      <c r="AR22" s="3185" t="s">
        <v>2818</v>
      </c>
    </row>
    <row r="23" spans="1:44" s="3185" customFormat="1" ht="12">
      <c r="A23" s="3185" t="s">
        <v>3286</v>
      </c>
      <c r="B23" s="3185" t="s">
        <v>1947</v>
      </c>
      <c r="C23" s="3185" t="s">
        <v>3093</v>
      </c>
      <c r="D23" s="3185" t="s">
        <v>3221</v>
      </c>
      <c r="E23" s="3185" t="s">
        <v>2818</v>
      </c>
      <c r="F23" s="3185" t="s">
        <v>3287</v>
      </c>
      <c r="G23" s="3185" t="s">
        <v>3072</v>
      </c>
      <c r="H23" s="3185" t="s">
        <v>3288</v>
      </c>
      <c r="I23" s="3185" t="s">
        <v>3289</v>
      </c>
      <c r="J23" s="3185">
        <v>56169.07</v>
      </c>
      <c r="K23" s="3185">
        <v>123983</v>
      </c>
      <c r="L23" s="3185">
        <v>2.21</v>
      </c>
      <c r="M23" s="3185" t="s">
        <v>2818</v>
      </c>
      <c r="N23" s="3185" t="s">
        <v>2818</v>
      </c>
      <c r="O23" s="3185" t="s">
        <v>2818</v>
      </c>
      <c r="P23" s="3185" t="s">
        <v>3157</v>
      </c>
      <c r="Q23" s="3185">
        <v>21100</v>
      </c>
      <c r="R23" s="3185">
        <v>21100</v>
      </c>
      <c r="S23" s="3185" t="s">
        <v>2818</v>
      </c>
      <c r="T23" s="3185" t="s">
        <v>2818</v>
      </c>
      <c r="U23" s="3185" t="s">
        <v>2818</v>
      </c>
      <c r="V23" s="3185" t="s">
        <v>2818</v>
      </c>
      <c r="W23" s="3185" t="s">
        <v>3141</v>
      </c>
      <c r="X23" s="3185" t="s">
        <v>3290</v>
      </c>
      <c r="Y23" s="3185" t="s">
        <v>3291</v>
      </c>
      <c r="Z23" s="3185" t="s">
        <v>3292</v>
      </c>
      <c r="AA23" s="3185" t="s">
        <v>3292</v>
      </c>
      <c r="AB23" s="3185" t="s">
        <v>3288</v>
      </c>
      <c r="AC23" s="3185" t="s">
        <v>3082</v>
      </c>
      <c r="AD23" s="3185" t="s">
        <v>3293</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3084</v>
      </c>
      <c r="AP23" s="3185" t="s">
        <v>2818</v>
      </c>
      <c r="AQ23" s="3185" t="s">
        <v>2818</v>
      </c>
      <c r="AR23" s="3185" t="s">
        <v>2818</v>
      </c>
    </row>
    <row r="24" spans="1:44" s="3219" customFormat="1" ht="12">
      <c r="A24" s="3219" t="s">
        <v>3294</v>
      </c>
      <c r="B24" s="3219" t="s">
        <v>1947</v>
      </c>
      <c r="C24" s="3219" t="s">
        <v>3093</v>
      </c>
      <c r="D24" s="3219" t="s">
        <v>3221</v>
      </c>
      <c r="E24" s="3219" t="s">
        <v>2818</v>
      </c>
      <c r="F24" s="3219" t="s">
        <v>3295</v>
      </c>
      <c r="G24" s="3219" t="s">
        <v>3072</v>
      </c>
      <c r="H24" s="3219" t="s">
        <v>3296</v>
      </c>
      <c r="I24" s="3219" t="s">
        <v>3114</v>
      </c>
      <c r="J24" s="3219">
        <v>41963.66</v>
      </c>
      <c r="K24" s="3219">
        <v>117498</v>
      </c>
      <c r="L24" s="3219">
        <v>2.8</v>
      </c>
      <c r="M24" s="3219" t="s">
        <v>2818</v>
      </c>
      <c r="N24" s="3219" t="s">
        <v>2818</v>
      </c>
      <c r="O24" s="3219" t="s">
        <v>2818</v>
      </c>
      <c r="P24" s="3219" t="s">
        <v>3297</v>
      </c>
      <c r="Q24" s="3219">
        <v>28000</v>
      </c>
      <c r="R24" s="3219">
        <v>28000</v>
      </c>
      <c r="S24" s="3219" t="s">
        <v>3298</v>
      </c>
      <c r="T24" s="3219" t="s">
        <v>2818</v>
      </c>
      <c r="U24" s="3219" t="s">
        <v>2818</v>
      </c>
      <c r="V24" s="3219" t="s">
        <v>2818</v>
      </c>
      <c r="W24" s="3219" t="s">
        <v>3141</v>
      </c>
      <c r="X24" s="3219" t="s">
        <v>3299</v>
      </c>
      <c r="Y24" s="3219" t="s">
        <v>3300</v>
      </c>
      <c r="Z24" s="3219" t="s">
        <v>3301</v>
      </c>
      <c r="AA24" s="3219" t="s">
        <v>3301</v>
      </c>
      <c r="AB24" s="3219" t="s">
        <v>3296</v>
      </c>
      <c r="AC24" s="3219" t="s">
        <v>3082</v>
      </c>
      <c r="AD24" s="3219" t="s">
        <v>3302</v>
      </c>
      <c r="AE24" s="3219">
        <v>66000</v>
      </c>
      <c r="AF24" s="3219">
        <v>220000</v>
      </c>
      <c r="AG24" s="3219">
        <v>330000</v>
      </c>
      <c r="AH24" s="3219">
        <v>3495.09</v>
      </c>
      <c r="AI24" s="3219">
        <v>5242.63</v>
      </c>
      <c r="AJ24" s="3219">
        <v>18723.72</v>
      </c>
      <c r="AK24" s="3219">
        <v>28085.58</v>
      </c>
      <c r="AL24" s="3219">
        <v>24582</v>
      </c>
      <c r="AM24" s="3219">
        <v>36872</v>
      </c>
      <c r="AN24" s="3219">
        <v>50</v>
      </c>
      <c r="AO24" s="3219" t="s">
        <v>3084</v>
      </c>
      <c r="AP24" s="3219" t="s">
        <v>2818</v>
      </c>
      <c r="AQ24" s="3219" t="s">
        <v>2818</v>
      </c>
      <c r="AR24" s="3219" t="s">
        <v>2818</v>
      </c>
    </row>
    <row r="25" spans="1:44" s="3185" customFormat="1" ht="12">
      <c r="A25" s="3185" t="s">
        <v>3303</v>
      </c>
      <c r="B25" s="3185" t="s">
        <v>1947</v>
      </c>
      <c r="C25" s="3185" t="s">
        <v>3093</v>
      </c>
      <c r="D25" s="3185" t="s">
        <v>3221</v>
      </c>
      <c r="E25" s="3185" t="s">
        <v>2818</v>
      </c>
      <c r="F25" s="3185" t="s">
        <v>3263</v>
      </c>
      <c r="G25" s="3185" t="s">
        <v>3072</v>
      </c>
      <c r="H25" s="3185" t="s">
        <v>3304</v>
      </c>
      <c r="I25" s="3185" t="s">
        <v>3305</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3165</v>
      </c>
      <c r="X25" s="3185" t="s">
        <v>3306</v>
      </c>
      <c r="Y25" s="3185" t="s">
        <v>3307</v>
      </c>
      <c r="Z25" s="3185" t="s">
        <v>3308</v>
      </c>
      <c r="AA25" s="3185" t="s">
        <v>3308</v>
      </c>
      <c r="AB25" s="3185" t="s">
        <v>3304</v>
      </c>
      <c r="AC25" s="3185" t="s">
        <v>3082</v>
      </c>
      <c r="AD25" s="3185" t="s">
        <v>3309</v>
      </c>
      <c r="AE25" s="3185">
        <v>58800</v>
      </c>
      <c r="AF25" s="3185">
        <v>196000</v>
      </c>
      <c r="AG25" s="3185">
        <v>294000</v>
      </c>
      <c r="AH25" s="3185">
        <v>1890.34</v>
      </c>
      <c r="AI25" s="3185">
        <v>2835.51</v>
      </c>
      <c r="AJ25" s="3185">
        <v>21811.7</v>
      </c>
      <c r="AK25" s="3185">
        <v>32717.56</v>
      </c>
      <c r="AL25" s="3185" t="s">
        <v>2818</v>
      </c>
      <c r="AM25" s="3185" t="s">
        <v>2818</v>
      </c>
      <c r="AN25" s="3185">
        <v>50</v>
      </c>
      <c r="AO25" s="3185" t="s">
        <v>3310</v>
      </c>
      <c r="AP25" s="3185" t="s">
        <v>2818</v>
      </c>
      <c r="AQ25" s="3185" t="s">
        <v>2818</v>
      </c>
      <c r="AR25" s="3185" t="s">
        <v>2818</v>
      </c>
    </row>
    <row r="26" spans="1:44" s="3185" customFormat="1" ht="12">
      <c r="A26" s="3185" t="s">
        <v>3311</v>
      </c>
      <c r="B26" s="3185" t="s">
        <v>1947</v>
      </c>
      <c r="C26" s="3185" t="s">
        <v>3093</v>
      </c>
      <c r="D26" s="3185" t="s">
        <v>3221</v>
      </c>
      <c r="E26" s="3185" t="s">
        <v>2818</v>
      </c>
      <c r="F26" s="3185" t="s">
        <v>3312</v>
      </c>
      <c r="G26" s="3185" t="s">
        <v>3072</v>
      </c>
      <c r="H26" s="3185" t="s">
        <v>3313</v>
      </c>
      <c r="I26" s="3185" t="s">
        <v>3114</v>
      </c>
      <c r="J26" s="3185">
        <v>63913.14</v>
      </c>
      <c r="K26" s="3185">
        <v>159783</v>
      </c>
      <c r="L26" s="3185">
        <v>2.5</v>
      </c>
      <c r="M26" s="3185" t="s">
        <v>2818</v>
      </c>
      <c r="N26" s="3185" t="s">
        <v>2818</v>
      </c>
      <c r="O26" s="3185" t="s">
        <v>2818</v>
      </c>
      <c r="P26" s="3185" t="s">
        <v>3297</v>
      </c>
      <c r="Q26" s="3185">
        <v>34000</v>
      </c>
      <c r="R26" s="3185">
        <v>89000</v>
      </c>
      <c r="S26" s="3185" t="s">
        <v>2818</v>
      </c>
      <c r="T26" s="3185" t="s">
        <v>2818</v>
      </c>
      <c r="U26" s="3185" t="s">
        <v>2818</v>
      </c>
      <c r="V26" s="3185" t="s">
        <v>2818</v>
      </c>
      <c r="W26" s="3185" t="s">
        <v>3165</v>
      </c>
      <c r="X26" s="3185" t="s">
        <v>3314</v>
      </c>
      <c r="Y26" s="3185" t="s">
        <v>3315</v>
      </c>
      <c r="Z26" s="3185" t="s">
        <v>3316</v>
      </c>
      <c r="AA26" s="3185" t="s">
        <v>3316</v>
      </c>
      <c r="AB26" s="3185" t="s">
        <v>3313</v>
      </c>
      <c r="AC26" s="3185" t="s">
        <v>3082</v>
      </c>
      <c r="AD26" s="3185" t="s">
        <v>3317</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3310</v>
      </c>
      <c r="AP26" s="3185" t="s">
        <v>2818</v>
      </c>
      <c r="AQ26" s="3185" t="s">
        <v>2818</v>
      </c>
      <c r="AR26" s="3185" t="s">
        <v>2818</v>
      </c>
    </row>
    <row r="27" spans="1:44" s="3185" customFormat="1" ht="12">
      <c r="A27" s="3185" t="s">
        <v>3318</v>
      </c>
      <c r="B27" s="3185" t="s">
        <v>1947</v>
      </c>
      <c r="C27" s="3185" t="s">
        <v>3093</v>
      </c>
      <c r="D27" s="3185" t="s">
        <v>3221</v>
      </c>
      <c r="E27" s="3185" t="s">
        <v>2818</v>
      </c>
      <c r="F27" s="3185" t="s">
        <v>3319</v>
      </c>
      <c r="G27" s="3185" t="s">
        <v>3072</v>
      </c>
      <c r="H27" s="3185" t="s">
        <v>3320</v>
      </c>
      <c r="I27" s="3185" t="s">
        <v>3321</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3165</v>
      </c>
      <c r="X27" s="3185" t="s">
        <v>3322</v>
      </c>
      <c r="Y27" s="3185" t="s">
        <v>3323</v>
      </c>
      <c r="Z27" s="3185" t="s">
        <v>3324</v>
      </c>
      <c r="AA27" s="3185" t="s">
        <v>3324</v>
      </c>
      <c r="AB27" s="3185" t="s">
        <v>3320</v>
      </c>
      <c r="AC27" s="3185" t="s">
        <v>3082</v>
      </c>
      <c r="AD27" s="3185" t="s">
        <v>3325</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3310</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F9" sqref="F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200682</v>
      </c>
      <c r="C2" s="2104"/>
      <c r="D2" s="2104"/>
      <c r="E2" s="2104"/>
      <c r="F2" s="2104"/>
      <c r="G2" s="2104"/>
      <c r="H2" s="2104"/>
      <c r="I2" s="2104"/>
      <c r="J2" s="2104"/>
      <c r="K2" s="2104"/>
    </row>
    <row r="3" spans="1:31" s="2041" customFormat="1" ht="18" customHeight="1">
      <c r="A3" s="2106" t="s">
        <v>1684</v>
      </c>
      <c r="B3" s="2107">
        <f ca="1">ROUND(B2*10000/IF(B1="",'数据-汇总表'!E3,INDIRECT("'数据-取费表'!K"&amp;$K$1)),0)</f>
        <v>17693</v>
      </c>
      <c r="C3" s="2104"/>
      <c r="D3" s="2104"/>
      <c r="E3" s="2104"/>
      <c r="F3" s="2104"/>
      <c r="G3" s="2104"/>
      <c r="H3" s="2104"/>
      <c r="I3" s="2104"/>
      <c r="J3" s="2104"/>
      <c r="K3" s="2104"/>
    </row>
    <row r="4" spans="1:31" s="2041" customFormat="1" ht="18" customHeight="1">
      <c r="A4" s="426" t="s">
        <v>467</v>
      </c>
      <c r="B4" s="427">
        <f ca="1">ROUND(B2*10000/IF(B1="",'数据-汇总表'!D3,INDIRECT("'数据-取费表'!R"&amp;$K$1)),0)</f>
        <v>63683</v>
      </c>
      <c r="C4" s="428"/>
      <c r="D4" s="422"/>
      <c r="E4" s="422"/>
      <c r="F4" s="422"/>
      <c r="G4" s="422"/>
      <c r="H4" s="422"/>
      <c r="I4" s="422"/>
      <c r="J4" s="422"/>
      <c r="K4" s="422"/>
    </row>
    <row r="5" spans="1:31" s="2041" customFormat="1" ht="18" customHeight="1" thickBot="1">
      <c r="A5" s="429"/>
      <c r="B5" s="430">
        <f ca="1">ROUND(B2/(IF(B1="",'数据-汇总表'!D3,INDIRECT("'数据-取费表'!R"&amp;$K$1))/666.67),0)</f>
        <v>4246</v>
      </c>
      <c r="C5" s="431" t="s">
        <v>468</v>
      </c>
      <c r="D5" s="422"/>
      <c r="E5" s="422"/>
      <c r="F5" s="422"/>
      <c r="G5" s="422"/>
      <c r="H5" s="422"/>
      <c r="I5" s="422"/>
      <c r="J5" s="422"/>
      <c r="K5" s="422"/>
    </row>
    <row r="6" spans="1:31" s="2111" customFormat="1" ht="16.5" customHeight="1">
      <c r="A6" s="2852" t="s">
        <v>1842</v>
      </c>
      <c r="B6" s="2853"/>
      <c r="C6" s="2854">
        <f ca="1">SUM(C10:K10)</f>
        <v>310466</v>
      </c>
      <c r="D6" s="2853"/>
      <c r="E6" s="2853"/>
      <c r="F6" s="2853"/>
      <c r="G6" s="2853"/>
      <c r="H6" s="2853"/>
      <c r="I6" s="2853"/>
      <c r="J6" s="2853"/>
      <c r="K6" s="2855"/>
    </row>
    <row r="7" spans="1:31" s="2113" customFormat="1" ht="15">
      <c r="A7" s="2856" t="s">
        <v>469</v>
      </c>
      <c r="B7" s="2857" t="s">
        <v>470</v>
      </c>
      <c r="C7" s="436" t="s">
        <v>922</v>
      </c>
      <c r="D7" s="436" t="s">
        <v>3011</v>
      </c>
      <c r="E7" s="436" t="s">
        <v>35</v>
      </c>
      <c r="F7" s="436" t="s">
        <v>3009</v>
      </c>
      <c r="G7" s="436"/>
      <c r="H7" s="436"/>
      <c r="I7" s="436"/>
      <c r="J7" s="436"/>
      <c r="K7" s="437"/>
      <c r="L7" s="3182"/>
      <c r="M7" s="3182" t="s">
        <v>3024</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16545</v>
      </c>
      <c r="E8" s="2858">
        <f>'不动产比较法-车位'!B3</f>
        <v>9832</v>
      </c>
      <c r="F8" s="2858">
        <f ca="1">'不动产收益法-商业'!B3</f>
        <v>33346</v>
      </c>
      <c r="G8" s="2858"/>
      <c r="H8" s="2858"/>
      <c r="I8" s="2858"/>
      <c r="J8" s="2858"/>
      <c r="K8" s="2859"/>
      <c r="L8" s="3183">
        <f ca="1">C8+D8</f>
        <v>54345</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71686.3</v>
      </c>
      <c r="D9" s="441">
        <f>SUMIF('数据-汇总表'!$C19:$C33,'剩余法-待开发'!D7,'数据-汇总表'!$E19:$E33)</f>
        <v>8977.4699999999993</v>
      </c>
      <c r="E9" s="441">
        <f>SUMIF('数据-汇总表'!$C19:$C33,'剩余法-待开发'!E7,'数据-汇总表'!$E19:$E33)</f>
        <v>24706.579999999998</v>
      </c>
      <c r="F9" s="441">
        <f>SUMIF('数据-汇总表'!$C19:$C33,'剩余法-待开发'!F7,'数据-汇总表'!$E19:$E33)</f>
        <v>104.06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14853</v>
      </c>
      <c r="E10" s="3050">
        <f>'不动产比较法-车位'!B2</f>
        <v>24292</v>
      </c>
      <c r="F10" s="2861">
        <f ca="1">'不动产收益法-商业'!B2</f>
        <v>347</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33294</v>
      </c>
      <c r="D13" s="2868"/>
      <c r="E13" s="2869"/>
      <c r="F13" s="2870"/>
      <c r="G13" s="2836"/>
      <c r="H13" s="2837"/>
      <c r="I13" s="2837"/>
      <c r="J13" s="2837"/>
      <c r="K13" s="2838"/>
    </row>
    <row r="14" spans="1:31" s="2116" customFormat="1" ht="13.5" customHeight="1">
      <c r="A14" s="2866" t="s">
        <v>1849</v>
      </c>
      <c r="B14" s="2867" t="s">
        <v>479</v>
      </c>
      <c r="C14" s="53">
        <f ca="1">ROUND(C13*F14,0)</f>
        <v>999</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2268</v>
      </c>
      <c r="D16" s="2868">
        <f ca="1">IF(B1="",'数据-汇总表'!E3,INDIRECT("'数据-取费表'!K"&amp;$K$1)+INDIRECT("'数据-取费表'!S"&amp;$K$1))</f>
        <v>113422.40000000001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499</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37519</v>
      </c>
      <c r="D18" s="2877"/>
      <c r="E18" s="468"/>
      <c r="F18" s="468"/>
      <c r="G18" s="2840" t="s">
        <v>2431</v>
      </c>
      <c r="H18" s="2841"/>
      <c r="I18" s="2841"/>
      <c r="J18" s="2841"/>
      <c r="K18" s="2842"/>
    </row>
    <row r="19" spans="1:14" s="2116" customFormat="1" ht="13.5" customHeight="1">
      <c r="A19" s="2874" t="s">
        <v>1854</v>
      </c>
      <c r="B19" s="2875" t="s">
        <v>487</v>
      </c>
      <c r="C19" s="2832">
        <f ca="1">ROUND(D19*E19/10000,0)</f>
        <v>794</v>
      </c>
      <c r="D19" s="2878">
        <f ca="1">D16</f>
        <v>113422.40000000001</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1982</v>
      </c>
      <c r="D20" s="2878"/>
      <c r="E20" s="2832"/>
      <c r="F20" s="2879"/>
      <c r="G20" s="3109" t="s">
        <v>3023</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71686.3</v>
      </c>
      <c r="E21" s="53">
        <f>'数据-取费表'!B27</f>
        <v>160</v>
      </c>
      <c r="F21" s="2871"/>
      <c r="G21" s="26"/>
      <c r="H21" s="51"/>
      <c r="I21" s="51"/>
      <c r="J21" s="51"/>
      <c r="K21" s="2843"/>
    </row>
    <row r="22" spans="1:14" s="2116" customFormat="1" ht="13.5" customHeight="1">
      <c r="A22" s="2866" t="s">
        <v>1857</v>
      </c>
      <c r="B22" s="2867" t="s">
        <v>491</v>
      </c>
      <c r="C22" s="53">
        <f ca="1">ROUND(D22*E22/10000,0)</f>
        <v>835</v>
      </c>
      <c r="D22" s="2868">
        <f ca="1">IF(B1="",'数据-汇总表'!E6,IF(INDIRECT("'数据-取费表'!c"&amp;$K$1)="住宅",INDIRECT("'数据-取费表'!s"&amp;$K$1),INDIRECT("'数据-取费表'!k"&amp;$K$1)+INDIRECT("'数据-取费表'!s"&amp;$K$1)))</f>
        <v>41736.100000000006</v>
      </c>
      <c r="E22" s="53">
        <f>'数据-取费表'!B28</f>
        <v>200</v>
      </c>
      <c r="F22" s="2871"/>
      <c r="G22" s="26"/>
      <c r="H22" s="51"/>
      <c r="I22" s="51"/>
      <c r="J22" s="51"/>
      <c r="K22" s="2843"/>
    </row>
    <row r="23" spans="1:14" s="2116" customFormat="1" ht="13.5" customHeight="1">
      <c r="A23" s="2874" t="s">
        <v>1858</v>
      </c>
      <c r="B23" s="3056" t="s">
        <v>2834</v>
      </c>
      <c r="C23" s="2876">
        <f ca="1">ROUND((C18+C19+C20)*F23,0)</f>
        <v>806</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6209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2247</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2247</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16558</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66115</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66115</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3312</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3312</v>
      </c>
      <c r="D35" s="1628"/>
      <c r="E35" s="2888"/>
      <c r="F35" s="1629"/>
      <c r="G35" s="2846"/>
      <c r="H35" s="2847"/>
      <c r="I35" s="2847"/>
      <c r="J35" s="2847"/>
      <c r="K35" s="2848"/>
    </row>
    <row r="36" spans="1:11" s="2085" customFormat="1" ht="13.5" customHeight="1" thickBot="1">
      <c r="A36" s="284" t="s">
        <v>1844</v>
      </c>
      <c r="B36" s="2850"/>
      <c r="C36" s="2889">
        <f ca="1">ROUND((C6-C30-C33)/(1+D30+D33),0)</f>
        <v>200682</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01" t="s">
        <v>521</v>
      </c>
      <c r="D6" s="3402"/>
      <c r="E6" s="3440" t="s">
        <v>522</v>
      </c>
      <c r="F6" s="3441"/>
      <c r="G6" s="3401" t="s">
        <v>523</v>
      </c>
      <c r="H6" s="3402"/>
      <c r="I6" s="3401" t="s">
        <v>524</v>
      </c>
      <c r="J6" s="3402"/>
      <c r="K6" s="514" t="s">
        <v>525</v>
      </c>
      <c r="L6" s="2133"/>
      <c r="M6" s="2134"/>
      <c r="N6" s="2134"/>
      <c r="O6" s="2134"/>
      <c r="P6" s="3403" t="s">
        <v>526</v>
      </c>
      <c r="Q6" s="3404"/>
      <c r="R6" s="3409" t="s">
        <v>522</v>
      </c>
      <c r="S6" s="3410"/>
      <c r="T6" s="3409" t="s">
        <v>523</v>
      </c>
      <c r="U6" s="3410"/>
      <c r="V6" s="3396" t="s">
        <v>524</v>
      </c>
      <c r="W6" s="3396"/>
      <c r="X6" s="1566"/>
      <c r="Y6" s="3409" t="s">
        <v>526</v>
      </c>
      <c r="Z6" s="3410"/>
      <c r="AA6" s="3398" t="s">
        <v>522</v>
      </c>
      <c r="AB6" s="3399" t="s">
        <v>523</v>
      </c>
      <c r="AC6" s="3398" t="s">
        <v>524</v>
      </c>
    </row>
    <row r="7" spans="1:29" ht="15">
      <c r="A7" s="515"/>
      <c r="B7" s="516"/>
      <c r="C7" s="3434" t="s">
        <v>2926</v>
      </c>
      <c r="D7" s="3435"/>
      <c r="E7" s="3442" t="s">
        <v>2927</v>
      </c>
      <c r="F7" s="3443"/>
      <c r="G7" s="3434" t="s">
        <v>2928</v>
      </c>
      <c r="H7" s="3435"/>
      <c r="I7" s="3434" t="s">
        <v>2929</v>
      </c>
      <c r="J7" s="3435"/>
      <c r="K7" s="514"/>
      <c r="L7" s="2133"/>
      <c r="M7" s="2134"/>
      <c r="N7" s="2134"/>
      <c r="O7" s="2134"/>
      <c r="P7" s="3405"/>
      <c r="Q7" s="3406"/>
      <c r="R7" s="3411"/>
      <c r="S7" s="3412"/>
      <c r="T7" s="3411"/>
      <c r="U7" s="3412"/>
      <c r="V7" s="3396"/>
      <c r="W7" s="3396"/>
      <c r="X7" s="1566"/>
      <c r="Y7" s="3411"/>
      <c r="Z7" s="3412"/>
      <c r="AA7" s="3399"/>
      <c r="AB7" s="3399"/>
      <c r="AC7" s="3399"/>
    </row>
    <row r="8" spans="1:29" ht="15.75" thickBot="1">
      <c r="A8" s="517"/>
      <c r="B8" s="518"/>
      <c r="C8" s="3436" t="s">
        <v>2930</v>
      </c>
      <c r="D8" s="3437"/>
      <c r="E8" s="3438" t="s">
        <v>2930</v>
      </c>
      <c r="F8" s="3439"/>
      <c r="G8" s="3436" t="s">
        <v>2930</v>
      </c>
      <c r="H8" s="3437"/>
      <c r="I8" s="3436" t="s">
        <v>2930</v>
      </c>
      <c r="J8" s="3437"/>
      <c r="K8" s="514" t="s">
        <v>527</v>
      </c>
      <c r="L8" s="2133"/>
      <c r="M8" s="2134"/>
      <c r="N8" s="2134"/>
      <c r="O8" s="2134"/>
      <c r="P8" s="3407"/>
      <c r="Q8" s="3408"/>
      <c r="R8" s="3411"/>
      <c r="S8" s="3412"/>
      <c r="T8" s="3413"/>
      <c r="U8" s="3414"/>
      <c r="V8" s="3396"/>
      <c r="W8" s="3396"/>
      <c r="X8" s="1566"/>
      <c r="Y8" s="3413"/>
      <c r="Z8" s="3414"/>
      <c r="AA8" s="3400"/>
      <c r="AB8" s="3400"/>
      <c r="AC8" s="3400"/>
    </row>
    <row r="9" spans="1:29" s="1220" customFormat="1" ht="15.75" thickBot="1">
      <c r="A9" s="2936"/>
      <c r="B9" s="2943" t="s">
        <v>528</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7" t="s">
        <v>529</v>
      </c>
      <c r="Q9" s="3429"/>
      <c r="R9" s="1567" t="s">
        <v>8</v>
      </c>
      <c r="S9" s="1568">
        <f t="shared" ref="S9:S17" si="0">F9</f>
        <v>0</v>
      </c>
      <c r="T9" s="1567" t="s">
        <v>8</v>
      </c>
      <c r="U9" s="1568">
        <f t="shared" ref="U9:U17" si="1">H9</f>
        <v>0</v>
      </c>
      <c r="V9" s="1567" t="s">
        <v>8</v>
      </c>
      <c r="W9" s="1568">
        <f t="shared" ref="W9:W17" si="2">J9</f>
        <v>0</v>
      </c>
      <c r="X9" s="1569"/>
      <c r="Y9" s="3427" t="s">
        <v>529</v>
      </c>
      <c r="Z9" s="3428"/>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7" t="s">
        <v>532</v>
      </c>
      <c r="Q10" s="3428"/>
      <c r="R10" s="1567" t="s">
        <v>8</v>
      </c>
      <c r="S10" s="1568">
        <f t="shared" si="0"/>
        <v>0</v>
      </c>
      <c r="T10" s="1567" t="s">
        <v>8</v>
      </c>
      <c r="U10" s="1568">
        <f t="shared" si="1"/>
        <v>0</v>
      </c>
      <c r="V10" s="1567" t="s">
        <v>8</v>
      </c>
      <c r="W10" s="1568">
        <f t="shared" si="2"/>
        <v>0</v>
      </c>
      <c r="X10" s="1569"/>
      <c r="Y10" s="3427" t="s">
        <v>532</v>
      </c>
      <c r="Z10" s="3428"/>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5" t="s">
        <v>534</v>
      </c>
      <c r="Q11" s="1151" t="str">
        <f t="shared" ref="Q11:Q17" si="6">B11</f>
        <v>用途</v>
      </c>
      <c r="R11" s="1567" t="s">
        <v>8</v>
      </c>
      <c r="S11" s="1568">
        <f t="shared" si="0"/>
        <v>100</v>
      </c>
      <c r="T11" s="1567" t="s">
        <v>8</v>
      </c>
      <c r="U11" s="1568">
        <f t="shared" si="1"/>
        <v>100</v>
      </c>
      <c r="V11" s="1567" t="s">
        <v>8</v>
      </c>
      <c r="W11" s="1568">
        <f t="shared" si="2"/>
        <v>100</v>
      </c>
      <c r="X11" s="1569"/>
      <c r="Y11" s="3341"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95"/>
      <c r="Q12" s="1151" t="str">
        <f t="shared" si="6"/>
        <v>土地使用年限（年）</v>
      </c>
      <c r="R12" s="1567" t="s">
        <v>8</v>
      </c>
      <c r="S12" s="1568">
        <f t="shared" si="0"/>
        <v>101</v>
      </c>
      <c r="T12" s="1567" t="s">
        <v>8</v>
      </c>
      <c r="U12" s="1568">
        <f t="shared" si="1"/>
        <v>101</v>
      </c>
      <c r="V12" s="1567" t="s">
        <v>8</v>
      </c>
      <c r="W12" s="1568">
        <f t="shared" si="2"/>
        <v>101</v>
      </c>
      <c r="X12" s="1569"/>
      <c r="Y12" s="3341"/>
      <c r="Z12" s="1150" t="str">
        <f t="shared" si="7"/>
        <v>土地使用年限（年）</v>
      </c>
      <c r="AA12" s="1570">
        <f t="shared" si="3"/>
        <v>0.99009900990099009</v>
      </c>
      <c r="AB12" s="1570">
        <f t="shared" si="4"/>
        <v>0.99009900990099009</v>
      </c>
      <c r="AC12" s="1570">
        <f t="shared" si="5"/>
        <v>0.99009900990099009</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5"/>
      <c r="Q13" s="1151" t="str">
        <f t="shared" si="6"/>
        <v>容积率</v>
      </c>
      <c r="R13" s="1567" t="s">
        <v>8</v>
      </c>
      <c r="S13" s="1568" t="e">
        <f t="shared" si="0"/>
        <v>#N/A</v>
      </c>
      <c r="T13" s="1567" t="s">
        <v>8</v>
      </c>
      <c r="U13" s="1568" t="e">
        <f t="shared" si="1"/>
        <v>#N/A</v>
      </c>
      <c r="V13" s="1567" t="s">
        <v>8</v>
      </c>
      <c r="W13" s="1568" t="e">
        <f t="shared" si="2"/>
        <v>#N/A</v>
      </c>
      <c r="X13" s="1569"/>
      <c r="Y13" s="3341"/>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5"/>
      <c r="Q15" s="1151">
        <f t="shared" si="6"/>
        <v>111</v>
      </c>
      <c r="R15" s="1567" t="s">
        <v>8</v>
      </c>
      <c r="S15" s="1568">
        <f t="shared" si="0"/>
        <v>100</v>
      </c>
      <c r="T15" s="1567" t="s">
        <v>8</v>
      </c>
      <c r="U15" s="1568">
        <f t="shared" si="1"/>
        <v>100</v>
      </c>
      <c r="V15" s="1567" t="s">
        <v>8</v>
      </c>
      <c r="W15" s="1568">
        <f t="shared" si="2"/>
        <v>100</v>
      </c>
      <c r="X15" s="1569"/>
      <c r="Y15" s="3341"/>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5"/>
      <c r="Q16" s="1151">
        <f t="shared" si="6"/>
        <v>111</v>
      </c>
      <c r="R16" s="1567" t="s">
        <v>8</v>
      </c>
      <c r="S16" s="1568">
        <f t="shared" si="0"/>
        <v>100</v>
      </c>
      <c r="T16" s="1567" t="s">
        <v>8</v>
      </c>
      <c r="U16" s="1568">
        <f t="shared" si="1"/>
        <v>100</v>
      </c>
      <c r="V16" s="1567" t="s">
        <v>8</v>
      </c>
      <c r="W16" s="1568">
        <f t="shared" si="2"/>
        <v>100</v>
      </c>
      <c r="X16" s="1569"/>
      <c r="Y16" s="3341"/>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0" t="s">
        <v>539</v>
      </c>
      <c r="Q17" s="1571" t="str">
        <f t="shared" si="6"/>
        <v>产业集聚程度</v>
      </c>
      <c r="R17" s="1572" t="s">
        <v>8</v>
      </c>
      <c r="S17" s="1573">
        <f t="shared" si="0"/>
        <v>100</v>
      </c>
      <c r="T17" s="1572" t="s">
        <v>8</v>
      </c>
      <c r="U17" s="1573">
        <f t="shared" si="1"/>
        <v>100</v>
      </c>
      <c r="V17" s="1572" t="s">
        <v>8</v>
      </c>
      <c r="W17" s="1573">
        <f t="shared" si="2"/>
        <v>100</v>
      </c>
      <c r="X17" s="1566"/>
      <c r="Y17" s="343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1"/>
      <c r="Q18" s="1571"/>
      <c r="R18" s="1572"/>
      <c r="S18" s="1573"/>
      <c r="T18" s="1572"/>
      <c r="U18" s="1573"/>
      <c r="V18" s="1572"/>
      <c r="W18" s="1573"/>
      <c r="X18" s="1566"/>
      <c r="Y18" s="343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1"/>
      <c r="Q19" s="1571" t="str">
        <f>B19</f>
        <v>交通便捷度</v>
      </c>
      <c r="R19" s="1572" t="s">
        <v>8</v>
      </c>
      <c r="S19" s="1573">
        <f>F19</f>
        <v>100</v>
      </c>
      <c r="T19" s="1572" t="s">
        <v>8</v>
      </c>
      <c r="U19" s="1573">
        <f>H19</f>
        <v>100</v>
      </c>
      <c r="V19" s="1572" t="s">
        <v>8</v>
      </c>
      <c r="W19" s="1573">
        <f>J19</f>
        <v>100</v>
      </c>
      <c r="X19" s="1566"/>
      <c r="Y19" s="343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1"/>
      <c r="Q21" s="1571" t="str">
        <f t="shared" ref="Q21:Q35" si="8">B21</f>
        <v>区域土地利用方向</v>
      </c>
      <c r="R21" s="1572" t="s">
        <v>8</v>
      </c>
      <c r="S21" s="1573">
        <f>F21</f>
        <v>100</v>
      </c>
      <c r="T21" s="1572" t="s">
        <v>8</v>
      </c>
      <c r="U21" s="1573">
        <f>H21</f>
        <v>100</v>
      </c>
      <c r="V21" s="1572" t="s">
        <v>8</v>
      </c>
      <c r="W21" s="1573">
        <f>J21</f>
        <v>100</v>
      </c>
      <c r="X21" s="1566"/>
      <c r="Y21" s="343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1"/>
      <c r="Q22" s="1571"/>
      <c r="R22" s="1572"/>
      <c r="S22" s="1573"/>
      <c r="T22" s="1572"/>
      <c r="U22" s="1573"/>
      <c r="V22" s="1572"/>
      <c r="W22" s="1573"/>
      <c r="X22" s="1566"/>
      <c r="Y22" s="343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1"/>
      <c r="Q23" s="1571" t="str">
        <f t="shared" si="8"/>
        <v>环境状况</v>
      </c>
      <c r="R23" s="1572" t="s">
        <v>8</v>
      </c>
      <c r="S23" s="1573">
        <f>F23</f>
        <v>100</v>
      </c>
      <c r="T23" s="1572" t="s">
        <v>8</v>
      </c>
      <c r="U23" s="1573">
        <f>H23</f>
        <v>100</v>
      </c>
      <c r="V23" s="1572" t="s">
        <v>8</v>
      </c>
      <c r="W23" s="1573">
        <f>J23</f>
        <v>100</v>
      </c>
      <c r="X23" s="1566"/>
      <c r="Y23" s="343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1"/>
      <c r="Q24" s="1571"/>
      <c r="R24" s="1572"/>
      <c r="S24" s="1573"/>
      <c r="T24" s="1572"/>
      <c r="U24" s="1573"/>
      <c r="V24" s="1572"/>
      <c r="W24" s="1573"/>
      <c r="X24" s="1566"/>
      <c r="Y24" s="3431"/>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1"/>
      <c r="Q25" s="1151" t="str">
        <f t="shared" si="8"/>
        <v>公共配套设施</v>
      </c>
      <c r="R25" s="1567" t="s">
        <v>8</v>
      </c>
      <c r="S25" s="1568">
        <f>F25</f>
        <v>100</v>
      </c>
      <c r="T25" s="1567" t="s">
        <v>8</v>
      </c>
      <c r="U25" s="1568">
        <f>H25</f>
        <v>100</v>
      </c>
      <c r="V25" s="1567" t="s">
        <v>8</v>
      </c>
      <c r="W25" s="1568">
        <f>J25</f>
        <v>100</v>
      </c>
      <c r="X25" s="1569"/>
      <c r="Y25" s="343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31"/>
      <c r="Q26" s="1151"/>
      <c r="R26" s="1567"/>
      <c r="S26" s="1568"/>
      <c r="T26" s="1567"/>
      <c r="U26" s="1568"/>
      <c r="V26" s="1567"/>
      <c r="W26" s="1568"/>
      <c r="X26" s="1569"/>
      <c r="Y26" s="3431"/>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1"/>
      <c r="Q27" s="2602" t="str">
        <f t="shared" ref="Q27" si="9">B27</f>
        <v>基础设施水平</v>
      </c>
      <c r="R27" s="1567" t="s">
        <v>8</v>
      </c>
      <c r="S27" s="1568">
        <f>F27</f>
        <v>100</v>
      </c>
      <c r="T27" s="1567" t="s">
        <v>8</v>
      </c>
      <c r="U27" s="1568">
        <f>H27</f>
        <v>100</v>
      </c>
      <c r="V27" s="1567" t="s">
        <v>8</v>
      </c>
      <c r="W27" s="1568">
        <f>J27</f>
        <v>100</v>
      </c>
      <c r="X27" s="1569"/>
      <c r="Y27" s="343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31"/>
      <c r="Q28" s="2602"/>
      <c r="R28" s="1567"/>
      <c r="S28" s="1568"/>
      <c r="T28" s="1567"/>
      <c r="U28" s="1568"/>
      <c r="V28" s="1567"/>
      <c r="W28" s="1568"/>
      <c r="X28" s="1569"/>
      <c r="Y28" s="343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1"/>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1"/>
      <c r="Q30" s="1571" t="str">
        <f t="shared" si="8"/>
        <v>毗邻道路的类型与等级</v>
      </c>
      <c r="R30" s="1572" t="s">
        <v>8</v>
      </c>
      <c r="S30" s="1573">
        <f t="shared" si="10"/>
        <v>100</v>
      </c>
      <c r="T30" s="1572" t="s">
        <v>8</v>
      </c>
      <c r="U30" s="1573">
        <f t="shared" si="11"/>
        <v>100</v>
      </c>
      <c r="V30" s="1572" t="s">
        <v>8</v>
      </c>
      <c r="W30" s="1573">
        <f t="shared" si="12"/>
        <v>100</v>
      </c>
      <c r="X30" s="1566"/>
      <c r="Y30" s="343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1"/>
      <c r="Q31" s="1571"/>
      <c r="R31" s="1572"/>
      <c r="S31" s="1573"/>
      <c r="T31" s="1572"/>
      <c r="U31" s="1573"/>
      <c r="V31" s="1572"/>
      <c r="W31" s="1573"/>
      <c r="X31" s="1566"/>
      <c r="Y31" s="343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1"/>
      <c r="Q32" s="1571" t="str">
        <f t="shared" si="8"/>
        <v>土地级别</v>
      </c>
      <c r="R32" s="1572" t="s">
        <v>8</v>
      </c>
      <c r="S32" s="1573">
        <f t="shared" si="10"/>
        <v>100</v>
      </c>
      <c r="T32" s="1572" t="s">
        <v>8</v>
      </c>
      <c r="U32" s="1573">
        <f t="shared" si="11"/>
        <v>100</v>
      </c>
      <c r="V32" s="1572" t="s">
        <v>8</v>
      </c>
      <c r="W32" s="1573">
        <f t="shared" si="12"/>
        <v>100</v>
      </c>
      <c r="X32" s="1566"/>
      <c r="Y32" s="343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1"/>
      <c r="Q33" s="1571">
        <f t="shared" si="8"/>
        <v>111</v>
      </c>
      <c r="R33" s="1572" t="s">
        <v>8</v>
      </c>
      <c r="S33" s="1573">
        <f t="shared" si="10"/>
        <v>100</v>
      </c>
      <c r="T33" s="1572" t="s">
        <v>8</v>
      </c>
      <c r="U33" s="1573">
        <f t="shared" si="11"/>
        <v>100</v>
      </c>
      <c r="V33" s="1572" t="s">
        <v>8</v>
      </c>
      <c r="W33" s="1573">
        <f t="shared" si="12"/>
        <v>100</v>
      </c>
      <c r="X33" s="1566"/>
      <c r="Y33" s="343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2" t="s">
        <v>549</v>
      </c>
      <c r="Q34" s="1571">
        <f t="shared" si="8"/>
        <v>111</v>
      </c>
      <c r="R34" s="1572" t="s">
        <v>8</v>
      </c>
      <c r="S34" s="1573">
        <f t="shared" si="10"/>
        <v>100</v>
      </c>
      <c r="T34" s="1572" t="s">
        <v>8</v>
      </c>
      <c r="U34" s="1573">
        <f t="shared" si="11"/>
        <v>100</v>
      </c>
      <c r="V34" s="1572" t="s">
        <v>8</v>
      </c>
      <c r="W34" s="1573">
        <f t="shared" si="12"/>
        <v>100</v>
      </c>
      <c r="X34" s="1566"/>
      <c r="Y34" s="3433"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3"/>
      <c r="Q35" s="1571">
        <f t="shared" si="8"/>
        <v>111</v>
      </c>
      <c r="R35" s="1576" t="s">
        <v>8</v>
      </c>
      <c r="S35" s="1577">
        <f t="shared" si="10"/>
        <v>100</v>
      </c>
      <c r="T35" s="1576" t="s">
        <v>8</v>
      </c>
      <c r="U35" s="1577">
        <f t="shared" si="11"/>
        <v>100</v>
      </c>
      <c r="V35" s="1576" t="s">
        <v>8</v>
      </c>
      <c r="W35" s="1577">
        <f t="shared" si="12"/>
        <v>100</v>
      </c>
      <c r="X35" s="1578"/>
      <c r="Y35" s="343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3"/>
      <c r="Q36" s="1571" t="str">
        <f>B36</f>
        <v>宗地面积</v>
      </c>
      <c r="R36" s="1572" t="s">
        <v>8</v>
      </c>
      <c r="S36" s="1573" t="e">
        <f t="shared" si="10"/>
        <v>#N/A</v>
      </c>
      <c r="T36" s="1572" t="s">
        <v>8</v>
      </c>
      <c r="U36" s="1573" t="e">
        <f t="shared" si="11"/>
        <v>#N/A</v>
      </c>
      <c r="V36" s="1572" t="s">
        <v>8</v>
      </c>
      <c r="W36" s="1573" t="e">
        <f t="shared" si="12"/>
        <v>#N/A</v>
      </c>
      <c r="X36" s="1566"/>
      <c r="Y36" s="343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3"/>
      <c r="Q37" s="1571" t="str">
        <f t="shared" ref="Q37:Q42" si="14">B37</f>
        <v>宗地形状</v>
      </c>
      <c r="R37" s="1572" t="s">
        <v>8</v>
      </c>
      <c r="S37" s="1573">
        <f t="shared" si="10"/>
        <v>100</v>
      </c>
      <c r="T37" s="1572" t="s">
        <v>8</v>
      </c>
      <c r="U37" s="1573">
        <f t="shared" si="11"/>
        <v>100</v>
      </c>
      <c r="V37" s="1572" t="s">
        <v>8</v>
      </c>
      <c r="W37" s="1573">
        <f t="shared" si="12"/>
        <v>100</v>
      </c>
      <c r="X37" s="1566"/>
      <c r="Y37" s="343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3"/>
      <c r="Q38" s="1571" t="str">
        <f t="shared" si="14"/>
        <v>宗地开发程度</v>
      </c>
      <c r="R38" s="1567" t="s">
        <v>8</v>
      </c>
      <c r="S38" s="1568">
        <f t="shared" si="10"/>
        <v>100</v>
      </c>
      <c r="T38" s="1567" t="s">
        <v>8</v>
      </c>
      <c r="U38" s="1568">
        <f t="shared" si="11"/>
        <v>100</v>
      </c>
      <c r="V38" s="1567" t="s">
        <v>8</v>
      </c>
      <c r="W38" s="1568">
        <f t="shared" si="12"/>
        <v>100</v>
      </c>
      <c r="X38" s="1569"/>
      <c r="Y38" s="343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3" t="s">
        <v>600</v>
      </c>
      <c r="Q39" s="1571" t="str">
        <f t="shared" si="14"/>
        <v>工程地质条件</v>
      </c>
      <c r="R39" s="1572" t="s">
        <v>8</v>
      </c>
      <c r="S39" s="1573">
        <f t="shared" si="10"/>
        <v>100</v>
      </c>
      <c r="T39" s="1572" t="s">
        <v>8</v>
      </c>
      <c r="U39" s="1573">
        <f t="shared" si="11"/>
        <v>100</v>
      </c>
      <c r="V39" s="1572" t="s">
        <v>8</v>
      </c>
      <c r="W39" s="1573">
        <f t="shared" si="12"/>
        <v>100</v>
      </c>
      <c r="X39" s="1566"/>
      <c r="Y39" s="343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3"/>
      <c r="Q40" s="1571">
        <f t="shared" si="14"/>
        <v>111</v>
      </c>
      <c r="R40" s="1572" t="s">
        <v>8</v>
      </c>
      <c r="S40" s="1573">
        <f t="shared" si="10"/>
        <v>100</v>
      </c>
      <c r="T40" s="1572" t="s">
        <v>8</v>
      </c>
      <c r="U40" s="1573">
        <f t="shared" si="11"/>
        <v>100</v>
      </c>
      <c r="V40" s="1572" t="s">
        <v>8</v>
      </c>
      <c r="W40" s="1573">
        <f t="shared" si="12"/>
        <v>100</v>
      </c>
      <c r="X40" s="1566"/>
      <c r="Y40" s="343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3"/>
      <c r="Q41" s="1571">
        <f t="shared" si="14"/>
        <v>111</v>
      </c>
      <c r="R41" s="1572" t="s">
        <v>8</v>
      </c>
      <c r="S41" s="1573">
        <f t="shared" si="10"/>
        <v>100</v>
      </c>
      <c r="T41" s="1572" t="s">
        <v>8</v>
      </c>
      <c r="U41" s="1573">
        <f t="shared" si="11"/>
        <v>100</v>
      </c>
      <c r="V41" s="1572" t="s">
        <v>8</v>
      </c>
      <c r="W41" s="1573">
        <f t="shared" si="12"/>
        <v>100</v>
      </c>
      <c r="X41" s="1566"/>
      <c r="Y41" s="343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3"/>
      <c r="Q42" s="1571">
        <f t="shared" si="14"/>
        <v>111</v>
      </c>
      <c r="R42" s="1576" t="s">
        <v>8</v>
      </c>
      <c r="S42" s="1577">
        <f t="shared" si="10"/>
        <v>100</v>
      </c>
      <c r="T42" s="1576" t="s">
        <v>8</v>
      </c>
      <c r="U42" s="1577">
        <f t="shared" si="11"/>
        <v>100</v>
      </c>
      <c r="V42" s="1576" t="s">
        <v>8</v>
      </c>
      <c r="W42" s="1577">
        <f t="shared" si="12"/>
        <v>100</v>
      </c>
      <c r="X42" s="1578"/>
      <c r="Y42" s="3433"/>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395" t="str">
        <f>A43</f>
        <v>成交单价</v>
      </c>
      <c r="Q43" s="3395"/>
      <c r="R43" s="3396">
        <f>E43</f>
        <v>0</v>
      </c>
      <c r="S43" s="3396"/>
      <c r="T43" s="3396">
        <f>G43</f>
        <v>0</v>
      </c>
      <c r="U43" s="3396"/>
      <c r="V43" s="3396">
        <f>I43</f>
        <v>0</v>
      </c>
      <c r="W43" s="3396"/>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395" t="str">
        <f>A44</f>
        <v>比较价格（元/平方米）</v>
      </c>
      <c r="Q44" s="3395"/>
      <c r="R44" s="3397" t="e">
        <f>ROUND(PRODUCT(R43,AA9:AA42),0)</f>
        <v>#DIV/0!</v>
      </c>
      <c r="S44" s="3397"/>
      <c r="T44" s="3397" t="e">
        <f>ROUND(PRODUCT(T43,AB9:AB42),0)</f>
        <v>#DIV/0!</v>
      </c>
      <c r="U44" s="3397"/>
      <c r="V44" s="3397" t="e">
        <f>ROUND(PRODUCT(V43,AC9:AC42),0)</f>
        <v>#DIV/0!</v>
      </c>
      <c r="W44" s="3397"/>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392" t="str">
        <f>A45</f>
        <v>估价对象XX用房的比较价格（楼面单价，元/平方米）</v>
      </c>
      <c r="Q45" s="3393"/>
      <c r="R45" s="3394" t="e">
        <f>ROUND(AVERAGE(R44:V44),0)</f>
        <v>#DIV/0!</v>
      </c>
      <c r="S45" s="3394"/>
      <c r="T45" s="3394"/>
      <c r="U45" s="3394"/>
      <c r="V45" s="3394"/>
      <c r="W45" s="339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44" t="s">
        <v>2284</v>
      </c>
      <c r="H52" s="344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71890.36</v>
      </c>
      <c r="F53" s="1950" t="e">
        <f t="shared" ref="F53:F62" si="15">ROUND(B53*E53/10000,0)</f>
        <v>#DIV/0!</v>
      </c>
      <c r="G53" s="3446"/>
      <c r="H53" s="344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4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4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4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4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8977.4699999999993</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24706.579999999998</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31512.720000000001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北京市平均增长率1.24%</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2.19</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58"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2.19</v>
      </c>
      <c r="AA7" s="2192"/>
      <c r="AB7" s="2192"/>
      <c r="AC7" s="2193"/>
      <c r="AD7" s="2953"/>
      <c r="AE7" s="2953"/>
      <c r="AF7" s="2953"/>
      <c r="AG7" s="2953"/>
      <c r="AH7" s="2953"/>
      <c r="AI7" s="2953"/>
      <c r="AJ7" s="2954"/>
    </row>
    <row r="8" spans="1:39" ht="15">
      <c r="A8" s="3459"/>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4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9"/>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4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9"/>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49" t="s">
        <v>2781</v>
      </c>
      <c r="X11" s="1048" t="s">
        <v>2766</v>
      </c>
      <c r="Y11" s="1652">
        <f>$G$3</f>
        <v>2.19</v>
      </c>
      <c r="Z11" s="1652">
        <f t="shared" ref="Z11:AJ11" si="3">$G$3</f>
        <v>2.19</v>
      </c>
      <c r="AA11" s="1652">
        <f t="shared" si="3"/>
        <v>2.19</v>
      </c>
      <c r="AB11" s="1652">
        <f t="shared" si="3"/>
        <v>2.19</v>
      </c>
      <c r="AC11" s="1652">
        <f t="shared" si="3"/>
        <v>2.19</v>
      </c>
      <c r="AD11" s="1652">
        <f t="shared" si="3"/>
        <v>2.19</v>
      </c>
      <c r="AE11" s="1652">
        <f t="shared" si="3"/>
        <v>2.19</v>
      </c>
      <c r="AF11" s="1652">
        <f t="shared" si="3"/>
        <v>2.19</v>
      </c>
      <c r="AG11" s="1652">
        <f t="shared" si="3"/>
        <v>2.19</v>
      </c>
      <c r="AH11" s="1652">
        <f t="shared" si="3"/>
        <v>2.19</v>
      </c>
      <c r="AI11" s="1652">
        <f t="shared" si="3"/>
        <v>2.19</v>
      </c>
      <c r="AJ11" s="1652">
        <f t="shared" si="3"/>
        <v>2.19</v>
      </c>
    </row>
    <row r="12" spans="1:39" ht="25.5" thickBot="1">
      <c r="A12" s="3458"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4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0"/>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49"/>
      <c r="X13" s="2958"/>
      <c r="Y13" s="2957">
        <f>(-0.163*(Y12^2)-0.59*Y12+7617)*(10^(-4))/Y11</f>
        <v>0.34780821917808225</v>
      </c>
      <c r="Z13" s="2957">
        <f t="shared" ref="Z13:AJ13" si="5">(-0.163*(Z12^2)-0.59*Z12+7617)*(10^(-4))/Z11</f>
        <v>0.34780821917808225</v>
      </c>
      <c r="AA13" s="2957">
        <f t="shared" si="5"/>
        <v>0.34780821917808225</v>
      </c>
      <c r="AB13" s="2957">
        <f t="shared" si="5"/>
        <v>0.34780821917808225</v>
      </c>
      <c r="AC13" s="2957">
        <f t="shared" si="5"/>
        <v>0.34780821917808225</v>
      </c>
      <c r="AD13" s="2957">
        <f t="shared" si="5"/>
        <v>0.34780821917808225</v>
      </c>
      <c r="AE13" s="2957">
        <f t="shared" si="5"/>
        <v>0.34780821917808225</v>
      </c>
      <c r="AF13" s="2957">
        <f t="shared" si="5"/>
        <v>0.34780821917808225</v>
      </c>
      <c r="AG13" s="2957">
        <f t="shared" si="5"/>
        <v>0.34780821917808225</v>
      </c>
      <c r="AH13" s="2957">
        <f t="shared" si="5"/>
        <v>0.34780821917808225</v>
      </c>
      <c r="AI13" s="2957">
        <f t="shared" si="5"/>
        <v>0.34780821917808225</v>
      </c>
      <c r="AJ13" s="2957">
        <f t="shared" si="5"/>
        <v>0.34780821917808225</v>
      </c>
    </row>
    <row r="14" spans="1:39" ht="12.75" customHeight="1" thickBot="1">
      <c r="A14" s="3460"/>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61"/>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58"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59"/>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43207</v>
      </c>
      <c r="H19" s="1474" t="s">
        <v>2934</v>
      </c>
      <c r="I19" s="2808" t="str">
        <f>IF(H19="季度增幅（自定义）",SUMIF(N21:N24,E2,O21:O24),"")</f>
        <v/>
      </c>
      <c r="J19" s="1470"/>
      <c r="K19" s="1480"/>
      <c r="L19" s="3061" t="s">
        <v>2841</v>
      </c>
      <c r="M19" s="3062">
        <f>ROUND(SUMIF(地价!B2:F2,E2,地价!B22:F22),0)</f>
        <v>0</v>
      </c>
      <c r="N19" s="2810" t="s">
        <v>1676</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1.46E-2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1.46E-2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2.41E-2</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1.24E-2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4"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2" t="s">
        <v>1633</v>
      </c>
      <c r="B90" s="3462"/>
      <c r="C90" s="3462"/>
      <c r="D90" s="3462"/>
      <c r="E90" s="3462"/>
      <c r="F90" s="3462"/>
      <c r="G90" s="3462"/>
      <c r="H90" s="3462"/>
      <c r="I90" s="3462"/>
      <c r="J90" s="3462"/>
      <c r="K90" s="2474"/>
      <c r="L90" s="2474"/>
      <c r="M90" s="2474"/>
      <c r="N90" s="2474"/>
    </row>
    <row r="91" spans="1:40">
      <c r="A91" s="3463" t="s">
        <v>1443</v>
      </c>
      <c r="B91" s="3463" t="s">
        <v>1634</v>
      </c>
      <c r="C91" s="1140" t="s">
        <v>1635</v>
      </c>
      <c r="D91" s="1141"/>
      <c r="E91" s="1141"/>
      <c r="F91" s="1141"/>
      <c r="G91" s="1141"/>
      <c r="H91" s="1141"/>
      <c r="I91" s="1141"/>
      <c r="J91" s="1142"/>
      <c r="K91" s="1134"/>
      <c r="L91" s="1134"/>
      <c r="M91" s="1134"/>
      <c r="N91" s="1134"/>
    </row>
    <row r="92" spans="1:40">
      <c r="A92" s="3463"/>
      <c r="B92" s="3463"/>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1637</v>
      </c>
      <c r="B101" s="1147" t="s">
        <v>905</v>
      </c>
      <c r="C101" s="1148">
        <f>$G$3</f>
        <v>2.19</v>
      </c>
      <c r="D101" s="1148">
        <f t="shared" ref="D101:N101" si="31">$G$3</f>
        <v>2.19</v>
      </c>
      <c r="E101" s="1148">
        <f t="shared" si="31"/>
        <v>2.19</v>
      </c>
      <c r="F101" s="1148">
        <f t="shared" si="31"/>
        <v>2.19</v>
      </c>
      <c r="G101" s="1148">
        <f t="shared" si="31"/>
        <v>2.19</v>
      </c>
      <c r="H101" s="1148">
        <f t="shared" si="31"/>
        <v>2.19</v>
      </c>
      <c r="I101" s="1148">
        <f t="shared" si="31"/>
        <v>2.19</v>
      </c>
      <c r="J101" s="1148">
        <f t="shared" si="31"/>
        <v>2.19</v>
      </c>
      <c r="K101" s="1148">
        <f t="shared" si="31"/>
        <v>2.19</v>
      </c>
      <c r="L101" s="1148">
        <f t="shared" si="31"/>
        <v>2.19</v>
      </c>
      <c r="M101" s="1148">
        <f t="shared" si="31"/>
        <v>2.19</v>
      </c>
      <c r="N101" s="1148">
        <f t="shared" si="31"/>
        <v>2.19</v>
      </c>
    </row>
    <row r="102" spans="1:14">
      <c r="A102" s="3453"/>
      <c r="B102" s="1143">
        <v>1</v>
      </c>
      <c r="C102" s="1144">
        <f>1.9362/C101</f>
        <v>0.88410958904109582</v>
      </c>
      <c r="D102" s="1144">
        <f>1.9362/D101</f>
        <v>0.88410958904109582</v>
      </c>
      <c r="E102" s="1144">
        <f>1.8629/E101</f>
        <v>0.85063926940639267</v>
      </c>
      <c r="F102" s="1144">
        <f>1.8629/F101</f>
        <v>0.85063926940639267</v>
      </c>
      <c r="G102" s="1144">
        <f>1.8629/G101</f>
        <v>0.85063926940639267</v>
      </c>
      <c r="H102" s="1144">
        <f>1.8629/H101</f>
        <v>0.85063926940639267</v>
      </c>
      <c r="I102" s="1144">
        <f>1.8629/I101</f>
        <v>0.85063926940639267</v>
      </c>
      <c r="J102" s="1144">
        <f>1.942/J101</f>
        <v>0.88675799086757989</v>
      </c>
      <c r="K102" s="1144">
        <f>1.942/K101</f>
        <v>0.88675799086757989</v>
      </c>
      <c r="L102" s="1144">
        <f>1.942/L101</f>
        <v>0.88675799086757989</v>
      </c>
      <c r="M102" s="1144">
        <f>1.942/M101</f>
        <v>0.88675799086757989</v>
      </c>
      <c r="N102" s="1144">
        <f>1.942/N101</f>
        <v>0.88675799086757989</v>
      </c>
    </row>
    <row r="103" spans="1:14">
      <c r="A103" s="3453"/>
      <c r="B103" s="1143">
        <v>2</v>
      </c>
      <c r="C103" s="1144">
        <f>1.4198/C101</f>
        <v>0.64831050228310505</v>
      </c>
      <c r="D103" s="1144">
        <f>1.4198/D101</f>
        <v>0.64831050228310505</v>
      </c>
      <c r="E103" s="1144">
        <f>1.3372/E101</f>
        <v>0.61059360730593604</v>
      </c>
      <c r="F103" s="1144">
        <f>1.3372/F101</f>
        <v>0.61059360730593604</v>
      </c>
      <c r="G103" s="1144">
        <f>1.3372/G101</f>
        <v>0.61059360730593604</v>
      </c>
      <c r="H103" s="1144">
        <f>1.3372/H101</f>
        <v>0.61059360730593604</v>
      </c>
      <c r="I103" s="1144">
        <f>1.3372/I101</f>
        <v>0.61059360730593604</v>
      </c>
      <c r="J103" s="1144">
        <f>1.2799/J101</f>
        <v>0.58442922374429229</v>
      </c>
      <c r="K103" s="1144">
        <f>1.2799/K101</f>
        <v>0.58442922374429229</v>
      </c>
      <c r="L103" s="1144">
        <f>1.2799/L101</f>
        <v>0.58442922374429229</v>
      </c>
      <c r="M103" s="1144">
        <f>1.2799/M101</f>
        <v>0.58442922374429229</v>
      </c>
      <c r="N103" s="1144">
        <f>1.2799/N101</f>
        <v>0.58442922374429229</v>
      </c>
    </row>
    <row r="104" spans="1:14">
      <c r="A104" s="3453"/>
      <c r="B104" s="1143">
        <v>3</v>
      </c>
      <c r="C104" s="1144">
        <f>1.1594/C101</f>
        <v>0.52940639269406398</v>
      </c>
      <c r="D104" s="1144">
        <f>1.1594/D101</f>
        <v>0.52940639269406398</v>
      </c>
      <c r="E104" s="1144">
        <f>1.0788/E101</f>
        <v>0.49260273972602742</v>
      </c>
      <c r="F104" s="1144">
        <f>1.0788/F101</f>
        <v>0.49260273972602742</v>
      </c>
      <c r="G104" s="1144">
        <f>1.0788/G101</f>
        <v>0.49260273972602742</v>
      </c>
      <c r="H104" s="1144">
        <f>1.0788/H101</f>
        <v>0.49260273972602742</v>
      </c>
      <c r="I104" s="1144">
        <f>1.0788/I101</f>
        <v>0.49260273972602742</v>
      </c>
      <c r="J104" s="1144">
        <f>1.0072/J101</f>
        <v>0.45990867579908679</v>
      </c>
      <c r="K104" s="1144">
        <f>1.0072/K101</f>
        <v>0.45990867579908679</v>
      </c>
      <c r="L104" s="1144">
        <f>1.0072/L101</f>
        <v>0.45990867579908679</v>
      </c>
      <c r="M104" s="1144">
        <f>1.0072/M101</f>
        <v>0.45990867579908679</v>
      </c>
      <c r="N104" s="1144">
        <f>1.0072/N101</f>
        <v>0.45990867579908679</v>
      </c>
    </row>
    <row r="105" spans="1:14">
      <c r="A105" s="3453"/>
      <c r="B105" s="1143">
        <v>4</v>
      </c>
      <c r="C105" s="1144">
        <f>0.9622/C101</f>
        <v>0.43936073059360736</v>
      </c>
      <c r="D105" s="1144">
        <f>0.9622/D101</f>
        <v>0.43936073059360736</v>
      </c>
      <c r="E105" s="1144">
        <f>0.8656/E101</f>
        <v>0.39525114155251145</v>
      </c>
      <c r="F105" s="1144">
        <f>0.8656/F101</f>
        <v>0.39525114155251145</v>
      </c>
      <c r="G105" s="1144">
        <f>0.8656/G101</f>
        <v>0.39525114155251145</v>
      </c>
      <c r="H105" s="1144">
        <f>0.8656/H101</f>
        <v>0.39525114155251145</v>
      </c>
      <c r="I105" s="1144">
        <f>0.8656/I101</f>
        <v>0.39525114155251145</v>
      </c>
      <c r="J105" s="1144">
        <f>0.7525/J101</f>
        <v>0.34360730593607303</v>
      </c>
      <c r="K105" s="1144">
        <f>0.7525/K101</f>
        <v>0.34360730593607303</v>
      </c>
      <c r="L105" s="1144">
        <f>0.7525/L101</f>
        <v>0.34360730593607303</v>
      </c>
      <c r="M105" s="1144">
        <f>0.7525/M101</f>
        <v>0.34360730593607303</v>
      </c>
      <c r="N105" s="1144">
        <f>0.7525/N101</f>
        <v>0.34360730593607303</v>
      </c>
    </row>
    <row r="106" spans="1:14">
      <c r="A106" s="3453"/>
      <c r="B106" s="1143">
        <v>5</v>
      </c>
      <c r="C106" s="1144">
        <f>0.8417/C101</f>
        <v>0.38433789954337899</v>
      </c>
      <c r="D106" s="1144">
        <f>0.8417/D101</f>
        <v>0.38433789954337899</v>
      </c>
      <c r="E106" s="1144">
        <f>0.7371/E101</f>
        <v>0.33657534246575344</v>
      </c>
      <c r="F106" s="1144">
        <f>0.7371/F101</f>
        <v>0.33657534246575344</v>
      </c>
      <c r="G106" s="1144">
        <f>0.7371/G101</f>
        <v>0.33657534246575344</v>
      </c>
      <c r="H106" s="1144">
        <f>0.7371/H101</f>
        <v>0.33657534246575344</v>
      </c>
      <c r="I106" s="1144">
        <f>0.7371/I101</f>
        <v>0.33657534246575344</v>
      </c>
      <c r="J106" s="1144">
        <f>0.5659/J101</f>
        <v>0.25840182648401827</v>
      </c>
      <c r="K106" s="1144">
        <f>0.5659/K101</f>
        <v>0.25840182648401827</v>
      </c>
      <c r="L106" s="1144">
        <f>0.5659/L101</f>
        <v>0.25840182648401827</v>
      </c>
      <c r="M106" s="1144">
        <f>0.5659/M101</f>
        <v>0.25840182648401827</v>
      </c>
      <c r="N106" s="1144">
        <f>0.5659/N101</f>
        <v>0.25840182648401827</v>
      </c>
    </row>
    <row r="107" spans="1:14">
      <c r="A107" s="3453"/>
      <c r="B107" s="1143">
        <v>6</v>
      </c>
      <c r="C107" s="1144">
        <f>0.7608/C101</f>
        <v>0.34739726027397261</v>
      </c>
      <c r="D107" s="1144">
        <f>0.7608/D101</f>
        <v>0.34739726027397261</v>
      </c>
      <c r="E107" s="1144">
        <f>0.6482/E101</f>
        <v>0.29598173515981735</v>
      </c>
      <c r="F107" s="1144">
        <f>0.6482/F101</f>
        <v>0.29598173515981735</v>
      </c>
      <c r="G107" s="1144">
        <f>0.6482/G101</f>
        <v>0.29598173515981735</v>
      </c>
      <c r="H107" s="1144">
        <f>0.6482/H101</f>
        <v>0.29598173515981735</v>
      </c>
      <c r="I107" s="1144">
        <f>0.6482/I101</f>
        <v>0.29598173515981735</v>
      </c>
      <c r="J107" s="1144">
        <f>0.4525/J101</f>
        <v>0.20662100456621005</v>
      </c>
      <c r="K107" s="1144">
        <f>0.4525/K101</f>
        <v>0.20662100456621005</v>
      </c>
      <c r="L107" s="1144">
        <f>0.4525/L101</f>
        <v>0.20662100456621005</v>
      </c>
      <c r="M107" s="1144">
        <f>0.4525/M101</f>
        <v>0.20662100456621005</v>
      </c>
      <c r="N107" s="1144">
        <f>0.4525/N101</f>
        <v>0.20662100456621005</v>
      </c>
    </row>
    <row r="108" spans="1:14">
      <c r="A108" s="3453"/>
      <c r="B108" s="345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0.34711634703196348</v>
      </c>
      <c r="D109" s="1146">
        <f>(-0.163*(D108^2)-0.59*D108+7617)*(10^(-4))/D101</f>
        <v>0.34711634703196348</v>
      </c>
      <c r="E109" s="1146">
        <f>(-0.161*(E108^2)-7.509*E108+6533)*(10^(-4))/E101</f>
        <v>0.29509698630136988</v>
      </c>
      <c r="F109" s="1146">
        <f>(-0.161*(F108^2)-7.509*F108+6533)*(10^(-4))/F101</f>
        <v>0.29509698630136988</v>
      </c>
      <c r="G109" s="1146">
        <f>(-0.161*(G108^2)-7.509*G108+6533)*(10^(-4))/G101</f>
        <v>0.29509698630136988</v>
      </c>
      <c r="H109" s="1146">
        <f>(-0.161*(H108^2)-7.509*H108+6533)*(10^(-4))/H101</f>
        <v>0.29509698630136988</v>
      </c>
      <c r="I109" s="1146">
        <f>(-0.161*(I108^2)-7.509*I108+6533)*(10^(-4))/I101</f>
        <v>0.29509698630136988</v>
      </c>
      <c r="J109" s="1146">
        <f>(-0.214*(J108^2)-21.991*J108+4665)*(10^(-4))/J101</f>
        <v>0.20435506849315072</v>
      </c>
      <c r="K109" s="1146">
        <f>(-0.214*(K108^2)-21.991*K108+4665)*(10^(-4))/K101</f>
        <v>0.20435506849315072</v>
      </c>
      <c r="L109" s="1146">
        <f>(-0.214*(L108^2)-21.991*L108+4665)*(10^(-4))/L101</f>
        <v>0.20435506849315072</v>
      </c>
      <c r="M109" s="1146">
        <f>(-0.214*(M108^2)-21.991*M108+4665)*(10^(-4))/M101</f>
        <v>0.20435506849315072</v>
      </c>
      <c r="N109" s="1146">
        <f>(-0.214*(N108^2)-21.991*N108+4665)*(10^(-4))/N101</f>
        <v>0.20435506849315072</v>
      </c>
    </row>
    <row r="110" spans="1:14">
      <c r="A110" s="3457" t="s">
        <v>1639</v>
      </c>
      <c r="B110" s="3457"/>
      <c r="C110" s="3457"/>
      <c r="D110" s="3457"/>
      <c r="E110" s="3457"/>
      <c r="F110" s="3457"/>
      <c r="G110" s="3457"/>
      <c r="H110" s="3457"/>
      <c r="I110" s="3457"/>
      <c r="J110" s="3457"/>
      <c r="K110" s="2472"/>
      <c r="L110" s="2472"/>
      <c r="M110" s="2472"/>
      <c r="N110" s="2472"/>
    </row>
    <row r="112" spans="1:14" ht="12.75" thickBot="1"/>
    <row r="113" spans="1:13" ht="25.5" thickBot="1">
      <c r="A113" s="1016" t="s">
        <v>895</v>
      </c>
      <c r="B113" s="2475">
        <f>G3</f>
        <v>2.19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0.91290000000000004</v>
      </c>
      <c r="C115" s="1030">
        <f>B115</f>
        <v>0.91290000000000004</v>
      </c>
      <c r="D115" s="1030">
        <f>ROUND(0.8331-0.0109*B113,4)</f>
        <v>0.80920000000000003</v>
      </c>
      <c r="E115" s="1030">
        <f>D115</f>
        <v>0.80920000000000003</v>
      </c>
      <c r="F115" s="1030">
        <f>E115</f>
        <v>0.80920000000000003</v>
      </c>
      <c r="G115" s="1030">
        <f>F115</f>
        <v>0.80920000000000003</v>
      </c>
      <c r="H115" s="1030">
        <f>G115</f>
        <v>0.80920000000000003</v>
      </c>
      <c r="I115" s="1030">
        <f>ROUND(0.689-0.0155*B113,4)</f>
        <v>0.65510000000000002</v>
      </c>
      <c r="J115" s="1030">
        <f t="shared" ref="J115:M118" si="33">I115</f>
        <v>0.65510000000000002</v>
      </c>
      <c r="K115" s="1030">
        <f t="shared" si="33"/>
        <v>0.65510000000000002</v>
      </c>
      <c r="L115" s="1030">
        <f t="shared" si="33"/>
        <v>0.65510000000000002</v>
      </c>
      <c r="M115" s="1031">
        <f t="shared" si="33"/>
        <v>0.65510000000000002</v>
      </c>
    </row>
    <row r="116" spans="1:13" ht="12.75">
      <c r="A116" s="1029" t="s">
        <v>900</v>
      </c>
      <c r="B116" s="1030">
        <f>ROUND(0.949-0.012*B113,4)</f>
        <v>0.92269999999999996</v>
      </c>
      <c r="C116" s="1030">
        <f>B116</f>
        <v>0.92269999999999996</v>
      </c>
      <c r="D116" s="1030">
        <f>ROUND(0.8567-0.013*B113,4)</f>
        <v>0.82820000000000005</v>
      </c>
      <c r="E116" s="1030">
        <f t="shared" ref="E116:H117" si="34">D116</f>
        <v>0.82820000000000005</v>
      </c>
      <c r="F116" s="1030">
        <f t="shared" si="34"/>
        <v>0.82820000000000005</v>
      </c>
      <c r="G116" s="1030">
        <f t="shared" si="34"/>
        <v>0.82820000000000005</v>
      </c>
      <c r="H116" s="1030">
        <f t="shared" si="34"/>
        <v>0.82820000000000005</v>
      </c>
      <c r="I116" s="1030">
        <f>ROUND(0.7694-0.014*B113,4)</f>
        <v>0.73870000000000002</v>
      </c>
      <c r="J116" s="1030">
        <f t="shared" si="33"/>
        <v>0.73870000000000002</v>
      </c>
      <c r="K116" s="1030">
        <f t="shared" si="33"/>
        <v>0.73870000000000002</v>
      </c>
      <c r="L116" s="1030">
        <f t="shared" si="33"/>
        <v>0.73870000000000002</v>
      </c>
      <c r="M116" s="1031">
        <f t="shared" si="33"/>
        <v>0.73870000000000002</v>
      </c>
    </row>
    <row r="117" spans="1:13" ht="12.75">
      <c r="A117" s="1032" t="s">
        <v>901</v>
      </c>
      <c r="B117" s="1030">
        <f>ROUND(0.8808-0.006*B113,4)</f>
        <v>0.86770000000000003</v>
      </c>
      <c r="C117" s="1030">
        <f>B117</f>
        <v>0.86770000000000003</v>
      </c>
      <c r="D117" s="1030">
        <f>ROUND(0.8748-0.008*B113,4)</f>
        <v>0.85729999999999995</v>
      </c>
      <c r="E117" s="1030">
        <f t="shared" si="34"/>
        <v>0.85729999999999995</v>
      </c>
      <c r="F117" s="1030">
        <f t="shared" si="34"/>
        <v>0.85729999999999995</v>
      </c>
      <c r="G117" s="1030">
        <f t="shared" si="34"/>
        <v>0.85729999999999995</v>
      </c>
      <c r="H117" s="1030">
        <f t="shared" si="34"/>
        <v>0.85729999999999995</v>
      </c>
      <c r="I117" s="1030">
        <f>ROUND(0.7412-0.0095*B113,4)</f>
        <v>0.72040000000000004</v>
      </c>
      <c r="J117" s="1030">
        <f t="shared" si="33"/>
        <v>0.72040000000000004</v>
      </c>
      <c r="K117" s="1030">
        <f t="shared" si="33"/>
        <v>0.72040000000000004</v>
      </c>
      <c r="L117" s="1030">
        <f t="shared" si="33"/>
        <v>0.72040000000000004</v>
      </c>
      <c r="M117" s="1031">
        <f t="shared" si="33"/>
        <v>0.72040000000000004</v>
      </c>
    </row>
    <row r="118" spans="1:13" ht="13.5" thickBot="1">
      <c r="A118" s="1033" t="s">
        <v>902</v>
      </c>
      <c r="B118" s="1034">
        <f>ROUND(0.7275-0.01*B113,4)</f>
        <v>0.7056</v>
      </c>
      <c r="C118" s="1034">
        <f>B118</f>
        <v>0.7056</v>
      </c>
      <c r="D118" s="1034">
        <f>ROUND(0.7043-0.012*B113,4)</f>
        <v>0.67800000000000005</v>
      </c>
      <c r="E118" s="1034">
        <f>D118</f>
        <v>0.67800000000000005</v>
      </c>
      <c r="F118" s="1034">
        <f>E118</f>
        <v>0.67800000000000005</v>
      </c>
      <c r="G118" s="1034">
        <f>ROUND(0.6299-0.0122*B113,4)</f>
        <v>0.60319999999999996</v>
      </c>
      <c r="H118" s="1034">
        <f>G118</f>
        <v>0.60319999999999996</v>
      </c>
      <c r="I118" s="1034">
        <f>ROUND(0.5667-0.0136*B113,4)</f>
        <v>0.53690000000000004</v>
      </c>
      <c r="J118" s="1034">
        <f t="shared" si="33"/>
        <v>0.53690000000000004</v>
      </c>
      <c r="K118" s="1034">
        <f t="shared" si="33"/>
        <v>0.53690000000000004</v>
      </c>
      <c r="L118" s="1034">
        <f t="shared" si="33"/>
        <v>0.53690000000000004</v>
      </c>
      <c r="M118" s="1035">
        <f t="shared" si="33"/>
        <v>0.53690000000000004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3" t="s">
        <v>1007</v>
      </c>
      <c r="B18" s="1154" t="s">
        <v>1446</v>
      </c>
      <c r="C18" s="1131" t="s">
        <v>1447</v>
      </c>
      <c r="D18" s="1132"/>
      <c r="E18" s="1154">
        <v>1</v>
      </c>
      <c r="F18" s="1133" t="s">
        <v>1448</v>
      </c>
      <c r="G18" s="1134"/>
      <c r="H18" s="1105"/>
      <c r="I18" s="1105"/>
    </row>
    <row r="19" spans="1:9" s="1598" customFormat="1" ht="19.5" customHeight="1">
      <c r="A19" s="3463"/>
      <c r="B19" s="3463" t="s">
        <v>1449</v>
      </c>
      <c r="C19" s="1131" t="s">
        <v>1450</v>
      </c>
      <c r="D19" s="1132"/>
      <c r="E19" s="1154">
        <v>0.9</v>
      </c>
      <c r="F19" s="1133" t="s">
        <v>1451</v>
      </c>
      <c r="G19" s="1134"/>
      <c r="H19" s="1105"/>
      <c r="I19" s="1105"/>
    </row>
    <row r="20" spans="1:9" s="1598" customFormat="1" ht="19.5" customHeight="1">
      <c r="A20" s="3463"/>
      <c r="B20" s="3463"/>
      <c r="C20" s="1131" t="s">
        <v>1452</v>
      </c>
      <c r="D20" s="1132"/>
      <c r="E20" s="1154">
        <v>1.1000000000000001</v>
      </c>
      <c r="F20" s="1133" t="s">
        <v>1453</v>
      </c>
      <c r="G20" s="1134"/>
      <c r="H20" s="1105"/>
      <c r="I20" s="1105"/>
    </row>
    <row r="21" spans="1:9" s="1598" customFormat="1" ht="19.5" customHeight="1">
      <c r="A21" s="3463"/>
      <c r="B21" s="3463"/>
      <c r="C21" s="1131" t="s">
        <v>1454</v>
      </c>
      <c r="D21" s="1132"/>
      <c r="E21" s="1154">
        <v>0.8</v>
      </c>
      <c r="F21" s="1133" t="s">
        <v>1455</v>
      </c>
      <c r="G21" s="1134"/>
      <c r="H21" s="1105"/>
      <c r="I21" s="1105"/>
    </row>
    <row r="22" spans="1:9" s="1598" customFormat="1" ht="19.5" customHeight="1">
      <c r="A22" s="3463"/>
      <c r="B22" s="3463"/>
      <c r="C22" s="1131" t="s">
        <v>1456</v>
      </c>
      <c r="D22" s="1132"/>
      <c r="E22" s="1154">
        <v>0.5</v>
      </c>
      <c r="F22" s="1133"/>
      <c r="G22" s="1134"/>
      <c r="H22" s="1105"/>
      <c r="I22" s="1105"/>
    </row>
    <row r="23" spans="1:9" s="1598" customFormat="1" ht="19.5" customHeight="1">
      <c r="A23" s="3463" t="s">
        <v>1029</v>
      </c>
      <c r="B23" s="1154" t="s">
        <v>1446</v>
      </c>
      <c r="C23" s="1131" t="s">
        <v>1457</v>
      </c>
      <c r="D23" s="1132"/>
      <c r="E23" s="1154">
        <v>1</v>
      </c>
      <c r="F23" s="1133" t="s">
        <v>1458</v>
      </c>
      <c r="G23" s="1134"/>
      <c r="H23" s="1105"/>
      <c r="I23" s="1105"/>
    </row>
    <row r="24" spans="1:9" s="1598" customFormat="1" ht="19.5" customHeight="1">
      <c r="A24" s="3463"/>
      <c r="B24" s="3463" t="s">
        <v>1449</v>
      </c>
      <c r="C24" s="1131" t="s">
        <v>1459</v>
      </c>
      <c r="D24" s="1132"/>
      <c r="E24" s="1154">
        <v>0.5</v>
      </c>
      <c r="F24" s="1133"/>
      <c r="G24" s="1134"/>
      <c r="H24" s="1105"/>
      <c r="I24" s="1105"/>
    </row>
    <row r="25" spans="1:9" s="1598" customFormat="1" ht="19.5" customHeight="1">
      <c r="A25" s="3463"/>
      <c r="B25" s="3463"/>
      <c r="C25" s="1131" t="s">
        <v>1460</v>
      </c>
      <c r="D25" s="1132"/>
      <c r="E25" s="1154">
        <v>1.1000000000000001</v>
      </c>
      <c r="F25" s="1133"/>
      <c r="G25" s="1134"/>
      <c r="H25" s="1105"/>
      <c r="I25" s="1105"/>
    </row>
    <row r="26" spans="1:9" s="1598" customFormat="1" ht="19.5" customHeight="1">
      <c r="A26" s="3463"/>
      <c r="B26" s="3463"/>
      <c r="C26" s="1131" t="s">
        <v>1461</v>
      </c>
      <c r="D26" s="1132"/>
      <c r="E26" s="1154">
        <v>1.1000000000000001</v>
      </c>
      <c r="F26" s="1133"/>
      <c r="G26" s="1134"/>
      <c r="H26" s="1105"/>
      <c r="I26" s="1105"/>
    </row>
    <row r="27" spans="1:9" s="1598" customFormat="1" ht="19.5" customHeight="1">
      <c r="A27" s="3463"/>
      <c r="B27" s="3463"/>
      <c r="C27" s="1131" t="s">
        <v>1462</v>
      </c>
      <c r="D27" s="1132"/>
      <c r="E27" s="1154">
        <v>0.9</v>
      </c>
      <c r="F27" s="1133" t="s">
        <v>1463</v>
      </c>
      <c r="G27" s="1134"/>
      <c r="H27" s="1105"/>
      <c r="I27" s="1105"/>
    </row>
    <row r="28" spans="1:9" s="1598" customFormat="1" ht="19.5" customHeight="1">
      <c r="A28" s="3463"/>
      <c r="B28" s="3463"/>
      <c r="C28" s="1131" t="s">
        <v>1464</v>
      </c>
      <c r="D28" s="1132"/>
      <c r="E28" s="1154">
        <v>0.9</v>
      </c>
      <c r="F28" s="1133" t="s">
        <v>1465</v>
      </c>
      <c r="G28" s="1134"/>
      <c r="H28" s="1105"/>
      <c r="I28" s="1105"/>
    </row>
    <row r="29" spans="1:9" s="1598" customFormat="1" ht="19.5" customHeight="1">
      <c r="A29" s="3463"/>
      <c r="B29" s="3463"/>
      <c r="C29" s="1131" t="s">
        <v>1466</v>
      </c>
      <c r="D29" s="1132"/>
      <c r="E29" s="1154">
        <v>0.9</v>
      </c>
      <c r="F29" s="1133" t="s">
        <v>1467</v>
      </c>
      <c r="G29" s="1134"/>
      <c r="H29" s="1105"/>
      <c r="I29" s="1105"/>
    </row>
    <row r="30" spans="1:9" s="1598" customFormat="1" ht="19.5" customHeight="1">
      <c r="A30" s="3463"/>
      <c r="B30" s="3463"/>
      <c r="C30" s="1131" t="s">
        <v>1468</v>
      </c>
      <c r="D30" s="1132"/>
      <c r="E30" s="1154">
        <v>0.9</v>
      </c>
      <c r="F30" s="1133" t="s">
        <v>1469</v>
      </c>
      <c r="G30" s="1134"/>
      <c r="H30" s="1105"/>
      <c r="I30" s="1105"/>
    </row>
    <row r="31" spans="1:9" s="1598" customFormat="1" ht="19.5" customHeight="1">
      <c r="A31" s="3463"/>
      <c r="B31" s="3463"/>
      <c r="C31" s="1131" t="s">
        <v>1470</v>
      </c>
      <c r="D31" s="1132"/>
      <c r="E31" s="1154">
        <v>0.8</v>
      </c>
      <c r="F31" s="1133" t="s">
        <v>1471</v>
      </c>
      <c r="G31" s="1134"/>
      <c r="H31" s="1105"/>
      <c r="I31" s="1105"/>
    </row>
    <row r="32" spans="1:9" s="1598" customFormat="1" ht="19.5" customHeight="1">
      <c r="A32" s="3463"/>
      <c r="B32" s="3463"/>
      <c r="C32" s="1131" t="s">
        <v>1472</v>
      </c>
      <c r="D32" s="1132"/>
      <c r="E32" s="1154">
        <v>0.8</v>
      </c>
      <c r="F32" s="1133" t="s">
        <v>1473</v>
      </c>
      <c r="G32" s="1134"/>
      <c r="H32" s="1105"/>
      <c r="I32" s="1105"/>
    </row>
    <row r="33" spans="1:9" s="1598" customFormat="1" ht="19.5" customHeight="1">
      <c r="A33" s="3463" t="s">
        <v>1474</v>
      </c>
      <c r="B33" s="1154" t="s">
        <v>1446</v>
      </c>
      <c r="C33" s="1131" t="s">
        <v>1475</v>
      </c>
      <c r="D33" s="1132"/>
      <c r="E33" s="1154">
        <v>1</v>
      </c>
      <c r="F33" s="1133" t="s">
        <v>1476</v>
      </c>
      <c r="G33" s="1134"/>
      <c r="H33" s="1105"/>
      <c r="I33" s="1105"/>
    </row>
    <row r="34" spans="1:9" s="1598" customFormat="1" ht="19.5" customHeight="1">
      <c r="A34" s="3463"/>
      <c r="B34" s="1154" t="s">
        <v>1449</v>
      </c>
      <c r="C34" s="1131" t="s">
        <v>1477</v>
      </c>
      <c r="D34" s="1132"/>
      <c r="E34" s="1154">
        <v>1.5</v>
      </c>
      <c r="F34" s="1133" t="s">
        <v>1478</v>
      </c>
      <c r="G34" s="1134"/>
      <c r="H34" s="1105"/>
      <c r="I34" s="1105"/>
    </row>
    <row r="35" spans="1:9" s="1598" customFormat="1" ht="19.5" customHeight="1">
      <c r="A35" s="3463" t="s">
        <v>1432</v>
      </c>
      <c r="B35" s="1154" t="s">
        <v>1446</v>
      </c>
      <c r="C35" s="1131" t="s">
        <v>1479</v>
      </c>
      <c r="D35" s="1132"/>
      <c r="E35" s="1154">
        <v>1</v>
      </c>
      <c r="F35" s="1133" t="s">
        <v>1480</v>
      </c>
      <c r="G35" s="1134"/>
      <c r="H35" s="1105"/>
      <c r="I35" s="1105"/>
    </row>
    <row r="36" spans="1:9" s="1598" customFormat="1" ht="19.5" customHeight="1">
      <c r="A36" s="3463"/>
      <c r="B36" s="3463" t="s">
        <v>1449</v>
      </c>
      <c r="C36" s="1131" t="s">
        <v>1481</v>
      </c>
      <c r="D36" s="1132"/>
      <c r="E36" s="1154">
        <v>1</v>
      </c>
      <c r="F36" s="1133" t="s">
        <v>1482</v>
      </c>
      <c r="G36" s="1134"/>
      <c r="H36" s="1105"/>
      <c r="I36" s="1105"/>
    </row>
    <row r="37" spans="1:9" s="1598" customFormat="1" ht="19.5" customHeight="1">
      <c r="A37" s="3463"/>
      <c r="B37" s="3463"/>
      <c r="C37" s="1131" t="s">
        <v>1483</v>
      </c>
      <c r="D37" s="1132"/>
      <c r="E37" s="1154">
        <v>1.5</v>
      </c>
      <c r="F37" s="1133" t="s">
        <v>1484</v>
      </c>
      <c r="G37" s="1134"/>
      <c r="H37" s="1105"/>
      <c r="I37" s="1105"/>
    </row>
    <row r="38" spans="1:9" s="1598" customFormat="1" ht="19.5" customHeight="1">
      <c r="A38" s="3463"/>
      <c r="B38" s="3463"/>
      <c r="C38" s="1131" t="s">
        <v>1485</v>
      </c>
      <c r="D38" s="1132"/>
      <c r="E38" s="1154">
        <v>1</v>
      </c>
      <c r="F38" s="1133" t="s">
        <v>1486</v>
      </c>
      <c r="G38" s="1134"/>
      <c r="H38" s="1105"/>
      <c r="I38" s="1105"/>
    </row>
    <row r="39" spans="1:9" s="1598" customFormat="1" ht="19.5" customHeight="1">
      <c r="A39" s="3463"/>
      <c r="B39" s="3463"/>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3" t="s">
        <v>1501</v>
      </c>
      <c r="C61" s="1068" t="s">
        <v>1502</v>
      </c>
      <c r="D61" s="1068" t="s">
        <v>1503</v>
      </c>
      <c r="E61" s="1139">
        <v>0.5</v>
      </c>
      <c r="F61" s="1154">
        <v>80</v>
      </c>
      <c r="H61" s="1105">
        <f>SUMIF(C59:C119,基准地价!C8,E59:E119)</f>
        <v>0</v>
      </c>
    </row>
    <row r="62" spans="1:8" s="1105" customFormat="1" ht="24">
      <c r="A62" s="1154">
        <v>2</v>
      </c>
      <c r="B62" s="3463"/>
      <c r="C62" s="1068" t="s">
        <v>1504</v>
      </c>
      <c r="D62" s="1068" t="s">
        <v>1505</v>
      </c>
      <c r="E62" s="1139">
        <v>0.5</v>
      </c>
      <c r="F62" s="1154">
        <v>80</v>
      </c>
    </row>
    <row r="63" spans="1:8" s="1105" customFormat="1" ht="36">
      <c r="A63" s="1154">
        <v>3</v>
      </c>
      <c r="B63" s="3463"/>
      <c r="C63" s="1068" t="s">
        <v>1506</v>
      </c>
      <c r="D63" s="1068" t="s">
        <v>1507</v>
      </c>
      <c r="E63" s="1139">
        <v>0.5</v>
      </c>
      <c r="F63" s="1154">
        <v>80</v>
      </c>
    </row>
    <row r="64" spans="1:8" s="1105" customFormat="1" ht="36">
      <c r="A64" s="1154">
        <v>4</v>
      </c>
      <c r="B64" s="3463"/>
      <c r="C64" s="1068" t="s">
        <v>1508</v>
      </c>
      <c r="D64" s="1068" t="s">
        <v>1509</v>
      </c>
      <c r="E64" s="1139">
        <v>0.4</v>
      </c>
      <c r="F64" s="1154">
        <v>60</v>
      </c>
    </row>
    <row r="65" spans="1:6" s="1105" customFormat="1" ht="36">
      <c r="A65" s="1154">
        <v>5</v>
      </c>
      <c r="B65" s="3463"/>
      <c r="C65" s="1068" t="s">
        <v>1510</v>
      </c>
      <c r="D65" s="1068" t="s">
        <v>1511</v>
      </c>
      <c r="E65" s="1139">
        <v>0.2</v>
      </c>
      <c r="F65" s="1154">
        <v>30</v>
      </c>
    </row>
    <row r="66" spans="1:6" s="1105" customFormat="1" ht="36">
      <c r="A66" s="1154">
        <v>6</v>
      </c>
      <c r="B66" s="3463"/>
      <c r="C66" s="1068" t="s">
        <v>1512</v>
      </c>
      <c r="D66" s="1068" t="s">
        <v>1513</v>
      </c>
      <c r="E66" s="1139">
        <v>0.3</v>
      </c>
      <c r="F66" s="1154">
        <v>50</v>
      </c>
    </row>
    <row r="67" spans="1:6" s="1105" customFormat="1" ht="36">
      <c r="A67" s="1154">
        <v>7</v>
      </c>
      <c r="B67" s="3463"/>
      <c r="C67" s="1068" t="s">
        <v>1514</v>
      </c>
      <c r="D67" s="1068" t="s">
        <v>1515</v>
      </c>
      <c r="E67" s="1139">
        <v>0.2</v>
      </c>
      <c r="F67" s="1154">
        <v>30</v>
      </c>
    </row>
    <row r="68" spans="1:6" s="1105" customFormat="1" ht="36">
      <c r="A68" s="1154">
        <v>8</v>
      </c>
      <c r="B68" s="3463"/>
      <c r="C68" s="1068" t="s">
        <v>1516</v>
      </c>
      <c r="D68" s="1068" t="s">
        <v>1517</v>
      </c>
      <c r="E68" s="1139">
        <v>0.2</v>
      </c>
      <c r="F68" s="1154">
        <v>30</v>
      </c>
    </row>
    <row r="69" spans="1:6" s="1105" customFormat="1" ht="36">
      <c r="A69" s="1154">
        <v>9</v>
      </c>
      <c r="B69" s="3463"/>
      <c r="C69" s="1068" t="s">
        <v>1518</v>
      </c>
      <c r="D69" s="1068" t="s">
        <v>1519</v>
      </c>
      <c r="E69" s="1139">
        <v>0.2</v>
      </c>
      <c r="F69" s="1154">
        <v>30</v>
      </c>
    </row>
    <row r="70" spans="1:6" s="1105" customFormat="1" ht="48">
      <c r="A70" s="1154">
        <v>10</v>
      </c>
      <c r="B70" s="3463"/>
      <c r="C70" s="1068" t="s">
        <v>1520</v>
      </c>
      <c r="D70" s="1068" t="s">
        <v>1521</v>
      </c>
      <c r="E70" s="1139">
        <v>0.2</v>
      </c>
      <c r="F70" s="1154">
        <v>30</v>
      </c>
    </row>
    <row r="71" spans="1:6" s="1105" customFormat="1" ht="48">
      <c r="A71" s="1154">
        <v>11</v>
      </c>
      <c r="B71" s="3463"/>
      <c r="C71" s="1068" t="s">
        <v>1522</v>
      </c>
      <c r="D71" s="1068" t="s">
        <v>1523</v>
      </c>
      <c r="E71" s="1139">
        <v>0.2</v>
      </c>
      <c r="F71" s="1154">
        <v>30</v>
      </c>
    </row>
    <row r="72" spans="1:6" s="1105" customFormat="1" ht="36">
      <c r="A72" s="1154">
        <v>12</v>
      </c>
      <c r="B72" s="3463"/>
      <c r="C72" s="1068" t="s">
        <v>1524</v>
      </c>
      <c r="D72" s="1068" t="s">
        <v>1525</v>
      </c>
      <c r="E72" s="1139">
        <v>0.5</v>
      </c>
      <c r="F72" s="1154">
        <v>80</v>
      </c>
    </row>
    <row r="73" spans="1:6" s="1105" customFormat="1" ht="24">
      <c r="A73" s="1154">
        <v>13</v>
      </c>
      <c r="B73" s="3463"/>
      <c r="C73" s="1068" t="s">
        <v>1526</v>
      </c>
      <c r="D73" s="1068" t="s">
        <v>1527</v>
      </c>
      <c r="E73" s="1139">
        <v>0.4</v>
      </c>
      <c r="F73" s="1154">
        <v>60</v>
      </c>
    </row>
    <row r="74" spans="1:6" s="1105" customFormat="1" ht="24">
      <c r="A74" s="1154">
        <v>14</v>
      </c>
      <c r="B74" s="3463"/>
      <c r="C74" s="1068" t="s">
        <v>1528</v>
      </c>
      <c r="D74" s="1068" t="s">
        <v>1529</v>
      </c>
      <c r="E74" s="1139">
        <v>0.2</v>
      </c>
      <c r="F74" s="1154">
        <v>30</v>
      </c>
    </row>
    <row r="75" spans="1:6" s="1105" customFormat="1" ht="24">
      <c r="A75" s="1154">
        <v>15</v>
      </c>
      <c r="B75" s="3463"/>
      <c r="C75" s="1068" t="s">
        <v>1530</v>
      </c>
      <c r="D75" s="1068" t="s">
        <v>1531</v>
      </c>
      <c r="E75" s="1139">
        <v>0.2</v>
      </c>
      <c r="F75" s="1154">
        <v>30</v>
      </c>
    </row>
    <row r="76" spans="1:6" s="1105" customFormat="1" ht="24">
      <c r="A76" s="1154">
        <v>16</v>
      </c>
      <c r="B76" s="3463" t="s">
        <v>1532</v>
      </c>
      <c r="C76" s="1068" t="s">
        <v>1533</v>
      </c>
      <c r="D76" s="1068" t="s">
        <v>1534</v>
      </c>
      <c r="E76" s="1139">
        <v>0.5</v>
      </c>
      <c r="F76" s="1154">
        <v>80</v>
      </c>
    </row>
    <row r="77" spans="1:6" s="1105" customFormat="1" ht="24">
      <c r="A77" s="1154">
        <v>17</v>
      </c>
      <c r="B77" s="3463"/>
      <c r="C77" s="1068" t="s">
        <v>1535</v>
      </c>
      <c r="D77" s="1068" t="s">
        <v>1536</v>
      </c>
      <c r="E77" s="1139">
        <v>0.5</v>
      </c>
      <c r="F77" s="1154">
        <v>80</v>
      </c>
    </row>
    <row r="78" spans="1:6" s="1105" customFormat="1" ht="24">
      <c r="A78" s="1154">
        <v>18</v>
      </c>
      <c r="B78" s="3463"/>
      <c r="C78" s="1068" t="s">
        <v>1537</v>
      </c>
      <c r="D78" s="1068" t="s">
        <v>1538</v>
      </c>
      <c r="E78" s="1139">
        <v>0.2</v>
      </c>
      <c r="F78" s="1154">
        <v>30</v>
      </c>
    </row>
    <row r="79" spans="1:6" s="1105" customFormat="1" ht="24">
      <c r="A79" s="1154">
        <v>19</v>
      </c>
      <c r="B79" s="3463"/>
      <c r="C79" s="1068" t="s">
        <v>1539</v>
      </c>
      <c r="D79" s="1068" t="s">
        <v>1540</v>
      </c>
      <c r="E79" s="1139">
        <v>0.5</v>
      </c>
      <c r="F79" s="1154">
        <v>80</v>
      </c>
    </row>
    <row r="80" spans="1:6" s="1105" customFormat="1" ht="36">
      <c r="A80" s="1154">
        <v>20</v>
      </c>
      <c r="B80" s="3463"/>
      <c r="C80" s="1068" t="s">
        <v>1541</v>
      </c>
      <c r="D80" s="1068" t="s">
        <v>1542</v>
      </c>
      <c r="E80" s="1139">
        <v>0.2</v>
      </c>
      <c r="F80" s="1154">
        <v>30</v>
      </c>
    </row>
    <row r="81" spans="1:6" s="1105" customFormat="1" ht="36">
      <c r="A81" s="1154">
        <v>21</v>
      </c>
      <c r="B81" s="3463"/>
      <c r="C81" s="1068" t="s">
        <v>1543</v>
      </c>
      <c r="D81" s="1068" t="s">
        <v>1544</v>
      </c>
      <c r="E81" s="1139">
        <v>0.2</v>
      </c>
      <c r="F81" s="1154">
        <v>30</v>
      </c>
    </row>
    <row r="82" spans="1:6" s="1105" customFormat="1" ht="48">
      <c r="A82" s="1154">
        <v>22</v>
      </c>
      <c r="B82" s="3463"/>
      <c r="C82" s="1068" t="s">
        <v>1545</v>
      </c>
      <c r="D82" s="1068" t="s">
        <v>1546</v>
      </c>
      <c r="E82" s="1139">
        <v>0.2</v>
      </c>
      <c r="F82" s="1154">
        <v>30</v>
      </c>
    </row>
    <row r="83" spans="1:6" s="1105" customFormat="1" ht="48">
      <c r="A83" s="1154">
        <v>23</v>
      </c>
      <c r="B83" s="3463"/>
      <c r="C83" s="1068" t="s">
        <v>1547</v>
      </c>
      <c r="D83" s="1068" t="s">
        <v>1548</v>
      </c>
      <c r="E83" s="1139">
        <v>0.2</v>
      </c>
      <c r="F83" s="1154">
        <v>30</v>
      </c>
    </row>
    <row r="84" spans="1:6" s="1105" customFormat="1" ht="36">
      <c r="A84" s="1154">
        <v>24</v>
      </c>
      <c r="B84" s="3463"/>
      <c r="C84" s="1068" t="s">
        <v>1549</v>
      </c>
      <c r="D84" s="1068" t="s">
        <v>1550</v>
      </c>
      <c r="E84" s="1139">
        <v>0.2</v>
      </c>
      <c r="F84" s="1154">
        <v>30</v>
      </c>
    </row>
    <row r="85" spans="1:6" s="1105" customFormat="1" ht="36">
      <c r="A85" s="1154">
        <v>25</v>
      </c>
      <c r="B85" s="3463"/>
      <c r="C85" s="1068" t="s">
        <v>1551</v>
      </c>
      <c r="D85" s="1068" t="s">
        <v>1552</v>
      </c>
      <c r="E85" s="1139">
        <v>0.5</v>
      </c>
      <c r="F85" s="1154">
        <v>80</v>
      </c>
    </row>
    <row r="86" spans="1:6" s="1105" customFormat="1" ht="36">
      <c r="A86" s="1154">
        <v>26</v>
      </c>
      <c r="B86" s="3463"/>
      <c r="C86" s="1068" t="s">
        <v>1553</v>
      </c>
      <c r="D86" s="1068" t="s">
        <v>1554</v>
      </c>
      <c r="E86" s="1139">
        <v>0.2</v>
      </c>
      <c r="F86" s="1154">
        <v>30</v>
      </c>
    </row>
    <row r="87" spans="1:6" s="1105" customFormat="1" ht="36">
      <c r="A87" s="1154">
        <v>27</v>
      </c>
      <c r="B87" s="3463"/>
      <c r="C87" s="1068" t="s">
        <v>1555</v>
      </c>
      <c r="D87" s="1068" t="s">
        <v>1556</v>
      </c>
      <c r="E87" s="1139">
        <v>0.2</v>
      </c>
      <c r="F87" s="1154">
        <v>30</v>
      </c>
    </row>
    <row r="88" spans="1:6" s="1105" customFormat="1" ht="36">
      <c r="A88" s="1154">
        <v>28</v>
      </c>
      <c r="B88" s="3463"/>
      <c r="C88" s="1068" t="s">
        <v>1557</v>
      </c>
      <c r="D88" s="1068" t="s">
        <v>1558</v>
      </c>
      <c r="E88" s="1139">
        <v>0.2</v>
      </c>
      <c r="F88" s="1154">
        <v>30</v>
      </c>
    </row>
    <row r="89" spans="1:6" s="1105" customFormat="1" ht="24">
      <c r="A89" s="1154">
        <v>29</v>
      </c>
      <c r="B89" s="3463"/>
      <c r="C89" s="1068" t="s">
        <v>1559</v>
      </c>
      <c r="D89" s="1068" t="s">
        <v>1560</v>
      </c>
      <c r="E89" s="1139">
        <v>0.2</v>
      </c>
      <c r="F89" s="1154">
        <v>30</v>
      </c>
    </row>
    <row r="90" spans="1:6" s="1105" customFormat="1" ht="24">
      <c r="A90" s="1154">
        <v>30</v>
      </c>
      <c r="B90" s="3463"/>
      <c r="C90" s="1068" t="s">
        <v>1561</v>
      </c>
      <c r="D90" s="1068" t="s">
        <v>1562</v>
      </c>
      <c r="E90" s="1139">
        <v>0.2</v>
      </c>
      <c r="F90" s="1154">
        <v>30</v>
      </c>
    </row>
    <row r="91" spans="1:6" s="1105" customFormat="1" ht="36">
      <c r="A91" s="1154">
        <v>31</v>
      </c>
      <c r="B91" s="3463"/>
      <c r="C91" s="1068" t="s">
        <v>1563</v>
      </c>
      <c r="D91" s="1068" t="s">
        <v>1564</v>
      </c>
      <c r="E91" s="1139">
        <v>0.2</v>
      </c>
      <c r="F91" s="1154">
        <v>30</v>
      </c>
    </row>
    <row r="92" spans="1:6" s="1105" customFormat="1" ht="24">
      <c r="A92" s="1154">
        <v>32</v>
      </c>
      <c r="B92" s="3463" t="s">
        <v>1565</v>
      </c>
      <c r="C92" s="1154" t="s">
        <v>1566</v>
      </c>
      <c r="D92" s="1068" t="s">
        <v>1567</v>
      </c>
      <c r="E92" s="1139">
        <v>0.2</v>
      </c>
      <c r="F92" s="1154">
        <v>30</v>
      </c>
    </row>
    <row r="93" spans="1:6" s="1105" customFormat="1" ht="36">
      <c r="A93" s="1154">
        <v>33</v>
      </c>
      <c r="B93" s="3463"/>
      <c r="C93" s="1154" t="s">
        <v>1568</v>
      </c>
      <c r="D93" s="1068" t="s">
        <v>1569</v>
      </c>
      <c r="E93" s="1139">
        <v>0.2</v>
      </c>
      <c r="F93" s="1154">
        <v>30</v>
      </c>
    </row>
    <row r="94" spans="1:6" s="1105" customFormat="1" ht="48">
      <c r="A94" s="1154">
        <v>34</v>
      </c>
      <c r="B94" s="3463"/>
      <c r="C94" s="1154" t="s">
        <v>1570</v>
      </c>
      <c r="D94" s="1068" t="s">
        <v>1571</v>
      </c>
      <c r="E94" s="1139">
        <v>0.2</v>
      </c>
      <c r="F94" s="1154">
        <v>30</v>
      </c>
    </row>
    <row r="95" spans="1:6" s="1105" customFormat="1" ht="36">
      <c r="A95" s="1154">
        <v>35</v>
      </c>
      <c r="B95" s="3463"/>
      <c r="C95" s="1154" t="s">
        <v>1572</v>
      </c>
      <c r="D95" s="1068" t="s">
        <v>1573</v>
      </c>
      <c r="E95" s="1139">
        <v>0.2</v>
      </c>
      <c r="F95" s="1154">
        <v>30</v>
      </c>
    </row>
    <row r="96" spans="1:6" s="1105" customFormat="1" ht="48">
      <c r="A96" s="1154">
        <v>36</v>
      </c>
      <c r="B96" s="3463"/>
      <c r="C96" s="1068" t="s">
        <v>1574</v>
      </c>
      <c r="D96" s="1068" t="s">
        <v>1575</v>
      </c>
      <c r="E96" s="1139">
        <v>0.2</v>
      </c>
      <c r="F96" s="1154">
        <v>30</v>
      </c>
    </row>
    <row r="97" spans="1:6" s="1105" customFormat="1" ht="36">
      <c r="A97" s="1154">
        <v>37</v>
      </c>
      <c r="B97" s="3463"/>
      <c r="C97" s="1154" t="s">
        <v>1576</v>
      </c>
      <c r="D97" s="1068" t="s">
        <v>1577</v>
      </c>
      <c r="E97" s="1139">
        <v>0.2</v>
      </c>
      <c r="F97" s="1154">
        <v>30</v>
      </c>
    </row>
    <row r="98" spans="1:6" s="1105" customFormat="1" ht="36">
      <c r="A98" s="1154">
        <v>38</v>
      </c>
      <c r="B98" s="3463"/>
      <c r="C98" s="1154" t="s">
        <v>1578</v>
      </c>
      <c r="D98" s="1068" t="s">
        <v>1579</v>
      </c>
      <c r="E98" s="1139">
        <v>0.2</v>
      </c>
      <c r="F98" s="1154">
        <v>30</v>
      </c>
    </row>
    <row r="99" spans="1:6" s="1105" customFormat="1" ht="36">
      <c r="A99" s="1154">
        <v>39</v>
      </c>
      <c r="B99" s="3463" t="s">
        <v>1580</v>
      </c>
      <c r="C99" s="1154" t="s">
        <v>1581</v>
      </c>
      <c r="D99" s="1068" t="s">
        <v>1582</v>
      </c>
      <c r="E99" s="1139">
        <v>0.3</v>
      </c>
      <c r="F99" s="1154">
        <v>50</v>
      </c>
    </row>
    <row r="100" spans="1:6" s="1105" customFormat="1" ht="24">
      <c r="A100" s="1154">
        <v>40</v>
      </c>
      <c r="B100" s="3463"/>
      <c r="C100" s="1154" t="s">
        <v>1583</v>
      </c>
      <c r="D100" s="1068" t="s">
        <v>1584</v>
      </c>
      <c r="E100" s="1139">
        <v>0.2</v>
      </c>
      <c r="F100" s="1154">
        <v>30</v>
      </c>
    </row>
    <row r="101" spans="1:6" s="1105" customFormat="1" ht="36">
      <c r="A101" s="1154">
        <v>41</v>
      </c>
      <c r="B101" s="346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3" t="s">
        <v>1595</v>
      </c>
      <c r="C105" s="1154" t="s">
        <v>1596</v>
      </c>
      <c r="D105" s="1068" t="s">
        <v>1597</v>
      </c>
      <c r="E105" s="1139">
        <v>0.2</v>
      </c>
      <c r="F105" s="1154">
        <v>30</v>
      </c>
    </row>
    <row r="106" spans="1:6" s="1105" customFormat="1" ht="36">
      <c r="A106" s="1154">
        <v>46</v>
      </c>
      <c r="B106" s="3463"/>
      <c r="C106" s="1154" t="s">
        <v>1598</v>
      </c>
      <c r="D106" s="1068" t="s">
        <v>1599</v>
      </c>
      <c r="E106" s="1139">
        <v>0.2</v>
      </c>
      <c r="F106" s="1154">
        <v>30</v>
      </c>
    </row>
    <row r="107" spans="1:6" s="1105" customFormat="1" ht="36">
      <c r="A107" s="1154">
        <v>47</v>
      </c>
      <c r="B107" s="3463" t="s">
        <v>1600</v>
      </c>
      <c r="C107" s="1154" t="s">
        <v>1601</v>
      </c>
      <c r="D107" s="1068" t="s">
        <v>1602</v>
      </c>
      <c r="E107" s="1139">
        <v>0.3</v>
      </c>
      <c r="F107" s="1154">
        <v>50</v>
      </c>
    </row>
    <row r="108" spans="1:6" s="1105" customFormat="1" ht="36">
      <c r="A108" s="1154">
        <v>48</v>
      </c>
      <c r="B108" s="346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3" t="s">
        <v>1611</v>
      </c>
      <c r="C111" s="1154" t="s">
        <v>1612</v>
      </c>
      <c r="D111" s="1068" t="s">
        <v>1613</v>
      </c>
      <c r="E111" s="1139">
        <v>0.2</v>
      </c>
      <c r="F111" s="1154">
        <v>30</v>
      </c>
    </row>
    <row r="112" spans="1:6" s="1105" customFormat="1" ht="24">
      <c r="A112" s="1154">
        <v>52</v>
      </c>
      <c r="B112" s="3463"/>
      <c r="C112" s="1154" t="s">
        <v>1614</v>
      </c>
      <c r="D112" s="1068" t="s">
        <v>1615</v>
      </c>
      <c r="E112" s="1139">
        <v>0.2</v>
      </c>
      <c r="F112" s="1154">
        <v>30</v>
      </c>
    </row>
    <row r="113" spans="1:14" s="1105" customFormat="1" ht="24">
      <c r="A113" s="1154">
        <v>53</v>
      </c>
      <c r="B113" s="346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3" t="s">
        <v>1624</v>
      </c>
      <c r="C116" s="1154" t="s">
        <v>1625</v>
      </c>
      <c r="D116" s="1068" t="s">
        <v>1626</v>
      </c>
      <c r="E116" s="1139">
        <v>0.2</v>
      </c>
      <c r="F116" s="1154">
        <v>30</v>
      </c>
    </row>
    <row r="117" spans="1:14" ht="36">
      <c r="A117" s="1154">
        <v>57</v>
      </c>
      <c r="B117" s="346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2" t="s">
        <v>1633</v>
      </c>
      <c r="B121" s="3462"/>
      <c r="C121" s="3462"/>
      <c r="D121" s="3462"/>
      <c r="E121" s="3462"/>
      <c r="F121" s="3462"/>
      <c r="G121" s="3462"/>
      <c r="H121" s="3462"/>
      <c r="I121" s="3462"/>
      <c r="J121" s="34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7" t="s">
        <v>1039</v>
      </c>
      <c r="B1" s="3467"/>
      <c r="C1" s="3467"/>
      <c r="D1" s="3467"/>
      <c r="E1" s="3467"/>
      <c r="F1" s="346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8" t="s">
        <v>1052</v>
      </c>
      <c r="B2" s="3468"/>
      <c r="C2" s="3468"/>
      <c r="D2" s="3468"/>
      <c r="E2" s="3468"/>
      <c r="F2" s="346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1" t="s">
        <v>2079</v>
      </c>
      <c r="B1" s="347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73" t="s">
        <v>2464</v>
      </c>
      <c r="C8" s="1825">
        <f ca="1">ROUND(F8*F10*F9*(1-F11)/10000,0)</f>
        <v>0</v>
      </c>
      <c r="D8" s="1822" t="s">
        <v>2535</v>
      </c>
      <c r="E8" s="61" t="s">
        <v>636</v>
      </c>
      <c r="F8" s="785">
        <f ca="1">INDIRECT("'数据-取费表'!u"&amp;$G$1)</f>
        <v>0</v>
      </c>
      <c r="G8" s="1591"/>
      <c r="H8" s="2528" t="s">
        <v>1824</v>
      </c>
      <c r="I8" s="3473" t="s">
        <v>2464</v>
      </c>
      <c r="J8" s="783">
        <f ca="1">ROUND(M8*M10*M9*(1-M11)/10000,0)</f>
        <v>0</v>
      </c>
      <c r="K8" s="341" t="s">
        <v>2535</v>
      </c>
      <c r="L8" s="784" t="s">
        <v>1738</v>
      </c>
      <c r="M8" s="785">
        <f ca="1">INDIRECT("'数据-取费表'!z"&amp;$G$1)</f>
        <v>0</v>
      </c>
    </row>
    <row r="9" spans="1:25" ht="18" customHeight="1">
      <c r="A9" s="2524"/>
      <c r="B9" s="3474"/>
      <c r="C9" s="1826"/>
      <c r="D9" s="1823"/>
      <c r="E9" s="61" t="s">
        <v>637</v>
      </c>
      <c r="F9" s="785">
        <f ca="1">IF(INDIRECT("'数据-取费表'!ah"&amp;$G$1)="",INDIRECT("'数据-取费表'!k"&amp;$G$1),INDIRECT("'数据-取费表'!ah"&amp;$G$1))</f>
        <v>0</v>
      </c>
      <c r="G9" s="1591"/>
      <c r="H9" s="2513"/>
      <c r="I9" s="3474"/>
      <c r="J9" s="788"/>
      <c r="K9" s="789"/>
      <c r="L9" s="784" t="s">
        <v>1739</v>
      </c>
      <c r="M9" s="785">
        <f ca="1">F9</f>
        <v>0</v>
      </c>
    </row>
    <row r="10" spans="1:25" ht="18" customHeight="1">
      <c r="A10" s="2517"/>
      <c r="B10" s="3475"/>
      <c r="C10" s="1826"/>
      <c r="D10" s="1823"/>
      <c r="E10" s="61" t="s">
        <v>638</v>
      </c>
      <c r="F10" s="785">
        <f ca="1">INDIRECT("'数据-取费表'!ai"&amp;$G$1)</f>
        <v>0</v>
      </c>
      <c r="G10" s="1591"/>
      <c r="H10" s="2513"/>
      <c r="I10" s="3475"/>
      <c r="J10" s="788"/>
      <c r="K10" s="789"/>
      <c r="L10" s="784" t="s">
        <v>1740</v>
      </c>
      <c r="M10" s="785">
        <f ca="1">INDIRECT("'数据-取费表'!ai"&amp;$G$1)</f>
        <v>0</v>
      </c>
    </row>
    <row r="11" spans="1:25" ht="18" customHeight="1">
      <c r="A11" s="786"/>
      <c r="B11" s="3476"/>
      <c r="C11" s="1826"/>
      <c r="D11" s="1823"/>
      <c r="E11" s="61" t="s">
        <v>639</v>
      </c>
      <c r="F11" s="794">
        <f ca="1">INDIRECT("'数据-取费表'!w"&amp;$G$1)</f>
        <v>0</v>
      </c>
      <c r="G11" s="1591"/>
      <c r="H11" s="2529"/>
      <c r="I11" s="347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72"/>
      <c r="J36" s="2079"/>
      <c r="K36" s="2080"/>
      <c r="L36" s="2079"/>
      <c r="M36" s="2079"/>
    </row>
    <row r="37" spans="1:18" ht="18" customHeight="1">
      <c r="A37" s="815"/>
      <c r="B37" s="793"/>
      <c r="C37" s="69"/>
      <c r="D37" s="816"/>
      <c r="E37" s="784" t="s">
        <v>673</v>
      </c>
      <c r="F37" s="785">
        <f ca="1">INDIRECT("'数据-取费表'!r"&amp;$G$1)</f>
        <v>0</v>
      </c>
      <c r="G37" s="2062"/>
      <c r="H37" s="2065"/>
      <c r="I37" s="347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77"/>
      <c r="L54" s="347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5" t="s">
        <v>2577</v>
      </c>
      <c r="C1" s="3485"/>
      <c r="D1" s="3485"/>
      <c r="E1" s="3485"/>
      <c r="F1" s="3485"/>
      <c r="G1" s="3484" t="s">
        <v>2578</v>
      </c>
      <c r="H1" s="3484"/>
      <c r="I1" s="3484"/>
      <c r="J1" s="3484"/>
      <c r="K1" s="3484"/>
      <c r="L1" s="3484"/>
      <c r="N1" s="3484" t="s">
        <v>2579</v>
      </c>
      <c r="O1" s="3484"/>
      <c r="P1" s="3484"/>
      <c r="Q1" s="3484"/>
      <c r="R1" s="2678"/>
      <c r="S1" s="3484" t="s">
        <v>2580</v>
      </c>
      <c r="T1" s="3484"/>
      <c r="U1" s="3484"/>
      <c r="V1" s="3484"/>
      <c r="X1" s="3483" t="s">
        <v>2640</v>
      </c>
      <c r="Y1" s="3484"/>
      <c r="Z1" s="3484"/>
      <c r="AA1" s="3484"/>
      <c r="AB1" s="3484"/>
      <c r="AD1" s="3483" t="s">
        <v>2644</v>
      </c>
      <c r="AE1" s="3484"/>
      <c r="AF1" s="3484"/>
      <c r="AG1" s="3484"/>
      <c r="AH1" s="3484"/>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82">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80"/>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80"/>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81"/>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79">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80"/>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80"/>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81"/>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79">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80"/>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80"/>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81"/>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86">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87"/>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87"/>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88"/>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79">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80"/>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80"/>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81"/>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79">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80">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80">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81">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79">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80">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80">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81">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79">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80">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80">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81">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79">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80">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80">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81">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79">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80">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80">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81">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79">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80">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80">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81">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79">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80">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80">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81">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79">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80">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80">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81">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7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80">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80">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81">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7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80">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80">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81">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34" zoomScale="70" zoomScaleNormal="70" workbookViewId="0">
      <selection activeCell="C10" sqref="C10"/>
    </sheetView>
  </sheetViews>
  <sheetFormatPr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3011</v>
      </c>
      <c r="D1" s="3152" t="s">
        <v>3019</v>
      </c>
      <c r="E1" s="2411" t="s">
        <v>2375</v>
      </c>
      <c r="F1" s="2412">
        <f ca="1">J53</f>
        <v>46.72</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14853</v>
      </c>
      <c r="C2" s="2057"/>
      <c r="D2" s="2055"/>
      <c r="E2" s="2056"/>
      <c r="F2" s="2056"/>
      <c r="G2" s="1589"/>
      <c r="H2" s="2057"/>
      <c r="I2" s="2057"/>
      <c r="J2" s="2057"/>
      <c r="K2" s="2058"/>
      <c r="L2" s="2057"/>
      <c r="M2" s="2057"/>
    </row>
    <row r="3" spans="1:33" ht="18" customHeight="1" thickBot="1">
      <c r="A3" s="833" t="s">
        <v>1727</v>
      </c>
      <c r="B3" s="834">
        <f ca="1">IF(ISERROR(B2*10000/F43),0,ROUND(B2*10000/F43,0))</f>
        <v>16545</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737</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737</v>
      </c>
      <c r="D6" s="2521" t="s">
        <v>2463</v>
      </c>
      <c r="E6" s="784" t="s">
        <v>1738</v>
      </c>
      <c r="F6" s="785">
        <f ca="1">INDIRECT("'数据-取费表'!u"&amp;$G$1)</f>
        <v>2.5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8977.4699999999993</v>
      </c>
      <c r="G7" s="1591"/>
      <c r="H7" s="2513"/>
      <c r="I7" s="3474"/>
      <c r="J7" s="788"/>
      <c r="K7" s="789"/>
      <c r="L7" s="784" t="s">
        <v>1739</v>
      </c>
      <c r="M7" s="785">
        <f ca="1">F7</f>
        <v>8977.4699999999993</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3223"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3502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2590</v>
      </c>
      <c r="D14" s="3177" t="s">
        <v>1745</v>
      </c>
      <c r="E14" s="3176"/>
      <c r="F14" s="805"/>
      <c r="G14" s="1591"/>
      <c r="H14" s="1648" t="s">
        <v>1830</v>
      </c>
      <c r="I14" s="2231" t="s">
        <v>2826</v>
      </c>
      <c r="J14" s="53">
        <f ca="1">C29</f>
        <v>3502</v>
      </c>
      <c r="K14" s="26"/>
      <c r="L14" s="801"/>
      <c r="M14" s="802"/>
    </row>
    <row r="15" spans="1:33" s="2064" customFormat="1" ht="18" customHeight="1" thickBot="1">
      <c r="A15" s="1647" t="s">
        <v>1885</v>
      </c>
      <c r="B15" s="784" t="s">
        <v>646</v>
      </c>
      <c r="C15" s="53">
        <f ca="1">ROUND(C14*F15,0)</f>
        <v>78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83</v>
      </c>
      <c r="K16" s="1821" t="s">
        <v>1750</v>
      </c>
      <c r="L16" s="3179"/>
      <c r="M16" s="2515"/>
    </row>
    <row r="17" spans="1:33" s="2064" customFormat="1" ht="18" customHeight="1">
      <c r="A17" s="1647" t="s">
        <v>1887</v>
      </c>
      <c r="B17" s="784" t="s">
        <v>652</v>
      </c>
      <c r="C17" s="53">
        <f ca="1">ROUND(F17*(F43+INDIRECT("'数据-取费表'!S"&amp;$G$1))/10000,0)</f>
        <v>185</v>
      </c>
      <c r="D17" s="784" t="s">
        <v>1751</v>
      </c>
      <c r="E17" s="784" t="s">
        <v>1752</v>
      </c>
      <c r="F17" s="56">
        <f>'数据-取费表'!B35</f>
        <v>200</v>
      </c>
      <c r="G17" s="1592"/>
      <c r="H17" s="1648" t="s">
        <v>1830</v>
      </c>
      <c r="I17" s="784" t="s">
        <v>655</v>
      </c>
      <c r="J17" s="53">
        <f ca="1">ROUND(IF(项目基本情况!B11="自然人",J5*M17,J18+J19+J20),0)</f>
        <v>30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39</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2892</v>
      </c>
      <c r="D19" s="261" t="s">
        <v>1757</v>
      </c>
      <c r="E19" s="3181"/>
      <c r="F19" s="56"/>
      <c r="G19" s="1591"/>
      <c r="H19" s="1647" t="s">
        <v>1885</v>
      </c>
      <c r="I19" s="784" t="s">
        <v>1758</v>
      </c>
      <c r="J19" s="53">
        <f ca="1">IF(K19="按租金收入计税",ROUND(J5*M19,1),ROUND(C29*F33*0.7,1))</f>
        <v>29.4</v>
      </c>
      <c r="K19" s="811" t="s">
        <v>664</v>
      </c>
      <c r="L19" s="784" t="s">
        <v>1747</v>
      </c>
      <c r="M19" s="809">
        <f>IF(K19="按租金收入计税",'数据-取费表'!B51,'数据-取费表'!B50)</f>
        <v>1.2E-2</v>
      </c>
    </row>
    <row r="20" spans="1:33" s="2064" customFormat="1" ht="18" customHeight="1">
      <c r="A20" s="1648" t="s">
        <v>1889</v>
      </c>
      <c r="B20" s="784" t="s">
        <v>665</v>
      </c>
      <c r="C20" s="53">
        <f ca="1">ROUND(C19*F20,0)</f>
        <v>58</v>
      </c>
      <c r="D20" s="812" t="s">
        <v>1759</v>
      </c>
      <c r="E20" s="784" t="s">
        <v>1747</v>
      </c>
      <c r="F20" s="809">
        <f>'数据-取费表'!B37</f>
        <v>0.02</v>
      </c>
      <c r="G20" s="1592"/>
      <c r="H20" s="1650" t="s">
        <v>1880</v>
      </c>
      <c r="I20" s="341" t="s">
        <v>1760</v>
      </c>
      <c r="J20" s="54">
        <f ca="1">ROUND(M20*M21/10000,0)</f>
        <v>1</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2569.48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53</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140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-83</v>
      </c>
      <c r="K25" s="2572" t="s">
        <v>1777</v>
      </c>
      <c r="L25" s="2573"/>
      <c r="M25" s="2574"/>
    </row>
    <row r="26" spans="1:33" ht="18" customHeight="1">
      <c r="A26" s="1647" t="s">
        <v>1831</v>
      </c>
      <c r="B26" s="784" t="s">
        <v>2439</v>
      </c>
      <c r="C26" s="53">
        <f ca="1">ROUND((C19+C20)*F26,0)</f>
        <v>148</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3502</v>
      </c>
      <c r="D29" s="2569"/>
      <c r="E29" s="2570"/>
      <c r="F29" s="2571"/>
      <c r="G29" s="1592"/>
      <c r="H29" s="823" t="s">
        <v>1787</v>
      </c>
      <c r="I29" s="824" t="s">
        <v>1788</v>
      </c>
      <c r="J29" s="825">
        <f ca="1">ROUND(J26/(1+F40)^F41,0)</f>
        <v>0</v>
      </c>
      <c r="K29" s="826" t="s">
        <v>1789</v>
      </c>
      <c r="L29" s="827"/>
      <c r="M29" s="828">
        <f ca="1">INDIRECT("'数据-取费表'!k"&amp;$G$1)</f>
        <v>8977.4699999999993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135</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69.5</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39.299999999999997</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29.4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0.8</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2569.48</v>
      </c>
      <c r="G35" s="2062"/>
      <c r="H35" s="2065"/>
      <c r="I35" s="837" t="s">
        <v>1814</v>
      </c>
      <c r="J35" s="838">
        <f ca="1">ROUND(C13*J36,0)</f>
        <v>298</v>
      </c>
      <c r="K35" s="2078"/>
      <c r="L35" s="2077"/>
      <c r="M35" s="2077"/>
    </row>
    <row r="36" spans="1:18" ht="18" customHeight="1">
      <c r="A36" s="1648" t="s">
        <v>1889</v>
      </c>
      <c r="B36" s="784" t="s">
        <v>1802</v>
      </c>
      <c r="C36" s="53">
        <f ca="1">ROUND(C29*F36,1)</f>
        <v>52.5</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5.3</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7.4</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602</v>
      </c>
      <c r="D39" s="2572" t="s">
        <v>1806</v>
      </c>
      <c r="E39" s="2573"/>
      <c r="F39" s="2574"/>
      <c r="G39" s="2062"/>
      <c r="H39" s="2077"/>
      <c r="I39" s="837" t="s">
        <v>1818</v>
      </c>
      <c r="J39" s="845">
        <f ca="1">ROUND(J35/C39,3)</f>
        <v>0.495</v>
      </c>
      <c r="K39" s="2083"/>
      <c r="L39" s="2077"/>
      <c r="M39" s="2077"/>
    </row>
    <row r="40" spans="1:18" ht="18" customHeight="1">
      <c r="A40" s="781" t="s">
        <v>1895</v>
      </c>
      <c r="B40" s="2232" t="s">
        <v>2301</v>
      </c>
      <c r="C40" s="783">
        <f ca="1">ROUND(C39*(1-((1+F42)/(1+F40))^F41)/(F40-F42),0)</f>
        <v>14853</v>
      </c>
      <c r="D40" s="814" t="s">
        <v>1807</v>
      </c>
      <c r="E40" s="784" t="s">
        <v>2420</v>
      </c>
      <c r="F40" s="794">
        <f ca="1">INDIRECT("'数据-取费表'!I"&amp;$G$1)</f>
        <v>5.5E-2</v>
      </c>
      <c r="G40" s="2062"/>
      <c r="H40" s="2062"/>
      <c r="I40" s="837" t="s">
        <v>1819</v>
      </c>
      <c r="J40" s="845">
        <f ca="1">1-J39</f>
        <v>0.505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46.72</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0.23599999999999999</v>
      </c>
      <c r="K42" s="2082"/>
      <c r="L42" s="1988"/>
      <c r="M42" s="1988"/>
    </row>
    <row r="43" spans="1:18" ht="18" customHeight="1" thickBot="1">
      <c r="A43" s="823" t="s">
        <v>1787</v>
      </c>
      <c r="B43" s="824" t="s">
        <v>1810</v>
      </c>
      <c r="C43" s="825">
        <f ca="1">ROUND(C40*10000/F43,0)</f>
        <v>16545</v>
      </c>
      <c r="D43" s="826" t="s">
        <v>1811</v>
      </c>
      <c r="E43" s="827" t="s">
        <v>1812</v>
      </c>
      <c r="F43" s="828">
        <f ca="1">INDIRECT("'数据-取费表'!k"&amp;$G$1)</f>
        <v>8977.4699999999993</v>
      </c>
      <c r="G43" s="2062"/>
      <c r="H43" s="1988"/>
      <c r="I43" s="847" t="s">
        <v>1822</v>
      </c>
      <c r="J43" s="848">
        <f ca="1">1-J42</f>
        <v>0.76400000000000001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-16322</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48.72</v>
      </c>
      <c r="O48" s="2422" t="s">
        <v>2380</v>
      </c>
      <c r="P48" s="2423" t="s">
        <v>2406</v>
      </c>
      <c r="Q48" s="2424">
        <f ca="1">C40+J29</f>
        <v>14853</v>
      </c>
      <c r="R48" s="2423" t="s">
        <v>2381</v>
      </c>
    </row>
    <row r="49" spans="1:18" s="2059" customFormat="1" ht="18" customHeight="1" thickBot="1">
      <c r="A49" s="786"/>
      <c r="B49" s="787"/>
      <c r="C49" s="788"/>
      <c r="D49" s="789"/>
      <c r="E49" s="784" t="s">
        <v>1739</v>
      </c>
      <c r="F49" s="785">
        <f ca="1">F7</f>
        <v>8977.4699999999993</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3502</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5522</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46.72</v>
      </c>
      <c r="K53" s="3489" t="s">
        <v>2966</v>
      </c>
      <c r="L53" s="3490"/>
      <c r="O53" s="2425" t="s">
        <v>2389</v>
      </c>
      <c r="P53" s="2423" t="s">
        <v>2390</v>
      </c>
      <c r="Q53" s="2424">
        <f ca="1">J53</f>
        <v>46.72</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14853</v>
      </c>
      <c r="R54" s="2427" t="s">
        <v>2393</v>
      </c>
    </row>
    <row r="55" spans="1:18" s="2059" customFormat="1" ht="18" customHeight="1" thickTop="1" thickBot="1">
      <c r="A55" s="797">
        <v>2</v>
      </c>
      <c r="B55" s="798" t="s">
        <v>643</v>
      </c>
      <c r="C55" s="799">
        <f ca="1">C13</f>
        <v>3502</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3502</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88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14853</v>
      </c>
      <c r="R57" s="2423" t="s">
        <v>2381</v>
      </c>
    </row>
    <row r="58" spans="1:18" s="2059" customFormat="1" ht="28.5" customHeight="1" thickBot="1">
      <c r="A58" s="1648" t="s">
        <v>1824</v>
      </c>
      <c r="B58" s="784" t="s">
        <v>655</v>
      </c>
      <c r="C58" s="53">
        <f ca="1">ROUND(IF(项目基本情况!B11="自然人",C47*F58,C59+C60+C61),1)</f>
        <v>30.2</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29.4</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0.8</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2569.48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52.5</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14853</v>
      </c>
      <c r="R63" s="2427" t="s">
        <v>2393</v>
      </c>
    </row>
    <row r="64" spans="1:18" s="2059" customFormat="1" ht="16.5" thickBot="1">
      <c r="A64" s="1648" t="s">
        <v>1890</v>
      </c>
      <c r="B64" s="784" t="s">
        <v>678</v>
      </c>
      <c r="C64" s="53">
        <f ca="1">ROUND(C55*F64,1)</f>
        <v>5.3</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-88</v>
      </c>
      <c r="D66" s="3177" t="s">
        <v>699</v>
      </c>
      <c r="E66" s="3175"/>
      <c r="F66" s="820"/>
      <c r="K66" s="2086"/>
      <c r="O66" s="2422" t="s">
        <v>2380</v>
      </c>
      <c r="P66" s="2423" t="s">
        <v>2410</v>
      </c>
      <c r="Q66" s="2424">
        <f ca="1">C40+J29</f>
        <v>14853</v>
      </c>
      <c r="R66" s="2423" t="s">
        <v>2381</v>
      </c>
    </row>
    <row r="67" spans="1:18" s="2059" customFormat="1" ht="20.25" thickBot="1">
      <c r="A67" s="781" t="s">
        <v>1780</v>
      </c>
      <c r="B67" s="2232" t="s">
        <v>2301</v>
      </c>
      <c r="C67" s="783">
        <f ca="1">ROUND(C66*(1-((1+F69)/(1+F67))^F68)/(F67-F69),0)</f>
        <v>-1469</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46.72</v>
      </c>
      <c r="O68" s="2425" t="s">
        <v>2384</v>
      </c>
      <c r="P68" s="2423" t="s">
        <v>2414</v>
      </c>
      <c r="Q68" s="2429">
        <f ca="1">L51</f>
        <v>5522</v>
      </c>
      <c r="R68" s="2430" t="s">
        <v>2417</v>
      </c>
    </row>
    <row r="69" spans="1:18" ht="20.25" thickBot="1">
      <c r="A69" s="790"/>
      <c r="B69" s="791"/>
      <c r="C69" s="792"/>
      <c r="D69" s="816"/>
      <c r="E69" s="784" t="s">
        <v>709</v>
      </c>
      <c r="F69" s="2371"/>
      <c r="O69" s="2425" t="s">
        <v>2385</v>
      </c>
      <c r="P69" s="2431" t="s">
        <v>2399</v>
      </c>
      <c r="Q69" s="2424">
        <f ca="1">ROUND(Q70-Q71*Q72,0)</f>
        <v>304</v>
      </c>
      <c r="R69" s="2427"/>
    </row>
    <row r="70" spans="1:18" ht="15.75" thickBot="1">
      <c r="A70" s="823" t="s">
        <v>1787</v>
      </c>
      <c r="B70" s="824" t="s">
        <v>1810</v>
      </c>
      <c r="C70" s="825">
        <f ca="1">ROUND(C67*10000/F70,0)</f>
        <v>-1636</v>
      </c>
      <c r="D70" s="826" t="s">
        <v>1811</v>
      </c>
      <c r="E70" s="827" t="s">
        <v>1812</v>
      </c>
      <c r="F70" s="828">
        <f ca="1">F43</f>
        <v>8977.4699999999993</v>
      </c>
      <c r="O70" s="2425" t="s">
        <v>2400</v>
      </c>
      <c r="P70" s="2431" t="s">
        <v>2401</v>
      </c>
      <c r="Q70" s="2424">
        <f ca="1">C39</f>
        <v>602</v>
      </c>
      <c r="R70" s="2423" t="s">
        <v>2381</v>
      </c>
    </row>
    <row r="71" spans="1:18" ht="15.75" thickBot="1">
      <c r="O71" s="2425" t="s">
        <v>2402</v>
      </c>
      <c r="P71" s="2431" t="s">
        <v>2403</v>
      </c>
      <c r="Q71" s="2424">
        <f ca="1">C13</f>
        <v>3502</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14853</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3019</v>
      </c>
      <c r="E1" s="2411" t="s">
        <v>2375</v>
      </c>
      <c r="F1" s="2412">
        <f ca="1">J53</f>
        <v>46.72</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22008</v>
      </c>
      <c r="C2" s="2057"/>
      <c r="D2" s="2055"/>
      <c r="E2" s="2056"/>
      <c r="F2" s="2056"/>
      <c r="G2" s="1589"/>
      <c r="H2" s="2057"/>
      <c r="I2" s="2057"/>
      <c r="J2" s="2057"/>
      <c r="K2" s="2058"/>
      <c r="L2" s="2057"/>
      <c r="M2" s="2057"/>
    </row>
    <row r="3" spans="1:33" ht="18" customHeight="1" thickBot="1">
      <c r="A3" s="833" t="s">
        <v>1727</v>
      </c>
      <c r="B3" s="834">
        <f ca="1">IF(ISERROR(B2*10000/F43),0,ROUND(B2*10000/F43,0))</f>
        <v>8908</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1206</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1206</v>
      </c>
      <c r="D6" s="2521" t="s">
        <v>2463</v>
      </c>
      <c r="E6" s="784" t="s">
        <v>1738</v>
      </c>
      <c r="F6" s="785">
        <f ca="1">INDIRECT("'数据-取费表'!u"&amp;$G$1)</f>
        <v>1500</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705</v>
      </c>
      <c r="G7" s="1591"/>
      <c r="H7" s="2513"/>
      <c r="I7" s="3474"/>
      <c r="J7" s="788"/>
      <c r="K7" s="789"/>
      <c r="L7" s="784" t="s">
        <v>1739</v>
      </c>
      <c r="M7" s="785">
        <f ca="1">F7</f>
        <v>705</v>
      </c>
    </row>
    <row r="8" spans="1:33" ht="18" customHeight="1">
      <c r="A8" s="2517"/>
      <c r="B8" s="3475"/>
      <c r="C8" s="788"/>
      <c r="D8" s="789"/>
      <c r="E8" s="784" t="s">
        <v>1740</v>
      </c>
      <c r="F8" s="785">
        <f ca="1">INDIRECT("'数据-取费表'!ai"&amp;$G$1)</f>
        <v>12</v>
      </c>
      <c r="G8" s="1591"/>
      <c r="H8" s="2513"/>
      <c r="I8" s="3475"/>
      <c r="J8" s="788"/>
      <c r="K8" s="789"/>
      <c r="L8" s="784" t="s">
        <v>1740</v>
      </c>
      <c r="M8" s="785">
        <f ca="1">INDIRECT("'数据-取费表'!ai"&amp;$G$1)</f>
        <v>12</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3022</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9453</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7127</v>
      </c>
      <c r="D14" s="3177" t="s">
        <v>1745</v>
      </c>
      <c r="E14" s="3176"/>
      <c r="F14" s="805"/>
      <c r="G14" s="1591"/>
      <c r="H14" s="1648" t="s">
        <v>1830</v>
      </c>
      <c r="I14" s="2231" t="s">
        <v>2826</v>
      </c>
      <c r="J14" s="53">
        <f ca="1">C29</f>
        <v>9453</v>
      </c>
      <c r="K14" s="26"/>
      <c r="L14" s="801"/>
      <c r="M14" s="802"/>
    </row>
    <row r="15" spans="1:33" s="2064" customFormat="1" ht="18" customHeight="1" thickBot="1">
      <c r="A15" s="1647" t="s">
        <v>1885</v>
      </c>
      <c r="B15" s="784" t="s">
        <v>646</v>
      </c>
      <c r="C15" s="53">
        <f ca="1">ROUND(C14*F15,0)</f>
        <v>214</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223</v>
      </c>
      <c r="K16" s="1821" t="s">
        <v>1750</v>
      </c>
      <c r="L16" s="3179"/>
      <c r="M16" s="2515"/>
    </row>
    <row r="17" spans="1:33" s="2064" customFormat="1" ht="18" customHeight="1">
      <c r="A17" s="1647" t="s">
        <v>1887</v>
      </c>
      <c r="B17" s="784" t="s">
        <v>652</v>
      </c>
      <c r="C17" s="53">
        <f ca="1">ROUND(F17*(F43+INDIRECT("'数据-取费表'!S"&amp;$G$1))/10000,0)</f>
        <v>509</v>
      </c>
      <c r="D17" s="784" t="s">
        <v>1751</v>
      </c>
      <c r="E17" s="784" t="s">
        <v>1752</v>
      </c>
      <c r="F17" s="56">
        <f>'数据-取费表'!B35</f>
        <v>200</v>
      </c>
      <c r="G17" s="1592"/>
      <c r="H17" s="1648" t="s">
        <v>1830</v>
      </c>
      <c r="I17" s="784" t="s">
        <v>655</v>
      </c>
      <c r="J17" s="53">
        <f ca="1">ROUND(IF(项目基本情况!B11="自然人",J5*M17,J18+J19+J20),0)</f>
        <v>81</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107</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7957</v>
      </c>
      <c r="D19" s="261" t="s">
        <v>1757</v>
      </c>
      <c r="E19" s="3181"/>
      <c r="F19" s="56"/>
      <c r="G19" s="1591"/>
      <c r="H19" s="1647" t="s">
        <v>1885</v>
      </c>
      <c r="I19" s="784" t="s">
        <v>1758</v>
      </c>
      <c r="J19" s="53">
        <f ca="1">IF(K19="按租金收入计税",ROUND(J5*M19,1),ROUND(C29*F33*0.7,1))</f>
        <v>79.400000000000006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159</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7071.35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142</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386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-223</v>
      </c>
      <c r="K25" s="2572" t="s">
        <v>1777</v>
      </c>
      <c r="L25" s="2573"/>
      <c r="M25" s="2574"/>
    </row>
    <row r="26" spans="1:33" ht="18" customHeight="1">
      <c r="A26" s="1647" t="s">
        <v>1831</v>
      </c>
      <c r="B26" s="784" t="s">
        <v>2439</v>
      </c>
      <c r="C26" s="53">
        <f ca="1">ROUND((C19+C20)*F26,0)</f>
        <v>243</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9453</v>
      </c>
      <c r="D29" s="2569"/>
      <c r="E29" s="2570"/>
      <c r="F29" s="2571"/>
      <c r="G29" s="1592"/>
      <c r="H29" s="823" t="s">
        <v>1787</v>
      </c>
      <c r="I29" s="824" t="s">
        <v>1788</v>
      </c>
      <c r="J29" s="825">
        <f ca="1">ROUND(J26/(1+F40)^F41,0)</f>
        <v>0</v>
      </c>
      <c r="K29" s="826" t="s">
        <v>1789</v>
      </c>
      <c r="L29" s="827"/>
      <c r="M29" s="828">
        <f ca="1">INDIRECT("'数据-取费表'!k"&amp;$G$1)</f>
        <v>24706.579999999998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314</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145.80000000000001</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64.3</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79.400000000000006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7071.35</v>
      </c>
      <c r="G35" s="2062"/>
      <c r="H35" s="2065"/>
      <c r="I35" s="837" t="s">
        <v>1814</v>
      </c>
      <c r="J35" s="838">
        <f ca="1">ROUND(C13*J36,0)</f>
        <v>804</v>
      </c>
      <c r="K35" s="2078"/>
      <c r="L35" s="2077"/>
      <c r="M35" s="2077"/>
    </row>
    <row r="36" spans="1:18" ht="18" customHeight="1">
      <c r="A36" s="1648" t="s">
        <v>1889</v>
      </c>
      <c r="B36" s="784" t="s">
        <v>1802</v>
      </c>
      <c r="C36" s="53">
        <f ca="1">ROUND(C29*F36,1)</f>
        <v>141.80000000000001</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14.2</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12.1</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892</v>
      </c>
      <c r="D39" s="2572" t="s">
        <v>1806</v>
      </c>
      <c r="E39" s="2573"/>
      <c r="F39" s="2574"/>
      <c r="G39" s="2062"/>
      <c r="H39" s="2077"/>
      <c r="I39" s="837" t="s">
        <v>1818</v>
      </c>
      <c r="J39" s="845">
        <f ca="1">ROUND(J35/C39,3)</f>
        <v>0.90100000000000002</v>
      </c>
      <c r="K39" s="2083"/>
      <c r="L39" s="2077"/>
      <c r="M39" s="2077"/>
    </row>
    <row r="40" spans="1:18" ht="18" customHeight="1">
      <c r="A40" s="781" t="s">
        <v>1895</v>
      </c>
      <c r="B40" s="2232" t="s">
        <v>2301</v>
      </c>
      <c r="C40" s="783">
        <f ca="1">ROUND(C39*(1-((1+F42)/(1+F40))^F41)/(F40-F42),0)</f>
        <v>22008</v>
      </c>
      <c r="D40" s="814" t="s">
        <v>1807</v>
      </c>
      <c r="E40" s="784" t="s">
        <v>2420</v>
      </c>
      <c r="F40" s="794">
        <f ca="1">INDIRECT("'数据-取费表'!I"&amp;$G$1)</f>
        <v>5.5E-2</v>
      </c>
      <c r="G40" s="2062"/>
      <c r="H40" s="2062"/>
      <c r="I40" s="837" t="s">
        <v>1819</v>
      </c>
      <c r="J40" s="845">
        <f ca="1">1-J39</f>
        <v>9.8999999999999977E-2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46.72</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0.43</v>
      </c>
      <c r="K42" s="2082"/>
      <c r="L42" s="1988"/>
      <c r="M42" s="1988"/>
    </row>
    <row r="43" spans="1:18" ht="18" customHeight="1" thickBot="1">
      <c r="A43" s="823" t="s">
        <v>1787</v>
      </c>
      <c r="B43" s="824" t="s">
        <v>1810</v>
      </c>
      <c r="C43" s="825">
        <f ca="1">ROUND(C40*10000/F43,0)</f>
        <v>8908</v>
      </c>
      <c r="D43" s="826" t="s">
        <v>1811</v>
      </c>
      <c r="E43" s="827" t="s">
        <v>1812</v>
      </c>
      <c r="F43" s="828">
        <f ca="1">INDIRECT("'数据-取费表'!k"&amp;$G$1)</f>
        <v>24706.579999999998</v>
      </c>
      <c r="G43" s="2062"/>
      <c r="H43" s="1988"/>
      <c r="I43" s="847" t="s">
        <v>1822</v>
      </c>
      <c r="J43" s="848">
        <f ca="1">1-J42</f>
        <v>0.57000000000000006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-25981</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48.72</v>
      </c>
      <c r="O48" s="2422" t="s">
        <v>2380</v>
      </c>
      <c r="P48" s="2423" t="s">
        <v>2406</v>
      </c>
      <c r="Q48" s="2424">
        <f ca="1">C40+J29</f>
        <v>22008</v>
      </c>
      <c r="R48" s="2423" t="s">
        <v>2381</v>
      </c>
    </row>
    <row r="49" spans="1:18" s="2059" customFormat="1" ht="18" customHeight="1" thickBot="1">
      <c r="A49" s="786"/>
      <c r="B49" s="787"/>
      <c r="C49" s="788"/>
      <c r="D49" s="789"/>
      <c r="E49" s="784" t="s">
        <v>1739</v>
      </c>
      <c r="F49" s="785">
        <f ca="1">F7</f>
        <v>705</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9453</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1606</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46.72</v>
      </c>
      <c r="K53" s="3489" t="s">
        <v>2966</v>
      </c>
      <c r="L53" s="3490"/>
      <c r="O53" s="2425" t="s">
        <v>2389</v>
      </c>
      <c r="P53" s="2423" t="s">
        <v>2390</v>
      </c>
      <c r="Q53" s="2424">
        <f ca="1">J53</f>
        <v>46.72</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22008</v>
      </c>
      <c r="R54" s="2427" t="s">
        <v>2393</v>
      </c>
    </row>
    <row r="55" spans="1:18" s="2059" customFormat="1" ht="18" customHeight="1" thickTop="1" thickBot="1">
      <c r="A55" s="797">
        <v>2</v>
      </c>
      <c r="B55" s="798" t="s">
        <v>643</v>
      </c>
      <c r="C55" s="799">
        <f ca="1">C13</f>
        <v>9453</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9453</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22008</v>
      </c>
      <c r="R57" s="2423" t="s">
        <v>2381</v>
      </c>
    </row>
    <row r="58" spans="1:18" s="2059" customFormat="1" ht="28.5" customHeight="1" thickBot="1">
      <c r="A58" s="1648" t="s">
        <v>1824</v>
      </c>
      <c r="B58" s="784" t="s">
        <v>655</v>
      </c>
      <c r="C58" s="53">
        <f ca="1">ROUND(IF(项目基本情况!B11="自然人",C47*F58,C59+C60+C61),1)</f>
        <v>81.5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79.400000000000006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7071.35</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141.80000000000001</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22008</v>
      </c>
      <c r="R63" s="2427" t="s">
        <v>2393</v>
      </c>
    </row>
    <row r="64" spans="1:18" s="2059" customFormat="1" ht="16.5" thickBot="1">
      <c r="A64" s="1648" t="s">
        <v>1890</v>
      </c>
      <c r="B64" s="784" t="s">
        <v>678</v>
      </c>
      <c r="C64" s="53">
        <f ca="1">ROUND(C55*F64,1)</f>
        <v>14.2</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-238</v>
      </c>
      <c r="D66" s="3177" t="s">
        <v>699</v>
      </c>
      <c r="E66" s="3175"/>
      <c r="F66" s="820"/>
      <c r="K66" s="2086"/>
      <c r="O66" s="2422" t="s">
        <v>2380</v>
      </c>
      <c r="P66" s="2423" t="s">
        <v>2410</v>
      </c>
      <c r="Q66" s="2424">
        <f ca="1">C40+J29</f>
        <v>22008</v>
      </c>
      <c r="R66" s="2423" t="s">
        <v>2381</v>
      </c>
    </row>
    <row r="67" spans="1:18" s="2059" customFormat="1" ht="20.25" thickBot="1">
      <c r="A67" s="781" t="s">
        <v>1780</v>
      </c>
      <c r="B67" s="2232" t="s">
        <v>2301</v>
      </c>
      <c r="C67" s="783">
        <f ca="1">ROUND(C66*(1-((1+F69)/(1+F67))^F68)/(F67-F69),0)</f>
        <v>-3973</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46.72</v>
      </c>
      <c r="O68" s="2425" t="s">
        <v>2384</v>
      </c>
      <c r="P68" s="2423" t="s">
        <v>2414</v>
      </c>
      <c r="Q68" s="2429">
        <f ca="1">L51</f>
        <v>1606</v>
      </c>
      <c r="R68" s="2430" t="s">
        <v>2417</v>
      </c>
    </row>
    <row r="69" spans="1:18" ht="20.25" thickBot="1">
      <c r="A69" s="790"/>
      <c r="B69" s="791"/>
      <c r="C69" s="792"/>
      <c r="D69" s="816"/>
      <c r="E69" s="784" t="s">
        <v>709</v>
      </c>
      <c r="F69" s="2371"/>
      <c r="O69" s="2425" t="s">
        <v>2385</v>
      </c>
      <c r="P69" s="2431" t="s">
        <v>2399</v>
      </c>
      <c r="Q69" s="2424">
        <f ca="1">ROUND(Q70-Q71*Q72,0)</f>
        <v>88</v>
      </c>
      <c r="R69" s="2427"/>
    </row>
    <row r="70" spans="1:18" ht="15.75" thickBot="1">
      <c r="A70" s="823" t="s">
        <v>1787</v>
      </c>
      <c r="B70" s="824" t="s">
        <v>1810</v>
      </c>
      <c r="C70" s="825">
        <f ca="1">ROUND(C67*10000/F70,0)</f>
        <v>-1608</v>
      </c>
      <c r="D70" s="826" t="s">
        <v>1811</v>
      </c>
      <c r="E70" s="827" t="s">
        <v>1812</v>
      </c>
      <c r="F70" s="828">
        <f ca="1">F43</f>
        <v>24706.579999999998</v>
      </c>
      <c r="O70" s="2425" t="s">
        <v>2400</v>
      </c>
      <c r="P70" s="2431" t="s">
        <v>2401</v>
      </c>
      <c r="Q70" s="2424">
        <f ca="1">C39</f>
        <v>892</v>
      </c>
      <c r="R70" s="2423" t="s">
        <v>2381</v>
      </c>
    </row>
    <row r="71" spans="1:18" ht="15.75" thickBot="1">
      <c r="O71" s="2425" t="s">
        <v>2402</v>
      </c>
      <c r="P71" s="2431" t="s">
        <v>2403</v>
      </c>
      <c r="Q71" s="2424">
        <f ca="1">C13</f>
        <v>9453</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22008</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6" sqref="D4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3009</v>
      </c>
      <c r="D1" s="3152" t="s">
        <v>3019</v>
      </c>
      <c r="E1" s="2411" t="s">
        <v>2375</v>
      </c>
      <c r="F1" s="2412">
        <f ca="1">J53</f>
        <v>36.71</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347</v>
      </c>
      <c r="C2" s="2057"/>
      <c r="D2" s="2055"/>
      <c r="E2" s="2056"/>
      <c r="F2" s="2056"/>
      <c r="G2" s="1589"/>
      <c r="H2" s="2057"/>
      <c r="I2" s="2057"/>
      <c r="J2" s="2057"/>
      <c r="K2" s="2058"/>
      <c r="L2" s="2057"/>
      <c r="M2" s="2057"/>
    </row>
    <row r="3" spans="1:33" ht="18" customHeight="1" thickBot="1">
      <c r="A3" s="833" t="s">
        <v>1727</v>
      </c>
      <c r="B3" s="834">
        <f ca="1">IF(ISERROR(B2*10000/F43),0,ROUND(B2*10000/F43,0))</f>
        <v>33346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18</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18</v>
      </c>
      <c r="D6" s="2521" t="s">
        <v>2463</v>
      </c>
      <c r="E6" s="784" t="s">
        <v>1738</v>
      </c>
      <c r="F6" s="785">
        <f ca="1">INDIRECT("'数据-取费表'!u"&amp;$G$1)</f>
        <v>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104.06</v>
      </c>
      <c r="G7" s="1591"/>
      <c r="H7" s="2513"/>
      <c r="I7" s="3474"/>
      <c r="J7" s="788"/>
      <c r="K7" s="789"/>
      <c r="L7" s="784" t="s">
        <v>1739</v>
      </c>
      <c r="M7" s="785">
        <f ca="1">F7</f>
        <v>104.06</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49</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32</v>
      </c>
      <c r="D14" s="1979" t="s">
        <v>1745</v>
      </c>
      <c r="E14" s="1980"/>
      <c r="F14" s="805"/>
      <c r="G14" s="1591"/>
      <c r="H14" s="1648" t="s">
        <v>1830</v>
      </c>
      <c r="I14" s="2231" t="s">
        <v>2826</v>
      </c>
      <c r="J14" s="53">
        <f ca="1">C29</f>
        <v>49</v>
      </c>
      <c r="K14" s="26"/>
      <c r="L14" s="801"/>
      <c r="M14" s="802"/>
    </row>
    <row r="15" spans="1:33" s="2064" customFormat="1" ht="18" customHeight="1" thickBot="1">
      <c r="A15" s="1647" t="s">
        <v>1885</v>
      </c>
      <c r="B15" s="784" t="s">
        <v>646</v>
      </c>
      <c r="C15" s="53">
        <f ca="1">ROUND(C14*F15,0)</f>
        <v>1</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v>
      </c>
      <c r="K16" s="1821" t="s">
        <v>1750</v>
      </c>
      <c r="L16" s="2510"/>
      <c r="M16" s="2515"/>
    </row>
    <row r="17" spans="1:33" s="2064" customFormat="1" ht="18" customHeight="1">
      <c r="A17" s="1647" t="s">
        <v>1887</v>
      </c>
      <c r="B17" s="784" t="s">
        <v>652</v>
      </c>
      <c r="C17" s="53">
        <f ca="1">ROUND(F17*(F43+INDIRECT("'数据-取费表'!S"&amp;$G$1))/10000,0)</f>
        <v>2</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35</v>
      </c>
      <c r="D19" s="261" t="s">
        <v>1757</v>
      </c>
      <c r="E19" s="1982"/>
      <c r="F19" s="56"/>
      <c r="G19" s="1591"/>
      <c r="H19" s="1647" t="s">
        <v>1885</v>
      </c>
      <c r="I19" s="784" t="s">
        <v>1758</v>
      </c>
      <c r="J19" s="53">
        <f ca="1">IF(K19="按租金收入计税",ROUND(J5*M19,1),ROUND(C29*F33*0.7,1))</f>
        <v>0.4</v>
      </c>
      <c r="K19" s="811" t="s">
        <v>664</v>
      </c>
      <c r="L19" s="784" t="s">
        <v>1747</v>
      </c>
      <c r="M19" s="809">
        <f>IF(K19="按租金收入计税",'数据-取费表'!B51,'数据-取费表'!B50)</f>
        <v>1.2E-2</v>
      </c>
    </row>
    <row r="20" spans="1:33" s="2064" customFormat="1" ht="18" customHeight="1">
      <c r="A20" s="1648" t="s">
        <v>1889</v>
      </c>
      <c r="B20" s="784" t="s">
        <v>665</v>
      </c>
      <c r="C20" s="53">
        <f ca="1">ROUND(C19*F20,0)</f>
        <v>1</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29.78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2</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-1</v>
      </c>
      <c r="K25" s="2572" t="s">
        <v>1777</v>
      </c>
      <c r="L25" s="2573"/>
      <c r="M25" s="2574"/>
    </row>
    <row r="26" spans="1:33" ht="18" customHeight="1">
      <c r="A26" s="1647" t="s">
        <v>1831</v>
      </c>
      <c r="B26" s="784" t="s">
        <v>2439</v>
      </c>
      <c r="C26" s="53">
        <f ca="1">ROUND((C19+C20)*F26,0)</f>
        <v>7</v>
      </c>
      <c r="D26" s="812" t="s">
        <v>1778</v>
      </c>
      <c r="E26" s="795" t="s">
        <v>1779</v>
      </c>
      <c r="F26" s="794">
        <f ca="1">INDIRECT("'数据-取费表'!q"&amp;$G$1)</f>
        <v>0.2</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4.0000000000000001E-3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49</v>
      </c>
      <c r="D29" s="2569"/>
      <c r="E29" s="2570"/>
      <c r="F29" s="2571"/>
      <c r="G29" s="1592"/>
      <c r="H29" s="823" t="s">
        <v>1787</v>
      </c>
      <c r="I29" s="824" t="s">
        <v>1788</v>
      </c>
      <c r="J29" s="825">
        <f ca="1">ROUND(J26/(1+F40)^F41,0)</f>
        <v>0</v>
      </c>
      <c r="K29" s="826" t="s">
        <v>1789</v>
      </c>
      <c r="L29" s="827"/>
      <c r="M29" s="828">
        <f ca="1">INDIRECT("'数据-取费表'!k"&amp;$G$1)</f>
        <v>104.06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2</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1.4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29.78</v>
      </c>
      <c r="G35" s="2062"/>
      <c r="H35" s="2065"/>
      <c r="I35" s="837" t="s">
        <v>1814</v>
      </c>
      <c r="J35" s="838">
        <f ca="1">ROUND(C13*J36,0)</f>
        <v>4</v>
      </c>
      <c r="K35" s="2078"/>
      <c r="L35" s="2077"/>
      <c r="M35" s="2077"/>
    </row>
    <row r="36" spans="1:18" ht="18" customHeight="1">
      <c r="A36" s="1648" t="s">
        <v>1889</v>
      </c>
      <c r="B36" s="784" t="s">
        <v>1802</v>
      </c>
      <c r="C36" s="53">
        <f ca="1">ROUND(C29*F36,1)</f>
        <v>0.7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0.1</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0.2</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16</v>
      </c>
      <c r="D39" s="2572" t="s">
        <v>1806</v>
      </c>
      <c r="E39" s="2573"/>
      <c r="F39" s="2574"/>
      <c r="G39" s="2062"/>
      <c r="H39" s="2077"/>
      <c r="I39" s="837" t="s">
        <v>1818</v>
      </c>
      <c r="J39" s="845">
        <f ca="1">ROUND(J35/C39,3)</f>
        <v>0.25</v>
      </c>
      <c r="K39" s="2083"/>
      <c r="L39" s="2077"/>
      <c r="M39" s="2077"/>
    </row>
    <row r="40" spans="1:18" ht="18" customHeight="1">
      <c r="A40" s="781" t="s">
        <v>1895</v>
      </c>
      <c r="B40" s="2232" t="s">
        <v>2301</v>
      </c>
      <c r="C40" s="783">
        <f ca="1">ROUND(C39*(1-((1+F42)/(1+F40))^F41)/(F40-F42),0)</f>
        <v>347</v>
      </c>
      <c r="D40" s="814" t="s">
        <v>1807</v>
      </c>
      <c r="E40" s="784" t="s">
        <v>2420</v>
      </c>
      <c r="F40" s="794">
        <f ca="1">INDIRECT("'数据-取费表'!I"&amp;$G$1)</f>
        <v>0.06</v>
      </c>
      <c r="G40" s="2062"/>
      <c r="H40" s="2062"/>
      <c r="I40" s="837" t="s">
        <v>1819</v>
      </c>
      <c r="J40" s="845">
        <f ca="1">1-J39</f>
        <v>0.75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36.71</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0.14099999999999999</v>
      </c>
      <c r="K42" s="2082"/>
      <c r="L42" s="1988"/>
      <c r="M42" s="1988"/>
    </row>
    <row r="43" spans="1:18" ht="18" customHeight="1" thickBot="1">
      <c r="A43" s="823" t="s">
        <v>1787</v>
      </c>
      <c r="B43" s="824" t="s">
        <v>1810</v>
      </c>
      <c r="C43" s="825">
        <f ca="1">ROUND(C40*10000/F43,0)</f>
        <v>33346</v>
      </c>
      <c r="D43" s="826" t="s">
        <v>1811</v>
      </c>
      <c r="E43" s="827" t="s">
        <v>1812</v>
      </c>
      <c r="F43" s="828">
        <f ca="1">INDIRECT("'数据-取费表'!k"&amp;$G$1)</f>
        <v>104.06</v>
      </c>
      <c r="G43" s="2062"/>
      <c r="H43" s="1988"/>
      <c r="I43" s="847" t="s">
        <v>1822</v>
      </c>
      <c r="J43" s="848">
        <f ca="1">1-J42</f>
        <v>0.85899999999999999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-362</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38.71</v>
      </c>
      <c r="O48" s="2422" t="s">
        <v>2380</v>
      </c>
      <c r="P48" s="2423" t="s">
        <v>2406</v>
      </c>
      <c r="Q48" s="2424">
        <f ca="1">C40+J29</f>
        <v>347</v>
      </c>
      <c r="R48" s="2423" t="s">
        <v>2381</v>
      </c>
    </row>
    <row r="49" spans="1:18" s="2059" customFormat="1" ht="18" customHeight="1" thickBot="1">
      <c r="A49" s="786"/>
      <c r="B49" s="787"/>
      <c r="C49" s="788"/>
      <c r="D49" s="789"/>
      <c r="E49" s="784" t="s">
        <v>1739</v>
      </c>
      <c r="F49" s="785">
        <f ca="1">F7</f>
        <v>104.06</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49</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188</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36.71</v>
      </c>
      <c r="K53" s="3489" t="s">
        <v>2966</v>
      </c>
      <c r="L53" s="3490"/>
      <c r="O53" s="2425" t="s">
        <v>2389</v>
      </c>
      <c r="P53" s="2423" t="s">
        <v>2390</v>
      </c>
      <c r="Q53" s="2424">
        <f ca="1">J53</f>
        <v>36.71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347</v>
      </c>
      <c r="R54" s="2427" t="s">
        <v>2393</v>
      </c>
    </row>
    <row r="55" spans="1:18" s="2059" customFormat="1" ht="18" customHeight="1" thickTop="1" thickBot="1">
      <c r="A55" s="797">
        <v>2</v>
      </c>
      <c r="B55" s="798" t="s">
        <v>643</v>
      </c>
      <c r="C55" s="799">
        <f ca="1">C13</f>
        <v>49</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49</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1</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347</v>
      </c>
      <c r="R57" s="2423" t="s">
        <v>2381</v>
      </c>
    </row>
    <row r="58" spans="1:18" s="2059" customFormat="1" ht="28.5" customHeight="1" thickBot="1">
      <c r="A58" s="1648" t="s">
        <v>1824</v>
      </c>
      <c r="B58" s="784" t="s">
        <v>655</v>
      </c>
      <c r="C58" s="53">
        <f ca="1">ROUND(IF(项目基本情况!B11="自然人",C47*F58,C59+C60+C61),1)</f>
        <v>0.4</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0.4</v>
      </c>
      <c r="D60" s="2663"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29.78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0.7</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347</v>
      </c>
      <c r="R63" s="2427" t="s">
        <v>2393</v>
      </c>
    </row>
    <row r="64" spans="1:18" s="2059" customFormat="1" ht="16.5" thickBot="1">
      <c r="A64" s="1648" t="s">
        <v>1890</v>
      </c>
      <c r="B64" s="784" t="s">
        <v>678</v>
      </c>
      <c r="C64" s="53">
        <f ca="1">ROUND(C55*F64,1)</f>
        <v>0.1</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-1</v>
      </c>
      <c r="D66" s="2662" t="s">
        <v>699</v>
      </c>
      <c r="E66" s="2661"/>
      <c r="F66" s="820"/>
      <c r="K66" s="2086"/>
      <c r="O66" s="2422" t="s">
        <v>2380</v>
      </c>
      <c r="P66" s="2423" t="s">
        <v>2410</v>
      </c>
      <c r="Q66" s="2424">
        <f ca="1">C40+J29</f>
        <v>347</v>
      </c>
      <c r="R66" s="2423" t="s">
        <v>2381</v>
      </c>
    </row>
    <row r="67" spans="1:18" s="2059" customFormat="1" ht="20.25" thickBot="1">
      <c r="A67" s="781" t="s">
        <v>1780</v>
      </c>
      <c r="B67" s="2232" t="s">
        <v>2301</v>
      </c>
      <c r="C67" s="783">
        <f ca="1">ROUND(C66*(1-((1+F69)/(1+F67))^F68)/(F67-F69),0)</f>
        <v>-15</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36.71</v>
      </c>
      <c r="O68" s="2425" t="s">
        <v>2384</v>
      </c>
      <c r="P68" s="2423" t="s">
        <v>2414</v>
      </c>
      <c r="Q68" s="2429">
        <f ca="1">L51</f>
        <v>188</v>
      </c>
      <c r="R68" s="2430" t="s">
        <v>2417</v>
      </c>
    </row>
    <row r="69" spans="1:18" ht="20.25" thickBot="1">
      <c r="A69" s="790"/>
      <c r="B69" s="791"/>
      <c r="C69" s="792"/>
      <c r="D69" s="816"/>
      <c r="E69" s="784" t="s">
        <v>709</v>
      </c>
      <c r="F69" s="2371"/>
      <c r="O69" s="2425" t="s">
        <v>2385</v>
      </c>
      <c r="P69" s="2431" t="s">
        <v>2399</v>
      </c>
      <c r="Q69" s="2424">
        <f ca="1">ROUND(Q70-Q71*Q72,0)</f>
        <v>12</v>
      </c>
      <c r="R69" s="2427"/>
    </row>
    <row r="70" spans="1:18" ht="15.75" thickBot="1">
      <c r="A70" s="823" t="s">
        <v>1787</v>
      </c>
      <c r="B70" s="824" t="s">
        <v>1810</v>
      </c>
      <c r="C70" s="825">
        <f ca="1">ROUND(C67*10000/F70,0)</f>
        <v>-1441</v>
      </c>
      <c r="D70" s="826" t="s">
        <v>1811</v>
      </c>
      <c r="E70" s="827" t="s">
        <v>1812</v>
      </c>
      <c r="F70" s="828">
        <f ca="1">F43</f>
        <v>104.06</v>
      </c>
      <c r="O70" s="2425" t="s">
        <v>2400</v>
      </c>
      <c r="P70" s="2431" t="s">
        <v>2401</v>
      </c>
      <c r="Q70" s="2424">
        <f ca="1">C39</f>
        <v>16</v>
      </c>
      <c r="R70" s="2423" t="s">
        <v>2381</v>
      </c>
    </row>
    <row r="71" spans="1:18" ht="15.75" thickBot="1">
      <c r="O71" s="2425" t="s">
        <v>2402</v>
      </c>
      <c r="P71" s="2431" t="s">
        <v>2403</v>
      </c>
      <c r="Q71" s="2424">
        <f ca="1">C13</f>
        <v>49</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347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2472</v>
      </c>
      <c r="B1" s="3492"/>
      <c r="C1" s="3493"/>
      <c r="D1" s="3494">
        <f>SUM(I10,I15,I20,I21,I23)</f>
        <v>0</v>
      </c>
      <c r="E1" s="3494"/>
      <c r="F1" s="3494"/>
      <c r="G1" s="3494"/>
      <c r="H1" s="3494"/>
      <c r="I1" s="3495"/>
    </row>
    <row r="2" spans="1:9">
      <c r="A2" s="3496" t="s">
        <v>2473</v>
      </c>
      <c r="B2" s="3497" t="s">
        <v>2474</v>
      </c>
      <c r="C2" s="3497"/>
      <c r="D2" s="2531" t="s">
        <v>2475</v>
      </c>
      <c r="E2" s="2531" t="s">
        <v>2476</v>
      </c>
      <c r="F2" s="2531" t="s">
        <v>2477</v>
      </c>
      <c r="G2" s="2531" t="s">
        <v>2478</v>
      </c>
      <c r="H2" s="2531" t="s">
        <v>2479</v>
      </c>
      <c r="I2" s="2532" t="s">
        <v>2480</v>
      </c>
    </row>
    <row r="3" spans="1:9">
      <c r="A3" s="3496"/>
      <c r="B3" s="3497" t="s">
        <v>2481</v>
      </c>
      <c r="C3" s="3497"/>
      <c r="D3" s="2533"/>
      <c r="E3" s="2531"/>
      <c r="F3" s="2534"/>
      <c r="G3" s="2534"/>
      <c r="H3" s="2535"/>
      <c r="I3" s="2536">
        <f>ROUND(D3*E3*F3*G3*H3/10000,0)</f>
        <v>0</v>
      </c>
    </row>
    <row r="4" spans="1:9">
      <c r="A4" s="3496"/>
      <c r="B4" s="3497" t="s">
        <v>2482</v>
      </c>
      <c r="C4" s="3497"/>
      <c r="D4" s="2533"/>
      <c r="E4" s="2531"/>
      <c r="F4" s="2534"/>
      <c r="G4" s="2534"/>
      <c r="H4" s="2535"/>
      <c r="I4" s="2536">
        <f t="shared" ref="I4:I9" si="0">ROUND(D4*E4*F4*G4*H4/10000,0)</f>
        <v>0</v>
      </c>
    </row>
    <row r="5" spans="1:9">
      <c r="A5" s="3496"/>
      <c r="B5" s="3497" t="s">
        <v>2483</v>
      </c>
      <c r="C5" s="3497"/>
      <c r="D5" s="2533"/>
      <c r="E5" s="2531"/>
      <c r="F5" s="2534"/>
      <c r="G5" s="2534"/>
      <c r="H5" s="2535"/>
      <c r="I5" s="2536">
        <f t="shared" si="0"/>
        <v>0</v>
      </c>
    </row>
    <row r="6" spans="1:9">
      <c r="A6" s="3496"/>
      <c r="B6" s="3497" t="s">
        <v>2484</v>
      </c>
      <c r="C6" s="3497"/>
      <c r="D6" s="2533"/>
      <c r="E6" s="2531"/>
      <c r="F6" s="2534"/>
      <c r="G6" s="2534"/>
      <c r="H6" s="2535"/>
      <c r="I6" s="2536">
        <f t="shared" si="0"/>
        <v>0</v>
      </c>
    </row>
    <row r="7" spans="1:9">
      <c r="A7" s="3496"/>
      <c r="B7" s="3497" t="s">
        <v>2485</v>
      </c>
      <c r="C7" s="3497"/>
      <c r="D7" s="2533"/>
      <c r="E7" s="2531"/>
      <c r="F7" s="2534"/>
      <c r="G7" s="2534"/>
      <c r="H7" s="2535"/>
      <c r="I7" s="2536">
        <f t="shared" si="0"/>
        <v>0</v>
      </c>
    </row>
    <row r="8" spans="1:9">
      <c r="A8" s="3496"/>
      <c r="B8" s="3497" t="s">
        <v>2486</v>
      </c>
      <c r="C8" s="3497"/>
      <c r="D8" s="2533"/>
      <c r="E8" s="2531"/>
      <c r="F8" s="2534"/>
      <c r="G8" s="2534"/>
      <c r="H8" s="2535"/>
      <c r="I8" s="2536">
        <f t="shared" si="0"/>
        <v>0</v>
      </c>
    </row>
    <row r="9" spans="1:9">
      <c r="A9" s="3496"/>
      <c r="B9" s="3497" t="s">
        <v>2487</v>
      </c>
      <c r="C9" s="3497"/>
      <c r="D9" s="2533"/>
      <c r="E9" s="2531"/>
      <c r="F9" s="2534"/>
      <c r="G9" s="2534"/>
      <c r="H9" s="2535"/>
      <c r="I9" s="2536">
        <f t="shared" si="0"/>
        <v>0</v>
      </c>
    </row>
    <row r="10" spans="1:9">
      <c r="A10" s="3496"/>
      <c r="B10" s="3498" t="s">
        <v>2488</v>
      </c>
      <c r="C10" s="3498"/>
      <c r="D10" s="2537">
        <v>527</v>
      </c>
      <c r="E10" s="2537" t="e">
        <f>ROUND(D1*10000/D10/H9,0)</f>
        <v>#DIV/0!</v>
      </c>
      <c r="F10" s="2538"/>
      <c r="G10" s="2538"/>
      <c r="H10" s="2539"/>
      <c r="I10" s="2540">
        <f>SUM(I3:I9)</f>
        <v>0</v>
      </c>
    </row>
    <row r="11" spans="1:9" ht="14.25">
      <c r="A11" s="3496" t="s">
        <v>2489</v>
      </c>
      <c r="B11" s="3497" t="s">
        <v>2490</v>
      </c>
      <c r="C11" s="3497"/>
      <c r="D11" s="2533" t="s">
        <v>2491</v>
      </c>
      <c r="E11" s="2533" t="s">
        <v>2492</v>
      </c>
      <c r="F11" s="2534" t="s">
        <v>2493</v>
      </c>
      <c r="G11" s="2534" t="s">
        <v>2494</v>
      </c>
      <c r="H11" s="2541" t="s">
        <v>2495</v>
      </c>
      <c r="I11" s="2532" t="s">
        <v>2496</v>
      </c>
    </row>
    <row r="12" spans="1:9">
      <c r="A12" s="3496"/>
      <c r="B12" s="3497" t="s">
        <v>2497</v>
      </c>
      <c r="C12" s="3497"/>
      <c r="D12" s="2533"/>
      <c r="E12" s="2533"/>
      <c r="F12" s="2534"/>
      <c r="G12" s="2535"/>
      <c r="H12" s="2542"/>
      <c r="I12" s="2532">
        <f>ROUND(D12*E12*F12*G12/10000,0)</f>
        <v>0</v>
      </c>
    </row>
    <row r="13" spans="1:9">
      <c r="A13" s="3496"/>
      <c r="B13" s="3497" t="s">
        <v>2498</v>
      </c>
      <c r="C13" s="3497"/>
      <c r="D13" s="2533"/>
      <c r="E13" s="2533"/>
      <c r="F13" s="2534"/>
      <c r="G13" s="2535"/>
      <c r="H13" s="2542"/>
      <c r="I13" s="2532">
        <f>ROUND(D13*E13*F13*G13/10000,0)</f>
        <v>0</v>
      </c>
    </row>
    <row r="14" spans="1:9">
      <c r="A14" s="3496"/>
      <c r="B14" s="3497" t="s">
        <v>2499</v>
      </c>
      <c r="C14" s="3497"/>
      <c r="D14" s="2533"/>
      <c r="E14" s="2533"/>
      <c r="F14" s="2534"/>
      <c r="G14" s="2535"/>
      <c r="H14" s="2542"/>
      <c r="I14" s="2532">
        <f>ROUND(D14*E14*F14*G14/10000,0)</f>
        <v>0</v>
      </c>
    </row>
    <row r="15" spans="1:9">
      <c r="A15" s="3496"/>
      <c r="B15" s="3498" t="s">
        <v>2488</v>
      </c>
      <c r="C15" s="3498"/>
      <c r="D15" s="2537"/>
      <c r="E15" s="2537">
        <f>SUM(E12:E14)</f>
        <v>0</v>
      </c>
      <c r="F15" s="2538"/>
      <c r="G15" s="2535"/>
      <c r="H15" s="2542"/>
      <c r="I15" s="2543">
        <f>SUM(I12:I14)</f>
        <v>0</v>
      </c>
    </row>
    <row r="16" spans="1:9" ht="24">
      <c r="A16" s="3496" t="s">
        <v>2500</v>
      </c>
      <c r="B16" s="3497" t="s">
        <v>2501</v>
      </c>
      <c r="C16" s="3497"/>
      <c r="D16" s="2533" t="s">
        <v>2502</v>
      </c>
      <c r="E16" s="2544" t="s">
        <v>2503</v>
      </c>
      <c r="F16" s="2534" t="s">
        <v>2504</v>
      </c>
      <c r="G16" s="2535" t="s">
        <v>2494</v>
      </c>
      <c r="H16" s="2541" t="s">
        <v>2495</v>
      </c>
      <c r="I16" s="2532" t="s">
        <v>2496</v>
      </c>
    </row>
    <row r="17" spans="1:9" ht="14.25">
      <c r="A17" s="3496"/>
      <c r="B17" s="3497" t="s">
        <v>2505</v>
      </c>
      <c r="C17" s="3497"/>
      <c r="D17" s="2533"/>
      <c r="E17" s="2533"/>
      <c r="F17" s="2534"/>
      <c r="G17" s="2535"/>
      <c r="H17" s="2545"/>
      <c r="I17" s="2546">
        <f>ROUND(D17*E17*F17*G17/10000,0)</f>
        <v>0</v>
      </c>
    </row>
    <row r="18" spans="1:9" ht="14.25">
      <c r="A18" s="3496"/>
      <c r="B18" s="3497" t="s">
        <v>2506</v>
      </c>
      <c r="C18" s="3497"/>
      <c r="D18" s="2533"/>
      <c r="E18" s="2533"/>
      <c r="F18" s="2534"/>
      <c r="G18" s="2535"/>
      <c r="H18" s="2545"/>
      <c r="I18" s="2546">
        <f>ROUND(D18*E18*F18*G18/10000,0)</f>
        <v>0</v>
      </c>
    </row>
    <row r="19" spans="1:9" ht="14.25">
      <c r="A19" s="3496"/>
      <c r="B19" s="3497" t="s">
        <v>2507</v>
      </c>
      <c r="C19" s="3497"/>
      <c r="D19" s="2533"/>
      <c r="E19" s="2533"/>
      <c r="F19" s="2534"/>
      <c r="G19" s="2535"/>
      <c r="H19" s="2545"/>
      <c r="I19" s="2546">
        <f>ROUND(D19*E19*F19*G19/10000,0)</f>
        <v>0</v>
      </c>
    </row>
    <row r="20" spans="1:9">
      <c r="A20" s="3496"/>
      <c r="B20" s="3498" t="s">
        <v>2488</v>
      </c>
      <c r="C20" s="3498"/>
      <c r="D20" s="2537">
        <f>SUM(D17:D19)</f>
        <v>0</v>
      </c>
      <c r="E20" s="2537"/>
      <c r="F20" s="2538"/>
      <c r="G20" s="2535"/>
      <c r="H20" s="2542"/>
      <c r="I20" s="2543">
        <f>SUM(I17:I19)</f>
        <v>0</v>
      </c>
    </row>
    <row r="21" spans="1:9">
      <c r="A21" s="3496" t="s">
        <v>2508</v>
      </c>
      <c r="B21" s="3500"/>
      <c r="C21" s="3500"/>
      <c r="D21" s="3500"/>
      <c r="E21" s="3500"/>
      <c r="F21" s="3500"/>
      <c r="G21" s="3500"/>
      <c r="H21" s="2547">
        <v>0.1</v>
      </c>
      <c r="I21" s="2540">
        <f>ROUND(I10*H21,0)</f>
        <v>0</v>
      </c>
    </row>
    <row r="22" spans="1:9" ht="14.25">
      <c r="A22" s="3501" t="s">
        <v>2509</v>
      </c>
      <c r="B22" s="3502"/>
      <c r="C22" s="3503"/>
      <c r="D22" s="2548" t="s">
        <v>2510</v>
      </c>
      <c r="E22" s="2548" t="s">
        <v>2511</v>
      </c>
      <c r="F22" s="2549" t="s">
        <v>2512</v>
      </c>
      <c r="G22" s="2549" t="s">
        <v>2513</v>
      </c>
      <c r="H22" s="2541" t="s">
        <v>2514</v>
      </c>
      <c r="I22" s="2532" t="s">
        <v>2515</v>
      </c>
    </row>
    <row r="23" spans="1:9" ht="14.25" thickBot="1">
      <c r="A23" s="3504"/>
      <c r="B23" s="3505"/>
      <c r="C23" s="3506"/>
      <c r="D23" s="2550"/>
      <c r="E23" s="2550"/>
      <c r="F23" s="2550"/>
      <c r="G23" s="2551"/>
      <c r="H23" s="2552"/>
      <c r="I23" s="2553">
        <f>ROUND(E23*D23*F23*(1-G23)/10000,0)</f>
        <v>0</v>
      </c>
    </row>
    <row r="26" spans="1:9">
      <c r="A26" s="2554" t="s">
        <v>2516</v>
      </c>
      <c r="B26" s="2554"/>
      <c r="C26" s="2554"/>
      <c r="D26" s="2554"/>
      <c r="E26" s="3507">
        <f>C27-C30-C31-C32</f>
        <v>0</v>
      </c>
      <c r="F26" s="3507"/>
      <c r="G26" s="3507"/>
      <c r="H26" s="3065" t="s">
        <v>2843</v>
      </c>
    </row>
    <row r="27" spans="1:9">
      <c r="A27" s="2555">
        <v>1</v>
      </c>
      <c r="B27" s="2556" t="s">
        <v>2517</v>
      </c>
      <c r="C27" s="2556"/>
      <c r="D27" s="2556"/>
      <c r="E27" s="3508"/>
      <c r="F27" s="3508"/>
      <c r="G27" s="3508"/>
    </row>
    <row r="28" spans="1:9">
      <c r="A28" s="2557" t="s">
        <v>2518</v>
      </c>
      <c r="B28" s="2556" t="s">
        <v>2519</v>
      </c>
      <c r="C28" s="2556"/>
      <c r="D28" s="2556"/>
      <c r="E28" s="3508"/>
      <c r="F28" s="3508"/>
      <c r="G28" s="350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99"/>
      <c r="F32" s="3499"/>
      <c r="G32" s="3499"/>
    </row>
    <row r="33" spans="1:7" hidden="1">
      <c r="A33" s="3509" t="s">
        <v>2527</v>
      </c>
      <c r="B33" s="3510"/>
      <c r="C33" s="3510"/>
      <c r="D33" s="3511"/>
      <c r="E33" s="3507"/>
      <c r="F33" s="3507"/>
      <c r="G33" s="3507"/>
    </row>
    <row r="34" spans="1:7" hidden="1">
      <c r="A34" s="2559">
        <v>1</v>
      </c>
      <c r="B34" s="2556" t="s">
        <v>2528</v>
      </c>
      <c r="C34" s="2556"/>
      <c r="D34" s="2556"/>
      <c r="E34" s="3508"/>
      <c r="F34" s="3508"/>
      <c r="G34" s="3508"/>
    </row>
    <row r="35" spans="1:7" hidden="1">
      <c r="A35" s="2559">
        <v>2</v>
      </c>
      <c r="B35" s="2556" t="s">
        <v>2529</v>
      </c>
      <c r="C35" s="2556"/>
      <c r="D35" s="2556"/>
      <c r="E35" s="3508"/>
      <c r="F35" s="3508"/>
      <c r="G35" s="3508"/>
    </row>
    <row r="36" spans="1:7" hidden="1">
      <c r="A36" s="2559">
        <v>3</v>
      </c>
      <c r="B36" s="2556" t="s">
        <v>2530</v>
      </c>
      <c r="C36" s="2556"/>
      <c r="D36" s="2556"/>
      <c r="E36" s="3508"/>
      <c r="F36" s="3508"/>
      <c r="G36" s="3508"/>
    </row>
    <row r="37" spans="1:7" hidden="1">
      <c r="A37" s="2559">
        <v>4</v>
      </c>
      <c r="B37" s="2556" t="s">
        <v>2531</v>
      </c>
      <c r="C37" s="2556"/>
      <c r="D37" s="2556"/>
      <c r="E37" s="3508"/>
      <c r="F37" s="3508"/>
      <c r="G37" s="3508"/>
    </row>
    <row r="38" spans="1:7" hidden="1">
      <c r="A38" s="3509" t="s">
        <v>2532</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113422.40000000001</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71686.3</v>
      </c>
      <c r="E12" s="757">
        <f>'数据-取费表'!B27</f>
        <v>160</v>
      </c>
      <c r="F12" s="755"/>
      <c r="G12" s="759"/>
    </row>
    <row r="13" spans="1:25" s="2183" customFormat="1" ht="13.5" customHeight="1">
      <c r="A13" s="2500" t="s">
        <v>2448</v>
      </c>
      <c r="B13" s="756" t="s">
        <v>611</v>
      </c>
      <c r="C13" s="757">
        <f>ROUND(D13*E13/10000,0)</f>
        <v>835</v>
      </c>
      <c r="D13" s="758">
        <f>'数据-汇总表'!E6</f>
        <v>41736.100000000006</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0.92500000000000004</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01" t="s">
        <v>521</v>
      </c>
      <c r="D4" s="3402"/>
      <c r="E4" s="3440" t="s">
        <v>522</v>
      </c>
      <c r="F4" s="3441"/>
      <c r="G4" s="3401" t="s">
        <v>523</v>
      </c>
      <c r="H4" s="3402"/>
      <c r="I4" s="3401" t="s">
        <v>524</v>
      </c>
      <c r="J4" s="3402"/>
      <c r="K4" s="853"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8" t="s">
        <v>523</v>
      </c>
      <c r="AC4" s="3398" t="s">
        <v>524</v>
      </c>
    </row>
    <row r="5" spans="1:29" ht="15">
      <c r="A5" s="515"/>
      <c r="B5" s="516"/>
      <c r="C5" s="3434" t="s">
        <v>2926</v>
      </c>
      <c r="D5" s="3435"/>
      <c r="E5" s="3442" t="s">
        <v>2927</v>
      </c>
      <c r="F5" s="3443"/>
      <c r="G5" s="3434" t="s">
        <v>2928</v>
      </c>
      <c r="H5" s="3435"/>
      <c r="I5" s="3434" t="s">
        <v>2929</v>
      </c>
      <c r="J5" s="3435"/>
      <c r="K5" s="85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85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27" t="s">
        <v>529</v>
      </c>
      <c r="Q7" s="3429"/>
      <c r="R7" s="1567" t="s">
        <v>13</v>
      </c>
      <c r="S7" s="1568">
        <f t="shared" ref="S7:S15" si="0">F7</f>
        <v>0</v>
      </c>
      <c r="T7" s="1567" t="s">
        <v>13</v>
      </c>
      <c r="U7" s="1568">
        <f t="shared" ref="U7:U15" si="1">H7</f>
        <v>0</v>
      </c>
      <c r="V7" s="1567" t="s">
        <v>13</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27" t="s">
        <v>532</v>
      </c>
      <c r="Q8" s="3428"/>
      <c r="R8" s="1567" t="s">
        <v>13</v>
      </c>
      <c r="S8" s="1568">
        <f t="shared" si="0"/>
        <v>0</v>
      </c>
      <c r="T8" s="1567" t="s">
        <v>13</v>
      </c>
      <c r="U8" s="1568">
        <f t="shared" si="1"/>
        <v>0</v>
      </c>
      <c r="V8" s="1567" t="s">
        <v>13</v>
      </c>
      <c r="W8" s="1568">
        <f t="shared" si="2"/>
        <v>0</v>
      </c>
      <c r="X8" s="1569"/>
      <c r="Y8" s="3427" t="s">
        <v>532</v>
      </c>
      <c r="Z8" s="342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5"/>
      <c r="Q11" s="1151" t="str">
        <f t="shared" si="6"/>
        <v>容积率</v>
      </c>
      <c r="R11" s="1567" t="s">
        <v>11</v>
      </c>
      <c r="S11" s="1568" t="e">
        <f t="shared" si="0"/>
        <v>#N/A</v>
      </c>
      <c r="T11" s="1567" t="s">
        <v>11</v>
      </c>
      <c r="U11" s="1568" t="e">
        <f t="shared" si="1"/>
        <v>#N/A</v>
      </c>
      <c r="V11" s="1567" t="s">
        <v>11</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5"/>
      <c r="Q12" s="1151">
        <f t="shared" si="6"/>
        <v>111</v>
      </c>
      <c r="R12" s="1567" t="s">
        <v>11</v>
      </c>
      <c r="S12" s="1568">
        <f t="shared" si="0"/>
        <v>100</v>
      </c>
      <c r="T12" s="1567" t="s">
        <v>11</v>
      </c>
      <c r="U12" s="1568">
        <f t="shared" si="1"/>
        <v>100</v>
      </c>
      <c r="V12" s="1567" t="s">
        <v>11</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5"/>
      <c r="Q13" s="1151">
        <f t="shared" si="6"/>
        <v>111</v>
      </c>
      <c r="R13" s="1567" t="s">
        <v>11</v>
      </c>
      <c r="S13" s="1568">
        <f t="shared" si="0"/>
        <v>100</v>
      </c>
      <c r="T13" s="1567" t="s">
        <v>11</v>
      </c>
      <c r="U13" s="1568">
        <f t="shared" si="1"/>
        <v>100</v>
      </c>
      <c r="V13" s="1567" t="s">
        <v>11</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5"/>
      <c r="Q14" s="1151">
        <f t="shared" si="6"/>
        <v>111</v>
      </c>
      <c r="R14" s="1567" t="s">
        <v>11</v>
      </c>
      <c r="S14" s="1568">
        <f t="shared" si="0"/>
        <v>100</v>
      </c>
      <c r="T14" s="1567" t="s">
        <v>11</v>
      </c>
      <c r="U14" s="1568">
        <f t="shared" si="1"/>
        <v>100</v>
      </c>
      <c r="V14" s="1567" t="s">
        <v>11</v>
      </c>
      <c r="W14" s="1568">
        <f t="shared" si="2"/>
        <v>100</v>
      </c>
      <c r="X14" s="1569"/>
      <c r="Y14" s="3341"/>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30" t="s">
        <v>539</v>
      </c>
      <c r="Q15" s="1571" t="str">
        <f t="shared" si="6"/>
        <v>居住社区成熟度</v>
      </c>
      <c r="R15" s="1572" t="s">
        <v>11</v>
      </c>
      <c r="S15" s="1573">
        <f t="shared" si="0"/>
        <v>100</v>
      </c>
      <c r="T15" s="1572" t="s">
        <v>11</v>
      </c>
      <c r="U15" s="1573">
        <f t="shared" si="1"/>
        <v>100</v>
      </c>
      <c r="V15" s="1572" t="s">
        <v>11</v>
      </c>
      <c r="W15" s="1573">
        <f t="shared" si="2"/>
        <v>100</v>
      </c>
      <c r="X15" s="1566"/>
      <c r="Y15" s="343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31"/>
      <c r="Q16" s="1571"/>
      <c r="R16" s="1572"/>
      <c r="S16" s="1573"/>
      <c r="T16" s="1572"/>
      <c r="U16" s="1573"/>
      <c r="V16" s="1572"/>
      <c r="W16" s="1573"/>
      <c r="X16" s="1566"/>
      <c r="Y16" s="343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31"/>
      <c r="Q17" s="1571" t="str">
        <f>B17</f>
        <v>交通便捷度</v>
      </c>
      <c r="R17" s="1572" t="s">
        <v>11</v>
      </c>
      <c r="S17" s="1573">
        <f>F17</f>
        <v>100</v>
      </c>
      <c r="T17" s="1572" t="s">
        <v>11</v>
      </c>
      <c r="U17" s="1573">
        <f>H17</f>
        <v>100</v>
      </c>
      <c r="V17" s="1572" t="s">
        <v>11</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31"/>
      <c r="Q18" s="1571"/>
      <c r="R18" s="1572"/>
      <c r="S18" s="1573"/>
      <c r="T18" s="1572"/>
      <c r="U18" s="1573"/>
      <c r="V18" s="1572"/>
      <c r="W18" s="1573"/>
      <c r="X18" s="1566"/>
      <c r="Y18" s="3431"/>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31"/>
      <c r="Q19" s="1571" t="str">
        <f>B19</f>
        <v>公共配套设施</v>
      </c>
      <c r="R19" s="1572" t="s">
        <v>11</v>
      </c>
      <c r="S19" s="1573">
        <f>F19</f>
        <v>100</v>
      </c>
      <c r="T19" s="1572" t="s">
        <v>11</v>
      </c>
      <c r="U19" s="1573">
        <f>H19</f>
        <v>100</v>
      </c>
      <c r="V19" s="1572" t="s">
        <v>11</v>
      </c>
      <c r="W19" s="1573">
        <f>J19</f>
        <v>100</v>
      </c>
      <c r="X19" s="1566"/>
      <c r="Y19" s="343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1"/>
      <c r="Q21" s="2603" t="str">
        <f>B21</f>
        <v>基础设施水平</v>
      </c>
      <c r="R21" s="1572" t="s">
        <v>11</v>
      </c>
      <c r="S21" s="1573">
        <f>F21</f>
        <v>100</v>
      </c>
      <c r="T21" s="1572" t="s">
        <v>11</v>
      </c>
      <c r="U21" s="1573">
        <f>H21</f>
        <v>100</v>
      </c>
      <c r="V21" s="1572" t="s">
        <v>11</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31"/>
      <c r="Q22" s="2603"/>
      <c r="R22" s="1572"/>
      <c r="S22" s="1573"/>
      <c r="T22" s="1572"/>
      <c r="U22" s="1573"/>
      <c r="V22" s="1572"/>
      <c r="W22" s="1573"/>
      <c r="X22" s="2605"/>
      <c r="Y22" s="3431"/>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31"/>
      <c r="Q23" s="1571" t="str">
        <f>B23</f>
        <v>自然及人文环境</v>
      </c>
      <c r="R23" s="1572" t="s">
        <v>11</v>
      </c>
      <c r="S23" s="1573">
        <f>F23</f>
        <v>100</v>
      </c>
      <c r="T23" s="1572" t="s">
        <v>11</v>
      </c>
      <c r="U23" s="1573">
        <f>H23</f>
        <v>100</v>
      </c>
      <c r="V23" s="1572" t="s">
        <v>11</v>
      </c>
      <c r="W23" s="1573">
        <f>J23</f>
        <v>100</v>
      </c>
      <c r="X23" s="1566"/>
      <c r="Y23" s="343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1"/>
      <c r="Q25" s="1571" t="str">
        <f t="shared" ref="Q25:Q46" si="11">B25</f>
        <v>楼层-1</v>
      </c>
      <c r="R25" s="1572" t="s">
        <v>11</v>
      </c>
      <c r="S25" s="1573">
        <f>F25</f>
        <v>100</v>
      </c>
      <c r="T25" s="1572" t="s">
        <v>11</v>
      </c>
      <c r="U25" s="1573">
        <f>H25</f>
        <v>100</v>
      </c>
      <c r="V25" s="1572" t="s">
        <v>11</v>
      </c>
      <c r="W25" s="1573">
        <f>J25</f>
        <v>100</v>
      </c>
      <c r="X25" s="1566"/>
      <c r="Y25" s="343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1"/>
      <c r="Q26" s="1571" t="str">
        <f t="shared" si="11"/>
        <v>朝向</v>
      </c>
      <c r="R26" s="1572" t="s">
        <v>11</v>
      </c>
      <c r="S26" s="1573">
        <f>F26</f>
        <v>100</v>
      </c>
      <c r="T26" s="1572" t="s">
        <v>11</v>
      </c>
      <c r="U26" s="1573">
        <f>H26</f>
        <v>100</v>
      </c>
      <c r="V26" s="1572" t="s">
        <v>11</v>
      </c>
      <c r="W26" s="1573">
        <f>J26</f>
        <v>100</v>
      </c>
      <c r="X26" s="1566"/>
      <c r="Y26" s="343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1"/>
      <c r="Q27" s="1151" t="str">
        <f t="shared" si="11"/>
        <v>道路级别</v>
      </c>
      <c r="R27" s="1567" t="s">
        <v>11</v>
      </c>
      <c r="S27" s="1568">
        <f>F27</f>
        <v>100</v>
      </c>
      <c r="T27" s="1567" t="s">
        <v>11</v>
      </c>
      <c r="U27" s="1568">
        <f>H27</f>
        <v>100</v>
      </c>
      <c r="V27" s="1567" t="s">
        <v>11</v>
      </c>
      <c r="W27" s="1568">
        <f>J27</f>
        <v>100</v>
      </c>
      <c r="X27" s="1569"/>
      <c r="Y27" s="343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1"/>
      <c r="Q29" s="1571">
        <f t="shared" si="11"/>
        <v>111</v>
      </c>
      <c r="R29" s="1572" t="s">
        <v>11</v>
      </c>
      <c r="S29" s="1573">
        <f t="shared" si="12"/>
        <v>100</v>
      </c>
      <c r="T29" s="1572" t="s">
        <v>11</v>
      </c>
      <c r="U29" s="1573">
        <f t="shared" si="13"/>
        <v>100</v>
      </c>
      <c r="V29" s="1572" t="s">
        <v>11</v>
      </c>
      <c r="W29" s="1573">
        <f t="shared" si="14"/>
        <v>100</v>
      </c>
      <c r="X29" s="1566"/>
      <c r="Y29" s="343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1"/>
      <c r="Q30" s="1571">
        <f t="shared" si="11"/>
        <v>111</v>
      </c>
      <c r="R30" s="1572" t="s">
        <v>11</v>
      </c>
      <c r="S30" s="1573">
        <f t="shared" si="12"/>
        <v>100</v>
      </c>
      <c r="T30" s="1572" t="s">
        <v>11</v>
      </c>
      <c r="U30" s="1573">
        <f t="shared" si="13"/>
        <v>100</v>
      </c>
      <c r="V30" s="1572" t="s">
        <v>11</v>
      </c>
      <c r="W30" s="1573">
        <f t="shared" si="14"/>
        <v>100</v>
      </c>
      <c r="X30" s="1566"/>
      <c r="Y30" s="343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1"/>
      <c r="Q31" s="1571">
        <f t="shared" si="11"/>
        <v>111</v>
      </c>
      <c r="R31" s="1572" t="s">
        <v>11</v>
      </c>
      <c r="S31" s="1573">
        <f t="shared" si="12"/>
        <v>100</v>
      </c>
      <c r="T31" s="1572" t="s">
        <v>11</v>
      </c>
      <c r="U31" s="1573">
        <f t="shared" si="13"/>
        <v>100</v>
      </c>
      <c r="V31" s="1572" t="s">
        <v>11</v>
      </c>
      <c r="W31" s="1573">
        <f t="shared" si="14"/>
        <v>100</v>
      </c>
      <c r="X31" s="1566"/>
      <c r="Y31" s="343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32" t="s">
        <v>549</v>
      </c>
      <c r="Q32" s="1571" t="str">
        <f t="shared" si="11"/>
        <v>建筑类型</v>
      </c>
      <c r="R32" s="1572" t="s">
        <v>11</v>
      </c>
      <c r="S32" s="1573">
        <f t="shared" si="12"/>
        <v>100</v>
      </c>
      <c r="T32" s="1572" t="s">
        <v>11</v>
      </c>
      <c r="U32" s="1573">
        <f t="shared" si="13"/>
        <v>100</v>
      </c>
      <c r="V32" s="1572" t="s">
        <v>11</v>
      </c>
      <c r="W32" s="1573">
        <f t="shared" si="14"/>
        <v>100</v>
      </c>
      <c r="X32" s="1566"/>
      <c r="Y32" s="343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33"/>
      <c r="Q33" s="1604" t="str">
        <f t="shared" si="11"/>
        <v>项目建筑规模</v>
      </c>
      <c r="R33" s="1576" t="s">
        <v>11</v>
      </c>
      <c r="S33" s="1577" t="e">
        <f t="shared" si="12"/>
        <v>#N/A</v>
      </c>
      <c r="T33" s="1576" t="s">
        <v>11</v>
      </c>
      <c r="U33" s="1577" t="e">
        <f t="shared" si="13"/>
        <v>#N/A</v>
      </c>
      <c r="V33" s="1576" t="s">
        <v>11</v>
      </c>
      <c r="W33" s="1577" t="e">
        <f t="shared" si="14"/>
        <v>#N/A</v>
      </c>
      <c r="X33" s="1578"/>
      <c r="Y33" s="343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33"/>
      <c r="Q34" s="1571" t="str">
        <f t="shared" si="11"/>
        <v>建筑结构</v>
      </c>
      <c r="R34" s="1572" t="s">
        <v>11</v>
      </c>
      <c r="S34" s="1573">
        <f t="shared" si="12"/>
        <v>100</v>
      </c>
      <c r="T34" s="1572" t="s">
        <v>11</v>
      </c>
      <c r="U34" s="1573">
        <f t="shared" si="13"/>
        <v>100</v>
      </c>
      <c r="V34" s="1572" t="s">
        <v>11</v>
      </c>
      <c r="W34" s="1573">
        <f t="shared" si="14"/>
        <v>100</v>
      </c>
      <c r="X34" s="1566"/>
      <c r="Y34" s="343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33"/>
      <c r="Q35" s="1571" t="str">
        <f t="shared" si="11"/>
        <v>建筑品质</v>
      </c>
      <c r="R35" s="1572" t="s">
        <v>11</v>
      </c>
      <c r="S35" s="1573">
        <f t="shared" si="12"/>
        <v>100</v>
      </c>
      <c r="T35" s="1572" t="s">
        <v>11</v>
      </c>
      <c r="U35" s="1573">
        <f t="shared" si="13"/>
        <v>100</v>
      </c>
      <c r="V35" s="1572" t="s">
        <v>11</v>
      </c>
      <c r="W35" s="1573">
        <f t="shared" si="14"/>
        <v>100</v>
      </c>
      <c r="X35" s="1566"/>
      <c r="Y35" s="343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33"/>
      <c r="Q36" s="1571" t="str">
        <f t="shared" si="11"/>
        <v>公共部分装修</v>
      </c>
      <c r="R36" s="1572" t="s">
        <v>11</v>
      </c>
      <c r="S36" s="1573">
        <f t="shared" si="12"/>
        <v>100</v>
      </c>
      <c r="T36" s="1572" t="s">
        <v>11</v>
      </c>
      <c r="U36" s="1573">
        <f t="shared" si="13"/>
        <v>100</v>
      </c>
      <c r="V36" s="1572" t="s">
        <v>11</v>
      </c>
      <c r="W36" s="1573">
        <f t="shared" si="14"/>
        <v>100</v>
      </c>
      <c r="X36" s="1566"/>
      <c r="Y36" s="343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33"/>
      <c r="Q37" s="1151" t="str">
        <f t="shared" si="11"/>
        <v>成新度</v>
      </c>
      <c r="R37" s="1567" t="s">
        <v>11</v>
      </c>
      <c r="S37" s="1568" t="e">
        <f t="shared" si="12"/>
        <v>#N/A</v>
      </c>
      <c r="T37" s="1567" t="s">
        <v>11</v>
      </c>
      <c r="U37" s="1568" t="e">
        <f t="shared" si="13"/>
        <v>#N/A</v>
      </c>
      <c r="V37" s="1567" t="s">
        <v>11</v>
      </c>
      <c r="W37" s="1568" t="e">
        <f t="shared" si="14"/>
        <v>#N/A</v>
      </c>
      <c r="X37" s="1569"/>
      <c r="Y37" s="343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33" t="s">
        <v>549</v>
      </c>
      <c r="Q38" s="1571" t="str">
        <f t="shared" si="11"/>
        <v>物业管理</v>
      </c>
      <c r="R38" s="1572" t="s">
        <v>11</v>
      </c>
      <c r="S38" s="1573">
        <f t="shared" si="12"/>
        <v>100</v>
      </c>
      <c r="T38" s="1572" t="s">
        <v>11</v>
      </c>
      <c r="U38" s="1573">
        <f t="shared" si="13"/>
        <v>100</v>
      </c>
      <c r="V38" s="1572" t="s">
        <v>11</v>
      </c>
      <c r="W38" s="1573">
        <f t="shared" si="14"/>
        <v>100</v>
      </c>
      <c r="X38" s="1566"/>
      <c r="Y38" s="343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33"/>
      <c r="Q39" s="1571" t="str">
        <f t="shared" si="11"/>
        <v>市政基础设施</v>
      </c>
      <c r="R39" s="1572" t="s">
        <v>11</v>
      </c>
      <c r="S39" s="1573">
        <f t="shared" si="12"/>
        <v>100</v>
      </c>
      <c r="T39" s="1572" t="s">
        <v>11</v>
      </c>
      <c r="U39" s="1573">
        <f t="shared" si="13"/>
        <v>100</v>
      </c>
      <c r="V39" s="1572" t="s">
        <v>11</v>
      </c>
      <c r="W39" s="1573">
        <f t="shared" si="14"/>
        <v>100</v>
      </c>
      <c r="X39" s="1566"/>
      <c r="Y39" s="343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3"/>
      <c r="Q40" s="1571" t="str">
        <f t="shared" si="11"/>
        <v>房型</v>
      </c>
      <c r="R40" s="1572" t="s">
        <v>11</v>
      </c>
      <c r="S40" s="1573">
        <f t="shared" si="12"/>
        <v>100</v>
      </c>
      <c r="T40" s="1572" t="s">
        <v>11</v>
      </c>
      <c r="U40" s="1573">
        <f t="shared" si="13"/>
        <v>100</v>
      </c>
      <c r="V40" s="1572" t="s">
        <v>11</v>
      </c>
      <c r="W40" s="1573">
        <f t="shared" si="14"/>
        <v>100</v>
      </c>
      <c r="X40" s="1566"/>
      <c r="Y40" s="3433"/>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33"/>
      <c r="Q41" s="1604" t="str">
        <f t="shared" si="11"/>
        <v>单套/主力户型建筑面积</v>
      </c>
      <c r="R41" s="1576" t="s">
        <v>11</v>
      </c>
      <c r="S41" s="1577">
        <f t="shared" si="12"/>
        <v>100</v>
      </c>
      <c r="T41" s="1576" t="s">
        <v>11</v>
      </c>
      <c r="U41" s="1577">
        <f t="shared" si="13"/>
        <v>100</v>
      </c>
      <c r="V41" s="1576" t="s">
        <v>11</v>
      </c>
      <c r="W41" s="1577">
        <f t="shared" si="14"/>
        <v>100</v>
      </c>
      <c r="X41" s="1578"/>
      <c r="Y41" s="343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33"/>
      <c r="Q42" s="1571" t="str">
        <f t="shared" si="11"/>
        <v>内部装修</v>
      </c>
      <c r="R42" s="1572" t="s">
        <v>11</v>
      </c>
      <c r="S42" s="1573">
        <f t="shared" si="12"/>
        <v>100</v>
      </c>
      <c r="T42" s="1572" t="s">
        <v>11</v>
      </c>
      <c r="U42" s="1573">
        <f t="shared" si="13"/>
        <v>100</v>
      </c>
      <c r="V42" s="1572" t="s">
        <v>11</v>
      </c>
      <c r="W42" s="1573">
        <f t="shared" si="14"/>
        <v>100</v>
      </c>
      <c r="X42" s="1566"/>
      <c r="Y42" s="343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3"/>
      <c r="Q43" s="1571" t="str">
        <f t="shared" si="11"/>
        <v>内部装修维护情况</v>
      </c>
      <c r="R43" s="1572" t="s">
        <v>11</v>
      </c>
      <c r="S43" s="1573">
        <f t="shared" si="12"/>
        <v>100</v>
      </c>
      <c r="T43" s="1572" t="s">
        <v>11</v>
      </c>
      <c r="U43" s="1573">
        <f t="shared" si="13"/>
        <v>100</v>
      </c>
      <c r="V43" s="1572" t="s">
        <v>11</v>
      </c>
      <c r="W43" s="1573">
        <f t="shared" si="14"/>
        <v>100</v>
      </c>
      <c r="X43" s="1566"/>
      <c r="Y43" s="343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33"/>
      <c r="Q44" s="1151">
        <f t="shared" si="11"/>
        <v>111</v>
      </c>
      <c r="R44" s="1567" t="s">
        <v>11</v>
      </c>
      <c r="S44" s="1568">
        <f t="shared" si="12"/>
        <v>100</v>
      </c>
      <c r="T44" s="1567" t="s">
        <v>11</v>
      </c>
      <c r="U44" s="1568">
        <f t="shared" si="13"/>
        <v>100</v>
      </c>
      <c r="V44" s="1567" t="s">
        <v>11</v>
      </c>
      <c r="W44" s="1568">
        <f t="shared" si="14"/>
        <v>100</v>
      </c>
      <c r="X44" s="1569"/>
      <c r="Y44" s="343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3"/>
      <c r="Q45" s="1571">
        <f t="shared" si="11"/>
        <v>111</v>
      </c>
      <c r="R45" s="1572" t="s">
        <v>11</v>
      </c>
      <c r="S45" s="1573">
        <f t="shared" si="12"/>
        <v>100</v>
      </c>
      <c r="T45" s="1572" t="s">
        <v>11</v>
      </c>
      <c r="U45" s="1573">
        <f t="shared" si="13"/>
        <v>100</v>
      </c>
      <c r="V45" s="1572" t="s">
        <v>11</v>
      </c>
      <c r="W45" s="1573">
        <f t="shared" si="14"/>
        <v>100</v>
      </c>
      <c r="X45" s="1566"/>
      <c r="Y45" s="343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4"/>
      <c r="Q46" s="1571">
        <f t="shared" si="11"/>
        <v>111</v>
      </c>
      <c r="R46" s="1572" t="s">
        <v>10</v>
      </c>
      <c r="S46" s="1573">
        <f t="shared" si="12"/>
        <v>100</v>
      </c>
      <c r="T46" s="1572" t="s">
        <v>10</v>
      </c>
      <c r="U46" s="1573">
        <f t="shared" si="13"/>
        <v>100</v>
      </c>
      <c r="V46" s="1572" t="s">
        <v>10</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395" t="str">
        <f>A47</f>
        <v>成交单价（元/平方米）</v>
      </c>
      <c r="Q47" s="3395"/>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395" t="str">
        <f>A48</f>
        <v>比较价格（元/平方米）</v>
      </c>
      <c r="Q48" s="3395"/>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392" t="str">
        <f>A49</f>
        <v>估价对象XX用房的比较价格（楼面单价，元/平方米）</v>
      </c>
      <c r="Q49" s="3393"/>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01" t="s">
        <v>521</v>
      </c>
      <c r="D4" s="3402"/>
      <c r="E4" s="3440" t="s">
        <v>522</v>
      </c>
      <c r="F4" s="3441"/>
      <c r="G4" s="3401" t="s">
        <v>523</v>
      </c>
      <c r="H4" s="3402"/>
      <c r="I4" s="3401" t="s">
        <v>524</v>
      </c>
      <c r="J4" s="3402"/>
      <c r="K4" s="514"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6"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6"/>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396"/>
      <c r="AC6" s="3400"/>
    </row>
    <row r="7" spans="1:29" s="1220" customFormat="1" ht="15.75" thickBot="1">
      <c r="A7" s="2936"/>
      <c r="B7" s="2943" t="s">
        <v>528</v>
      </c>
      <c r="C7" s="519">
        <f>'数据-取费表'!B2</f>
        <v>43207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7"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0" t="s">
        <v>539</v>
      </c>
      <c r="Q15" s="1571" t="str">
        <f t="shared" si="6"/>
        <v>商业繁华度</v>
      </c>
      <c r="R15" s="1572" t="s">
        <v>8</v>
      </c>
      <c r="S15" s="1573">
        <f t="shared" si="0"/>
        <v>100</v>
      </c>
      <c r="T15" s="1572" t="s">
        <v>8</v>
      </c>
      <c r="U15" s="1573">
        <f t="shared" si="1"/>
        <v>100</v>
      </c>
      <c r="V15" s="1572" t="s">
        <v>8</v>
      </c>
      <c r="W15" s="1573">
        <f t="shared" si="2"/>
        <v>100</v>
      </c>
      <c r="X15" s="1566"/>
      <c r="Y15" s="343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1"/>
      <c r="Q16" s="1571"/>
      <c r="R16" s="1572"/>
      <c r="S16" s="1573"/>
      <c r="T16" s="1572"/>
      <c r="U16" s="1573"/>
      <c r="V16" s="1572"/>
      <c r="W16" s="1573"/>
      <c r="X16" s="1566"/>
      <c r="Y16" s="343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1"/>
      <c r="Q18" s="1571"/>
      <c r="R18" s="1572"/>
      <c r="S18" s="1573"/>
      <c r="T18" s="1572"/>
      <c r="U18" s="1573"/>
      <c r="V18" s="1572"/>
      <c r="W18" s="1573"/>
      <c r="X18" s="1566"/>
      <c r="Y18" s="3431"/>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31"/>
      <c r="Q22" s="2603"/>
      <c r="R22" s="1572"/>
      <c r="S22" s="1573"/>
      <c r="T22" s="1572"/>
      <c r="U22" s="1573"/>
      <c r="V22" s="1572"/>
      <c r="W22" s="1573"/>
      <c r="X22" s="2605"/>
      <c r="Y22" s="3431"/>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1"/>
      <c r="Q23" s="1571" t="str">
        <f>B23</f>
        <v>自然及人文环境</v>
      </c>
      <c r="R23" s="1572" t="s">
        <v>8</v>
      </c>
      <c r="S23" s="1573">
        <f>F23</f>
        <v>100</v>
      </c>
      <c r="T23" s="1572" t="s">
        <v>8</v>
      </c>
      <c r="U23" s="1573">
        <f>H23</f>
        <v>100</v>
      </c>
      <c r="V23" s="1572" t="s">
        <v>8</v>
      </c>
      <c r="W23" s="1573">
        <f>J23</f>
        <v>100</v>
      </c>
      <c r="X23" s="1566"/>
      <c r="Y23" s="343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1"/>
      <c r="Q25" s="1571" t="str">
        <f t="shared" ref="Q25:Q46" si="11">B25</f>
        <v>临街状况</v>
      </c>
      <c r="R25" s="1572" t="s">
        <v>8</v>
      </c>
      <c r="S25" s="1573">
        <f>F25</f>
        <v>100</v>
      </c>
      <c r="T25" s="1572" t="s">
        <v>8</v>
      </c>
      <c r="U25" s="1573">
        <f>H25</f>
        <v>100</v>
      </c>
      <c r="V25" s="1572" t="s">
        <v>8</v>
      </c>
      <c r="W25" s="1573">
        <f>J25</f>
        <v>100</v>
      </c>
      <c r="X25" s="1566"/>
      <c r="Y25" s="343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1"/>
      <c r="Q26" s="1571" t="str">
        <f t="shared" si="11"/>
        <v>平面位置/可视性</v>
      </c>
      <c r="R26" s="1572" t="s">
        <v>8</v>
      </c>
      <c r="S26" s="1573">
        <f>F26</f>
        <v>100</v>
      </c>
      <c r="T26" s="1572" t="s">
        <v>8</v>
      </c>
      <c r="U26" s="1573">
        <f>H26</f>
        <v>100</v>
      </c>
      <c r="V26" s="1572" t="s">
        <v>8</v>
      </c>
      <c r="W26" s="1573">
        <f>J26</f>
        <v>100</v>
      </c>
      <c r="X26" s="1566"/>
      <c r="Y26" s="343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1"/>
      <c r="Q27" s="1151" t="str">
        <f t="shared" si="11"/>
        <v>人流量</v>
      </c>
      <c r="R27" s="1567" t="s">
        <v>8</v>
      </c>
      <c r="S27" s="1568">
        <f>F27</f>
        <v>100</v>
      </c>
      <c r="T27" s="1567" t="s">
        <v>8</v>
      </c>
      <c r="U27" s="1568">
        <f>H27</f>
        <v>100</v>
      </c>
      <c r="V27" s="1567" t="s">
        <v>8</v>
      </c>
      <c r="W27" s="1568">
        <f>J27</f>
        <v>100</v>
      </c>
      <c r="X27" s="1569"/>
      <c r="Y27" s="343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1"/>
      <c r="Q29" s="1571">
        <f t="shared" si="11"/>
        <v>111</v>
      </c>
      <c r="R29" s="1572" t="s">
        <v>8</v>
      </c>
      <c r="S29" s="1573">
        <f t="shared" si="12"/>
        <v>100</v>
      </c>
      <c r="T29" s="1572" t="s">
        <v>8</v>
      </c>
      <c r="U29" s="1573">
        <f t="shared" si="13"/>
        <v>100</v>
      </c>
      <c r="V29" s="1572" t="s">
        <v>8</v>
      </c>
      <c r="W29" s="1573">
        <f t="shared" si="14"/>
        <v>100</v>
      </c>
      <c r="X29" s="1566"/>
      <c r="Y29" s="343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1"/>
      <c r="Q30" s="1571">
        <f t="shared" si="11"/>
        <v>111</v>
      </c>
      <c r="R30" s="1572" t="s">
        <v>8</v>
      </c>
      <c r="S30" s="1573">
        <f t="shared" si="12"/>
        <v>100</v>
      </c>
      <c r="T30" s="1572" t="s">
        <v>8</v>
      </c>
      <c r="U30" s="1573">
        <f t="shared" si="13"/>
        <v>100</v>
      </c>
      <c r="V30" s="1572" t="s">
        <v>8</v>
      </c>
      <c r="W30" s="1573">
        <f t="shared" si="14"/>
        <v>100</v>
      </c>
      <c r="X30" s="1566"/>
      <c r="Y30" s="343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1"/>
      <c r="Q31" s="1571">
        <f t="shared" si="11"/>
        <v>111</v>
      </c>
      <c r="R31" s="1572" t="s">
        <v>8</v>
      </c>
      <c r="S31" s="1573">
        <f t="shared" si="12"/>
        <v>100</v>
      </c>
      <c r="T31" s="1572" t="s">
        <v>8</v>
      </c>
      <c r="U31" s="1573">
        <f t="shared" si="13"/>
        <v>100</v>
      </c>
      <c r="V31" s="1572" t="s">
        <v>8</v>
      </c>
      <c r="W31" s="1573">
        <f t="shared" si="14"/>
        <v>100</v>
      </c>
      <c r="X31" s="1566"/>
      <c r="Y31" s="343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32" t="s">
        <v>549</v>
      </c>
      <c r="Q32" s="1571" t="str">
        <f t="shared" si="11"/>
        <v>商业类型</v>
      </c>
      <c r="R32" s="1572" t="s">
        <v>8</v>
      </c>
      <c r="S32" s="1573">
        <f t="shared" si="12"/>
        <v>100</v>
      </c>
      <c r="T32" s="1572" t="s">
        <v>8</v>
      </c>
      <c r="U32" s="1573">
        <f t="shared" si="13"/>
        <v>100</v>
      </c>
      <c r="V32" s="1572" t="s">
        <v>8</v>
      </c>
      <c r="W32" s="1573">
        <f t="shared" si="14"/>
        <v>100</v>
      </c>
      <c r="X32" s="1566"/>
      <c r="Y32" s="343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3"/>
      <c r="Q33" s="1604" t="str">
        <f t="shared" si="11"/>
        <v>项目建筑规模</v>
      </c>
      <c r="R33" s="1576" t="s">
        <v>8</v>
      </c>
      <c r="S33" s="1577" t="e">
        <f t="shared" si="12"/>
        <v>#N/A</v>
      </c>
      <c r="T33" s="1576" t="s">
        <v>8</v>
      </c>
      <c r="U33" s="1577" t="e">
        <f t="shared" si="13"/>
        <v>#N/A</v>
      </c>
      <c r="V33" s="1576" t="s">
        <v>8</v>
      </c>
      <c r="W33" s="1577" t="e">
        <f t="shared" si="14"/>
        <v>#N/A</v>
      </c>
      <c r="X33" s="1578"/>
      <c r="Y33" s="343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33"/>
      <c r="Q34" s="1571" t="str">
        <f t="shared" si="11"/>
        <v>建筑结构</v>
      </c>
      <c r="R34" s="1572" t="s">
        <v>8</v>
      </c>
      <c r="S34" s="1573">
        <f t="shared" si="12"/>
        <v>100</v>
      </c>
      <c r="T34" s="1572" t="s">
        <v>8</v>
      </c>
      <c r="U34" s="1573">
        <f t="shared" si="13"/>
        <v>100</v>
      </c>
      <c r="V34" s="1572" t="s">
        <v>8</v>
      </c>
      <c r="W34" s="1573">
        <f t="shared" si="14"/>
        <v>100</v>
      </c>
      <c r="X34" s="1566"/>
      <c r="Y34" s="343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33"/>
      <c r="Q35" s="1571" t="str">
        <f t="shared" si="11"/>
        <v>公共部分装修</v>
      </c>
      <c r="R35" s="1572" t="s">
        <v>8</v>
      </c>
      <c r="S35" s="1573">
        <f t="shared" si="12"/>
        <v>100</v>
      </c>
      <c r="T35" s="1572" t="s">
        <v>8</v>
      </c>
      <c r="U35" s="1573">
        <f t="shared" si="13"/>
        <v>100</v>
      </c>
      <c r="V35" s="1572" t="s">
        <v>8</v>
      </c>
      <c r="W35" s="1573">
        <f t="shared" si="14"/>
        <v>100</v>
      </c>
      <c r="X35" s="1566"/>
      <c r="Y35" s="343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33"/>
      <c r="Q36" s="1571" t="str">
        <f t="shared" si="11"/>
        <v>成新度</v>
      </c>
      <c r="R36" s="1572" t="s">
        <v>8</v>
      </c>
      <c r="S36" s="1573" t="e">
        <f t="shared" si="12"/>
        <v>#N/A</v>
      </c>
      <c r="T36" s="1572" t="s">
        <v>8</v>
      </c>
      <c r="U36" s="1573" t="e">
        <f t="shared" si="13"/>
        <v>#N/A</v>
      </c>
      <c r="V36" s="1572" t="s">
        <v>8</v>
      </c>
      <c r="W36" s="1573" t="e">
        <f t="shared" si="14"/>
        <v>#N/A</v>
      </c>
      <c r="X36" s="1566"/>
      <c r="Y36" s="343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33"/>
      <c r="Q37" s="1151" t="str">
        <f t="shared" si="11"/>
        <v>市政基础设施</v>
      </c>
      <c r="R37" s="1567" t="s">
        <v>8</v>
      </c>
      <c r="S37" s="1568">
        <f t="shared" si="12"/>
        <v>100</v>
      </c>
      <c r="T37" s="1567" t="s">
        <v>8</v>
      </c>
      <c r="U37" s="1568">
        <f t="shared" si="13"/>
        <v>100</v>
      </c>
      <c r="V37" s="1567" t="s">
        <v>8</v>
      </c>
      <c r="W37" s="1568">
        <f t="shared" si="14"/>
        <v>100</v>
      </c>
      <c r="X37" s="1569"/>
      <c r="Y37" s="343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3" t="s">
        <v>765</v>
      </c>
      <c r="Q38" s="1571" t="str">
        <f t="shared" si="11"/>
        <v>业态</v>
      </c>
      <c r="R38" s="1572" t="s">
        <v>8</v>
      </c>
      <c r="S38" s="1573">
        <f t="shared" si="12"/>
        <v>100</v>
      </c>
      <c r="T38" s="1572" t="s">
        <v>8</v>
      </c>
      <c r="U38" s="1573">
        <f t="shared" si="13"/>
        <v>100</v>
      </c>
      <c r="V38" s="1572" t="s">
        <v>8</v>
      </c>
      <c r="W38" s="1573">
        <f t="shared" si="14"/>
        <v>100</v>
      </c>
      <c r="X38" s="1566"/>
      <c r="Y38" s="343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3"/>
      <c r="Q39" s="1571" t="str">
        <f t="shared" si="11"/>
        <v>层高</v>
      </c>
      <c r="R39" s="1572" t="s">
        <v>8</v>
      </c>
      <c r="S39" s="1573">
        <f t="shared" si="12"/>
        <v>100</v>
      </c>
      <c r="T39" s="1572" t="s">
        <v>8</v>
      </c>
      <c r="U39" s="1573">
        <f t="shared" si="13"/>
        <v>100</v>
      </c>
      <c r="V39" s="1572" t="s">
        <v>8</v>
      </c>
      <c r="W39" s="1573">
        <f t="shared" si="14"/>
        <v>100</v>
      </c>
      <c r="X39" s="1566"/>
      <c r="Y39" s="343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3"/>
      <c r="Q40" s="1571" t="str">
        <f t="shared" si="11"/>
        <v>单套建筑面积</v>
      </c>
      <c r="R40" s="1572" t="s">
        <v>8</v>
      </c>
      <c r="S40" s="1573">
        <f t="shared" si="12"/>
        <v>100</v>
      </c>
      <c r="T40" s="1572" t="s">
        <v>8</v>
      </c>
      <c r="U40" s="1573">
        <f t="shared" si="13"/>
        <v>100</v>
      </c>
      <c r="V40" s="1572" t="s">
        <v>8</v>
      </c>
      <c r="W40" s="1573">
        <f t="shared" si="14"/>
        <v>100</v>
      </c>
      <c r="X40" s="1566"/>
      <c r="Y40" s="343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3"/>
      <c r="Q41" s="1604" t="str">
        <f t="shared" si="11"/>
        <v>进深比</v>
      </c>
      <c r="R41" s="1576" t="s">
        <v>8</v>
      </c>
      <c r="S41" s="1577">
        <f t="shared" si="12"/>
        <v>100</v>
      </c>
      <c r="T41" s="1576" t="s">
        <v>8</v>
      </c>
      <c r="U41" s="1577">
        <f t="shared" si="13"/>
        <v>100</v>
      </c>
      <c r="V41" s="1576" t="s">
        <v>8</v>
      </c>
      <c r="W41" s="1577">
        <f t="shared" si="14"/>
        <v>100</v>
      </c>
      <c r="X41" s="1578"/>
      <c r="Y41" s="343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33"/>
      <c r="Q42" s="1571" t="str">
        <f t="shared" si="11"/>
        <v>内部装修</v>
      </c>
      <c r="R42" s="1572" t="s">
        <v>8</v>
      </c>
      <c r="S42" s="1573">
        <f t="shared" si="12"/>
        <v>100</v>
      </c>
      <c r="T42" s="1572" t="s">
        <v>8</v>
      </c>
      <c r="U42" s="1573">
        <f t="shared" si="13"/>
        <v>100</v>
      </c>
      <c r="V42" s="1572" t="s">
        <v>8</v>
      </c>
      <c r="W42" s="1573">
        <f t="shared" si="14"/>
        <v>100</v>
      </c>
      <c r="X42" s="1566"/>
      <c r="Y42" s="343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3"/>
      <c r="Q43" s="1571" t="str">
        <f t="shared" si="11"/>
        <v>内部装修维护情况</v>
      </c>
      <c r="R43" s="1572" t="s">
        <v>8</v>
      </c>
      <c r="S43" s="1573">
        <f t="shared" si="12"/>
        <v>100</v>
      </c>
      <c r="T43" s="1572" t="s">
        <v>8</v>
      </c>
      <c r="U43" s="1573">
        <f t="shared" si="13"/>
        <v>100</v>
      </c>
      <c r="V43" s="1572" t="s">
        <v>8</v>
      </c>
      <c r="W43" s="1573">
        <f t="shared" si="14"/>
        <v>100</v>
      </c>
      <c r="X43" s="1566"/>
      <c r="Y43" s="343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3"/>
      <c r="Q44" s="1151">
        <f t="shared" si="11"/>
        <v>111</v>
      </c>
      <c r="R44" s="1567" t="s">
        <v>8</v>
      </c>
      <c r="S44" s="1568">
        <f t="shared" si="12"/>
        <v>100</v>
      </c>
      <c r="T44" s="1567" t="s">
        <v>8</v>
      </c>
      <c r="U44" s="1568">
        <f t="shared" si="13"/>
        <v>100</v>
      </c>
      <c r="V44" s="1567" t="s">
        <v>8</v>
      </c>
      <c r="W44" s="1568">
        <f t="shared" si="14"/>
        <v>100</v>
      </c>
      <c r="X44" s="1569"/>
      <c r="Y44" s="343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3"/>
      <c r="Q45" s="1571">
        <f t="shared" si="11"/>
        <v>111</v>
      </c>
      <c r="R45" s="1572" t="s">
        <v>8</v>
      </c>
      <c r="S45" s="1573">
        <f t="shared" si="12"/>
        <v>100</v>
      </c>
      <c r="T45" s="1572" t="s">
        <v>8</v>
      </c>
      <c r="U45" s="1573">
        <f t="shared" si="13"/>
        <v>100</v>
      </c>
      <c r="V45" s="1572" t="s">
        <v>8</v>
      </c>
      <c r="W45" s="1573">
        <f t="shared" si="14"/>
        <v>100</v>
      </c>
      <c r="X45" s="1566"/>
      <c r="Y45" s="343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4"/>
      <c r="Q46" s="1571">
        <f t="shared" si="11"/>
        <v>111</v>
      </c>
      <c r="R46" s="1572" t="s">
        <v>8</v>
      </c>
      <c r="S46" s="1573">
        <f t="shared" si="12"/>
        <v>100</v>
      </c>
      <c r="T46" s="1572" t="s">
        <v>8</v>
      </c>
      <c r="U46" s="1573">
        <f t="shared" si="13"/>
        <v>100</v>
      </c>
      <c r="V46" s="1572" t="s">
        <v>8</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395" t="str">
        <f>A47</f>
        <v>成交单价（元/平方米）</v>
      </c>
      <c r="Q47" s="3395"/>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395" t="str">
        <f>A48</f>
        <v>比较价格（元/平方米）</v>
      </c>
      <c r="Q48" s="3395"/>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392" t="str">
        <f>A49</f>
        <v>估价对象XX用房的比较价格（楼面单价，元/平方米）</v>
      </c>
      <c r="Q49" s="3393"/>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01" t="s">
        <v>521</v>
      </c>
      <c r="D4" s="3402"/>
      <c r="E4" s="3440" t="s">
        <v>522</v>
      </c>
      <c r="F4" s="3441"/>
      <c r="G4" s="3401" t="s">
        <v>523</v>
      </c>
      <c r="H4" s="3402"/>
      <c r="I4" s="3401" t="s">
        <v>524</v>
      </c>
      <c r="J4" s="3402"/>
      <c r="K4" s="514" t="s">
        <v>525</v>
      </c>
      <c r="L4" s="2133"/>
      <c r="M4" s="2134"/>
      <c r="N4" s="2134"/>
      <c r="O4" s="2134"/>
      <c r="P4" s="3516" t="s">
        <v>526</v>
      </c>
      <c r="Q4" s="3404"/>
      <c r="R4" s="3409" t="s">
        <v>522</v>
      </c>
      <c r="S4" s="3410"/>
      <c r="T4" s="3409" t="s">
        <v>523</v>
      </c>
      <c r="U4" s="3410"/>
      <c r="V4" s="3396" t="s">
        <v>524</v>
      </c>
      <c r="W4" s="3396"/>
      <c r="X4" s="1566"/>
      <c r="Y4" s="3409" t="s">
        <v>526</v>
      </c>
      <c r="Z4" s="3410"/>
      <c r="AA4" s="3398" t="s">
        <v>522</v>
      </c>
      <c r="AB4" s="3398"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517"/>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518"/>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9"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9" t="s">
        <v>532</v>
      </c>
      <c r="Q8" s="3428"/>
      <c r="R8" s="1567" t="s">
        <v>8</v>
      </c>
      <c r="S8" s="1568">
        <f t="shared" si="0"/>
        <v>0</v>
      </c>
      <c r="T8" s="1567" t="s">
        <v>8</v>
      </c>
      <c r="U8" s="1568">
        <f t="shared" si="1"/>
        <v>0</v>
      </c>
      <c r="V8" s="1567" t="s">
        <v>8</v>
      </c>
      <c r="W8" s="1568">
        <f t="shared" si="2"/>
        <v>0</v>
      </c>
      <c r="X8" s="1569"/>
      <c r="Y8" s="3427" t="s">
        <v>532</v>
      </c>
      <c r="Z8" s="3428"/>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0" t="s">
        <v>539</v>
      </c>
      <c r="Q15" s="1571" t="str">
        <f t="shared" si="6"/>
        <v>办公集聚程度</v>
      </c>
      <c r="R15" s="1572" t="s">
        <v>8</v>
      </c>
      <c r="S15" s="1573">
        <f t="shared" si="0"/>
        <v>100</v>
      </c>
      <c r="T15" s="1572" t="s">
        <v>8</v>
      </c>
      <c r="U15" s="1573">
        <f t="shared" si="1"/>
        <v>100</v>
      </c>
      <c r="V15" s="1572" t="s">
        <v>8</v>
      </c>
      <c r="W15" s="1573">
        <f t="shared" si="2"/>
        <v>100</v>
      </c>
      <c r="X15" s="1566"/>
      <c r="Y15" s="343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1"/>
      <c r="Q16" s="1571"/>
      <c r="R16" s="1572"/>
      <c r="S16" s="1573"/>
      <c r="T16" s="1572"/>
      <c r="U16" s="1573"/>
      <c r="V16" s="1572"/>
      <c r="W16" s="1573"/>
      <c r="X16" s="1566"/>
      <c r="Y16" s="3431"/>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1"/>
      <c r="Q18" s="1571"/>
      <c r="R18" s="1572"/>
      <c r="S18" s="1573"/>
      <c r="T18" s="1572"/>
      <c r="U18" s="1573"/>
      <c r="V18" s="1572"/>
      <c r="W18" s="1573"/>
      <c r="X18" s="1566"/>
      <c r="Y18" s="3431"/>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1"/>
      <c r="Q20" s="1571"/>
      <c r="R20" s="1572"/>
      <c r="S20" s="1573"/>
      <c r="T20" s="1572"/>
      <c r="U20" s="1573"/>
      <c r="V20" s="1572"/>
      <c r="W20" s="1573"/>
      <c r="X20" s="1566"/>
      <c r="Y20" s="3431"/>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31"/>
      <c r="Q22" s="2603"/>
      <c r="R22" s="1572"/>
      <c r="S22" s="1573"/>
      <c r="T22" s="1572"/>
      <c r="U22" s="1573"/>
      <c r="V22" s="1572"/>
      <c r="W22" s="1573"/>
      <c r="X22" s="2605"/>
      <c r="Y22" s="3431"/>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1"/>
      <c r="Q23" s="1571" t="str">
        <f>B23</f>
        <v>环境质量</v>
      </c>
      <c r="R23" s="1572" t="s">
        <v>8</v>
      </c>
      <c r="S23" s="1573">
        <f>F23</f>
        <v>100</v>
      </c>
      <c r="T23" s="1572" t="s">
        <v>8</v>
      </c>
      <c r="U23" s="1573">
        <f>H23</f>
        <v>100</v>
      </c>
      <c r="V23" s="1572" t="s">
        <v>8</v>
      </c>
      <c r="W23" s="1573">
        <f>J23</f>
        <v>100</v>
      </c>
      <c r="X23" s="1566"/>
      <c r="Y23" s="343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1"/>
      <c r="Q24" s="1571"/>
      <c r="R24" s="1572"/>
      <c r="S24" s="1573"/>
      <c r="T24" s="1572"/>
      <c r="U24" s="1573"/>
      <c r="V24" s="1572"/>
      <c r="W24" s="1573"/>
      <c r="X24" s="1566"/>
      <c r="Y24" s="343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1"/>
      <c r="Q25" s="1571" t="str">
        <f>B25</f>
        <v>毗邻道路的类型与等级</v>
      </c>
      <c r="R25" s="1572" t="s">
        <v>8</v>
      </c>
      <c r="S25" s="1573">
        <f>F25</f>
        <v>100</v>
      </c>
      <c r="T25" s="1572" t="s">
        <v>8</v>
      </c>
      <c r="U25" s="1573">
        <f>H25</f>
        <v>100</v>
      </c>
      <c r="V25" s="1572" t="s">
        <v>8</v>
      </c>
      <c r="W25" s="1573">
        <f>J25</f>
        <v>100</v>
      </c>
      <c r="X25" s="1566"/>
      <c r="Y25" s="343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1"/>
      <c r="Q26" s="1571"/>
      <c r="R26" s="1572"/>
      <c r="S26" s="1573"/>
      <c r="T26" s="1572"/>
      <c r="U26" s="1573"/>
      <c r="V26" s="1572"/>
      <c r="W26" s="1573"/>
      <c r="X26" s="1566"/>
      <c r="Y26" s="343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1"/>
      <c r="Q27" s="1571" t="str">
        <f t="shared" ref="Q27:Q47" si="11">B27</f>
        <v>楼层</v>
      </c>
      <c r="R27" s="1572" t="s">
        <v>8</v>
      </c>
      <c r="S27" s="1573">
        <f>F27</f>
        <v>100</v>
      </c>
      <c r="T27" s="1572" t="s">
        <v>8</v>
      </c>
      <c r="U27" s="1573">
        <f>H27</f>
        <v>100</v>
      </c>
      <c r="V27" s="1572" t="s">
        <v>8</v>
      </c>
      <c r="W27" s="1573">
        <f>J27</f>
        <v>100</v>
      </c>
      <c r="X27" s="1566"/>
      <c r="Y27" s="343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1"/>
      <c r="Q28" s="1151" t="str">
        <f t="shared" si="11"/>
        <v>朝向</v>
      </c>
      <c r="R28" s="1567" t="s">
        <v>8</v>
      </c>
      <c r="S28" s="1568">
        <f>F28</f>
        <v>100</v>
      </c>
      <c r="T28" s="1567" t="s">
        <v>8</v>
      </c>
      <c r="U28" s="1568">
        <f>H28</f>
        <v>100</v>
      </c>
      <c r="V28" s="1567" t="s">
        <v>8</v>
      </c>
      <c r="W28" s="1568">
        <f>J28</f>
        <v>100</v>
      </c>
      <c r="X28" s="1569"/>
      <c r="Y28" s="343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1"/>
      <c r="Q29" s="1571">
        <f t="shared" si="11"/>
        <v>111</v>
      </c>
      <c r="R29" s="1572" t="s">
        <v>8</v>
      </c>
      <c r="S29" s="1573">
        <f t="shared" ref="S29:S47" si="12">F29</f>
        <v>100</v>
      </c>
      <c r="T29" s="1572" t="s">
        <v>8</v>
      </c>
      <c r="U29" s="1573">
        <f t="shared" ref="U29:U47" si="13">H29</f>
        <v>100</v>
      </c>
      <c r="V29" s="1572" t="s">
        <v>8</v>
      </c>
      <c r="W29" s="1573">
        <f t="shared" ref="W29:W47" si="14">J29</f>
        <v>100</v>
      </c>
      <c r="X29" s="1566"/>
      <c r="Y29" s="343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1"/>
      <c r="Q30" s="1571">
        <f t="shared" si="11"/>
        <v>111</v>
      </c>
      <c r="R30" s="1572" t="s">
        <v>8</v>
      </c>
      <c r="S30" s="1573">
        <f t="shared" si="12"/>
        <v>100</v>
      </c>
      <c r="T30" s="1572" t="s">
        <v>8</v>
      </c>
      <c r="U30" s="1573">
        <f t="shared" si="13"/>
        <v>100</v>
      </c>
      <c r="V30" s="1572" t="s">
        <v>8</v>
      </c>
      <c r="W30" s="1573">
        <f t="shared" si="14"/>
        <v>100</v>
      </c>
      <c r="X30" s="1566"/>
      <c r="Y30" s="343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1"/>
      <c r="Q31" s="1571">
        <f t="shared" si="11"/>
        <v>111</v>
      </c>
      <c r="R31" s="1572" t="s">
        <v>8</v>
      </c>
      <c r="S31" s="1573">
        <f t="shared" si="12"/>
        <v>100</v>
      </c>
      <c r="T31" s="1572" t="s">
        <v>8</v>
      </c>
      <c r="U31" s="1573">
        <f t="shared" si="13"/>
        <v>100</v>
      </c>
      <c r="V31" s="1572" t="s">
        <v>8</v>
      </c>
      <c r="W31" s="1573">
        <f t="shared" si="14"/>
        <v>100</v>
      </c>
      <c r="X31" s="1566"/>
      <c r="Y31" s="343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1"/>
      <c r="Q32" s="1571">
        <f t="shared" si="11"/>
        <v>111</v>
      </c>
      <c r="R32" s="1572" t="s">
        <v>8</v>
      </c>
      <c r="S32" s="1573">
        <f t="shared" si="12"/>
        <v>100</v>
      </c>
      <c r="T32" s="1572" t="s">
        <v>8</v>
      </c>
      <c r="U32" s="1573">
        <f t="shared" si="13"/>
        <v>100</v>
      </c>
      <c r="V32" s="1572" t="s">
        <v>8</v>
      </c>
      <c r="W32" s="1573">
        <f t="shared" si="14"/>
        <v>100</v>
      </c>
      <c r="X32" s="1566"/>
      <c r="Y32" s="343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2" t="s">
        <v>549</v>
      </c>
      <c r="Q33" s="1571" t="str">
        <f t="shared" si="11"/>
        <v>建筑类型</v>
      </c>
      <c r="R33" s="1572" t="s">
        <v>8</v>
      </c>
      <c r="S33" s="1573">
        <f t="shared" si="12"/>
        <v>100</v>
      </c>
      <c r="T33" s="1572" t="s">
        <v>8</v>
      </c>
      <c r="U33" s="1573">
        <f t="shared" si="13"/>
        <v>100</v>
      </c>
      <c r="V33" s="1572" t="s">
        <v>8</v>
      </c>
      <c r="W33" s="1573">
        <f t="shared" si="14"/>
        <v>100</v>
      </c>
      <c r="X33" s="1566"/>
      <c r="Y33" s="343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3"/>
      <c r="Q34" s="1604" t="str">
        <f t="shared" si="11"/>
        <v>项目建筑规模</v>
      </c>
      <c r="R34" s="1576" t="s">
        <v>8</v>
      </c>
      <c r="S34" s="1577" t="e">
        <f t="shared" si="12"/>
        <v>#N/A</v>
      </c>
      <c r="T34" s="1576" t="s">
        <v>8</v>
      </c>
      <c r="U34" s="1577" t="e">
        <f t="shared" si="13"/>
        <v>#N/A</v>
      </c>
      <c r="V34" s="1576" t="s">
        <v>8</v>
      </c>
      <c r="W34" s="1577" t="e">
        <f t="shared" si="14"/>
        <v>#N/A</v>
      </c>
      <c r="X34" s="1578"/>
      <c r="Y34" s="343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3"/>
      <c r="Q35" s="1571" t="str">
        <f t="shared" si="11"/>
        <v>建筑结构</v>
      </c>
      <c r="R35" s="1572" t="s">
        <v>8</v>
      </c>
      <c r="S35" s="1573">
        <f t="shared" si="12"/>
        <v>100</v>
      </c>
      <c r="T35" s="1572" t="s">
        <v>8</v>
      </c>
      <c r="U35" s="1573">
        <f t="shared" si="13"/>
        <v>100</v>
      </c>
      <c r="V35" s="1572" t="s">
        <v>8</v>
      </c>
      <c r="W35" s="1573">
        <f t="shared" si="14"/>
        <v>100</v>
      </c>
      <c r="X35" s="1566"/>
      <c r="Y35" s="343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3"/>
      <c r="Q36" s="1571" t="str">
        <f t="shared" si="11"/>
        <v>公共部分装修</v>
      </c>
      <c r="R36" s="1572" t="s">
        <v>8</v>
      </c>
      <c r="S36" s="1573">
        <f t="shared" si="12"/>
        <v>100</v>
      </c>
      <c r="T36" s="1572" t="s">
        <v>8</v>
      </c>
      <c r="U36" s="1573">
        <f t="shared" si="13"/>
        <v>100</v>
      </c>
      <c r="V36" s="1572" t="s">
        <v>8</v>
      </c>
      <c r="W36" s="1573">
        <f t="shared" si="14"/>
        <v>100</v>
      </c>
      <c r="X36" s="1566"/>
      <c r="Y36" s="343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3"/>
      <c r="Q37" s="1571" t="str">
        <f t="shared" si="11"/>
        <v>成新度</v>
      </c>
      <c r="R37" s="1572" t="s">
        <v>8</v>
      </c>
      <c r="S37" s="1573" t="e">
        <f t="shared" si="12"/>
        <v>#N/A</v>
      </c>
      <c r="T37" s="1572" t="s">
        <v>8</v>
      </c>
      <c r="U37" s="1573" t="e">
        <f t="shared" si="13"/>
        <v>#N/A</v>
      </c>
      <c r="V37" s="1572" t="s">
        <v>8</v>
      </c>
      <c r="W37" s="1573" t="e">
        <f t="shared" si="14"/>
        <v>#N/A</v>
      </c>
      <c r="X37" s="1566"/>
      <c r="Y37" s="343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3"/>
      <c r="Q38" s="1151" t="str">
        <f t="shared" si="11"/>
        <v>写字楼等级</v>
      </c>
      <c r="R38" s="1567" t="s">
        <v>8</v>
      </c>
      <c r="S38" s="1568">
        <f t="shared" si="12"/>
        <v>100</v>
      </c>
      <c r="T38" s="1567" t="s">
        <v>8</v>
      </c>
      <c r="U38" s="1568">
        <f t="shared" si="13"/>
        <v>100</v>
      </c>
      <c r="V38" s="1567" t="s">
        <v>8</v>
      </c>
      <c r="W38" s="1568">
        <f t="shared" si="14"/>
        <v>100</v>
      </c>
      <c r="X38" s="1569"/>
      <c r="Y38" s="343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3" t="s">
        <v>549</v>
      </c>
      <c r="Q39" s="1571" t="str">
        <f t="shared" si="11"/>
        <v>物业管理</v>
      </c>
      <c r="R39" s="1572" t="s">
        <v>8</v>
      </c>
      <c r="S39" s="1573">
        <f t="shared" si="12"/>
        <v>100</v>
      </c>
      <c r="T39" s="1572" t="s">
        <v>8</v>
      </c>
      <c r="U39" s="1573">
        <f t="shared" si="13"/>
        <v>100</v>
      </c>
      <c r="V39" s="1572" t="s">
        <v>8</v>
      </c>
      <c r="W39" s="1573">
        <f t="shared" si="14"/>
        <v>100</v>
      </c>
      <c r="X39" s="1566"/>
      <c r="Y39" s="343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3"/>
      <c r="Q40" s="1571" t="str">
        <f t="shared" si="11"/>
        <v>市政基础设施</v>
      </c>
      <c r="R40" s="1572" t="s">
        <v>8</v>
      </c>
      <c r="S40" s="1573">
        <f t="shared" si="12"/>
        <v>100</v>
      </c>
      <c r="T40" s="1572" t="s">
        <v>8</v>
      </c>
      <c r="U40" s="1573">
        <f t="shared" si="13"/>
        <v>100</v>
      </c>
      <c r="V40" s="1572" t="s">
        <v>8</v>
      </c>
      <c r="W40" s="1573">
        <f t="shared" si="14"/>
        <v>100</v>
      </c>
      <c r="X40" s="1566"/>
      <c r="Y40" s="343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3"/>
      <c r="Q41" s="1571" t="str">
        <f t="shared" si="11"/>
        <v>层高</v>
      </c>
      <c r="R41" s="1572" t="s">
        <v>8</v>
      </c>
      <c r="S41" s="1573">
        <f t="shared" si="12"/>
        <v>100</v>
      </c>
      <c r="T41" s="1572" t="s">
        <v>8</v>
      </c>
      <c r="U41" s="1573">
        <f t="shared" si="13"/>
        <v>100</v>
      </c>
      <c r="V41" s="1572" t="s">
        <v>8</v>
      </c>
      <c r="W41" s="1573">
        <f t="shared" si="14"/>
        <v>100</v>
      </c>
      <c r="X41" s="1566"/>
      <c r="Y41" s="343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3"/>
      <c r="Q42" s="1604" t="str">
        <f t="shared" si="11"/>
        <v>单套建筑面积</v>
      </c>
      <c r="R42" s="1576" t="s">
        <v>8</v>
      </c>
      <c r="S42" s="1577">
        <f t="shared" si="12"/>
        <v>100</v>
      </c>
      <c r="T42" s="1576" t="s">
        <v>8</v>
      </c>
      <c r="U42" s="1577">
        <f t="shared" si="13"/>
        <v>100</v>
      </c>
      <c r="V42" s="1576" t="s">
        <v>8</v>
      </c>
      <c r="W42" s="1577">
        <f t="shared" si="14"/>
        <v>100</v>
      </c>
      <c r="X42" s="1578"/>
      <c r="Y42" s="343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3"/>
      <c r="Q43" s="1571" t="str">
        <f t="shared" si="11"/>
        <v>内部装修</v>
      </c>
      <c r="R43" s="1572" t="s">
        <v>8</v>
      </c>
      <c r="S43" s="1573">
        <f t="shared" si="12"/>
        <v>100</v>
      </c>
      <c r="T43" s="1572" t="s">
        <v>8</v>
      </c>
      <c r="U43" s="1573">
        <f t="shared" si="13"/>
        <v>100</v>
      </c>
      <c r="V43" s="1572" t="s">
        <v>8</v>
      </c>
      <c r="W43" s="1573">
        <f t="shared" si="14"/>
        <v>100</v>
      </c>
      <c r="X43" s="1566"/>
      <c r="Y43" s="343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3"/>
      <c r="Q44" s="1571" t="str">
        <f t="shared" si="11"/>
        <v>内部装修维护情况</v>
      </c>
      <c r="R44" s="1572" t="s">
        <v>8</v>
      </c>
      <c r="S44" s="1573">
        <f t="shared" si="12"/>
        <v>100</v>
      </c>
      <c r="T44" s="1572" t="s">
        <v>8</v>
      </c>
      <c r="U44" s="1573">
        <f t="shared" si="13"/>
        <v>100</v>
      </c>
      <c r="V44" s="1572" t="s">
        <v>8</v>
      </c>
      <c r="W44" s="1573">
        <f t="shared" si="14"/>
        <v>100</v>
      </c>
      <c r="X44" s="1566"/>
      <c r="Y44" s="343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3"/>
      <c r="Q45" s="1151">
        <f t="shared" si="11"/>
        <v>111</v>
      </c>
      <c r="R45" s="1567" t="s">
        <v>8</v>
      </c>
      <c r="S45" s="1568">
        <f t="shared" si="12"/>
        <v>100</v>
      </c>
      <c r="T45" s="1567" t="s">
        <v>8</v>
      </c>
      <c r="U45" s="1568">
        <f t="shared" si="13"/>
        <v>100</v>
      </c>
      <c r="V45" s="1567" t="s">
        <v>8</v>
      </c>
      <c r="W45" s="1568">
        <f t="shared" si="14"/>
        <v>100</v>
      </c>
      <c r="X45" s="1569"/>
      <c r="Y45" s="343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3"/>
      <c r="Q46" s="1571">
        <f t="shared" si="11"/>
        <v>111</v>
      </c>
      <c r="R46" s="1572" t="s">
        <v>8</v>
      </c>
      <c r="S46" s="1573">
        <f t="shared" si="12"/>
        <v>100</v>
      </c>
      <c r="T46" s="1572" t="s">
        <v>8</v>
      </c>
      <c r="U46" s="1573">
        <f t="shared" si="13"/>
        <v>100</v>
      </c>
      <c r="V46" s="1572" t="s">
        <v>8</v>
      </c>
      <c r="W46" s="1573">
        <f t="shared" si="14"/>
        <v>100</v>
      </c>
      <c r="X46" s="1566"/>
      <c r="Y46" s="343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4"/>
      <c r="Q47" s="1571">
        <f t="shared" si="11"/>
        <v>111</v>
      </c>
      <c r="R47" s="1572" t="s">
        <v>8</v>
      </c>
      <c r="S47" s="1573">
        <f t="shared" si="12"/>
        <v>100</v>
      </c>
      <c r="T47" s="1572" t="s">
        <v>8</v>
      </c>
      <c r="U47" s="1573">
        <f t="shared" si="13"/>
        <v>100</v>
      </c>
      <c r="V47" s="1572" t="s">
        <v>8</v>
      </c>
      <c r="W47" s="1573">
        <f t="shared" si="14"/>
        <v>100</v>
      </c>
      <c r="X47" s="1566"/>
      <c r="Y47" s="3514"/>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393" t="str">
        <f>A48</f>
        <v>成交单价（元/平方米）</v>
      </c>
      <c r="Q48" s="3395"/>
      <c r="R48" s="3513">
        <f>E48</f>
        <v>0</v>
      </c>
      <c r="S48" s="3513"/>
      <c r="T48" s="3513">
        <f>G48</f>
        <v>0</v>
      </c>
      <c r="U48" s="3513"/>
      <c r="V48" s="3513">
        <f>I48</f>
        <v>0</v>
      </c>
      <c r="W48" s="3513"/>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393" t="str">
        <f>A49</f>
        <v>比较价格（元/平方米）</v>
      </c>
      <c r="Q49" s="3395"/>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15" t="str">
        <f>A50</f>
        <v>估价对象XX用房的比较价格（楼面单价，元/平方米）</v>
      </c>
      <c r="Q50" s="3393"/>
      <c r="R50" s="3512" t="e">
        <f>IF(F1="售价",ROUND(AVERAGE(R49:V49),0),ROUND(AVERAGE(R49:V49),1))</f>
        <v>#DIV/0!</v>
      </c>
      <c r="S50" s="3512"/>
      <c r="T50" s="3512"/>
      <c r="U50" s="3512"/>
      <c r="V50" s="3512"/>
      <c r="W50" s="351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01" t="s">
        <v>521</v>
      </c>
      <c r="D4" s="3402"/>
      <c r="E4" s="3440" t="s">
        <v>522</v>
      </c>
      <c r="F4" s="3441"/>
      <c r="G4" s="3401" t="s">
        <v>523</v>
      </c>
      <c r="H4" s="3402"/>
      <c r="I4" s="3401" t="s">
        <v>524</v>
      </c>
      <c r="J4" s="3402"/>
      <c r="K4" s="514"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9"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7"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0" t="s">
        <v>539</v>
      </c>
      <c r="Q15" s="1571" t="str">
        <f t="shared" si="6"/>
        <v>产业集聚程度</v>
      </c>
      <c r="R15" s="1572" t="s">
        <v>8</v>
      </c>
      <c r="S15" s="1573">
        <f t="shared" si="0"/>
        <v>100</v>
      </c>
      <c r="T15" s="1572" t="s">
        <v>8</v>
      </c>
      <c r="U15" s="1573">
        <f t="shared" si="1"/>
        <v>100</v>
      </c>
      <c r="V15" s="1572" t="s">
        <v>8</v>
      </c>
      <c r="W15" s="1573">
        <f t="shared" si="2"/>
        <v>100</v>
      </c>
      <c r="X15" s="1566"/>
      <c r="Y15" s="343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1"/>
      <c r="Q16" s="1571"/>
      <c r="R16" s="1572"/>
      <c r="S16" s="1573"/>
      <c r="T16" s="1572"/>
      <c r="U16" s="1573"/>
      <c r="V16" s="1572"/>
      <c r="W16" s="1573"/>
      <c r="X16" s="1566"/>
      <c r="Y16" s="343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1"/>
      <c r="Q18" s="1571"/>
      <c r="R18" s="1572"/>
      <c r="S18" s="1573"/>
      <c r="T18" s="1572"/>
      <c r="U18" s="1573"/>
      <c r="V18" s="1572"/>
      <c r="W18" s="1573"/>
      <c r="X18" s="1566"/>
      <c r="Y18" s="3431"/>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31"/>
      <c r="Q22" s="2603"/>
      <c r="R22" s="1572"/>
      <c r="S22" s="1573"/>
      <c r="T22" s="1572"/>
      <c r="U22" s="1573"/>
      <c r="V22" s="1572"/>
      <c r="W22" s="1573"/>
      <c r="X22" s="2605"/>
      <c r="Y22" s="343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1"/>
      <c r="Q23" s="1571" t="str">
        <f>B23</f>
        <v>环境质量</v>
      </c>
      <c r="R23" s="1572" t="s">
        <v>8</v>
      </c>
      <c r="S23" s="1573">
        <f>F23</f>
        <v>100</v>
      </c>
      <c r="T23" s="1572" t="s">
        <v>8</v>
      </c>
      <c r="U23" s="1573">
        <f>H23</f>
        <v>100</v>
      </c>
      <c r="V23" s="1572" t="s">
        <v>8</v>
      </c>
      <c r="W23" s="1573">
        <f>J23</f>
        <v>100</v>
      </c>
      <c r="X23" s="1566"/>
      <c r="Y23" s="343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1"/>
      <c r="Q25" s="1571">
        <f>B25</f>
        <v>111</v>
      </c>
      <c r="R25" s="1572" t="s">
        <v>8</v>
      </c>
      <c r="S25" s="1573">
        <f>F25</f>
        <v>100</v>
      </c>
      <c r="T25" s="1572" t="s">
        <v>8</v>
      </c>
      <c r="U25" s="1573">
        <f>H25</f>
        <v>100</v>
      </c>
      <c r="V25" s="1572" t="s">
        <v>8</v>
      </c>
      <c r="W25" s="1573">
        <f>J25</f>
        <v>100</v>
      </c>
      <c r="X25" s="1566"/>
      <c r="Y25" s="343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1"/>
      <c r="Q26" s="1571">
        <f t="shared" ref="Q26:Q40" si="11">B26</f>
        <v>111</v>
      </c>
      <c r="R26" s="1572" t="s">
        <v>8</v>
      </c>
      <c r="S26" s="1573">
        <f>F26</f>
        <v>100</v>
      </c>
      <c r="T26" s="1572" t="s">
        <v>8</v>
      </c>
      <c r="U26" s="1573">
        <f>H26</f>
        <v>100</v>
      </c>
      <c r="V26" s="1572" t="s">
        <v>8</v>
      </c>
      <c r="W26" s="1573">
        <f>J26</f>
        <v>100</v>
      </c>
      <c r="X26" s="1566"/>
      <c r="Y26" s="343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1"/>
      <c r="Q27" s="1151">
        <f t="shared" si="11"/>
        <v>111</v>
      </c>
      <c r="R27" s="1567" t="s">
        <v>8</v>
      </c>
      <c r="S27" s="1568">
        <f>F27</f>
        <v>100</v>
      </c>
      <c r="T27" s="1567" t="s">
        <v>8</v>
      </c>
      <c r="U27" s="1568">
        <f>H27</f>
        <v>100</v>
      </c>
      <c r="V27" s="1567" t="s">
        <v>8</v>
      </c>
      <c r="W27" s="1568">
        <f>J27</f>
        <v>100</v>
      </c>
      <c r="X27" s="1569"/>
      <c r="Y27" s="343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1"/>
      <c r="Q28" s="1571">
        <f t="shared" si="11"/>
        <v>111</v>
      </c>
      <c r="R28" s="1572" t="s">
        <v>8</v>
      </c>
      <c r="S28" s="1573">
        <f t="shared" ref="S28:S40" si="12">F28</f>
        <v>100</v>
      </c>
      <c r="T28" s="1572" t="s">
        <v>8</v>
      </c>
      <c r="U28" s="1573">
        <f t="shared" ref="U28:U40" si="13">H28</f>
        <v>100</v>
      </c>
      <c r="V28" s="1572" t="s">
        <v>8</v>
      </c>
      <c r="W28" s="1573">
        <f t="shared" ref="W28:W40" si="14">J28</f>
        <v>100</v>
      </c>
      <c r="X28" s="1566"/>
      <c r="Y28" s="343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2" t="s">
        <v>549</v>
      </c>
      <c r="Q29" s="1571" t="str">
        <f t="shared" si="11"/>
        <v>建筑类型</v>
      </c>
      <c r="R29" s="1572" t="s">
        <v>8</v>
      </c>
      <c r="S29" s="1573">
        <f t="shared" si="12"/>
        <v>100</v>
      </c>
      <c r="T29" s="1572" t="s">
        <v>8</v>
      </c>
      <c r="U29" s="1573">
        <f t="shared" si="13"/>
        <v>100</v>
      </c>
      <c r="V29" s="1572" t="s">
        <v>8</v>
      </c>
      <c r="W29" s="1573">
        <f t="shared" si="14"/>
        <v>100</v>
      </c>
      <c r="X29" s="1566"/>
      <c r="Y29" s="343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3"/>
      <c r="Q30" s="1604" t="str">
        <f t="shared" si="11"/>
        <v>项目建筑规模</v>
      </c>
      <c r="R30" s="1576" t="s">
        <v>8</v>
      </c>
      <c r="S30" s="1577" t="e">
        <f t="shared" si="12"/>
        <v>#N/A</v>
      </c>
      <c r="T30" s="1576" t="s">
        <v>8</v>
      </c>
      <c r="U30" s="1577" t="e">
        <f t="shared" si="13"/>
        <v>#N/A</v>
      </c>
      <c r="V30" s="1576" t="s">
        <v>8</v>
      </c>
      <c r="W30" s="1577" t="e">
        <f t="shared" si="14"/>
        <v>#N/A</v>
      </c>
      <c r="X30" s="1578"/>
      <c r="Y30" s="343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3"/>
      <c r="Q31" s="1571" t="str">
        <f t="shared" si="11"/>
        <v>建筑结构</v>
      </c>
      <c r="R31" s="1572" t="s">
        <v>8</v>
      </c>
      <c r="S31" s="1573">
        <f t="shared" si="12"/>
        <v>100</v>
      </c>
      <c r="T31" s="1572" t="s">
        <v>8</v>
      </c>
      <c r="U31" s="1573">
        <f t="shared" si="13"/>
        <v>100</v>
      </c>
      <c r="V31" s="1572" t="s">
        <v>8</v>
      </c>
      <c r="W31" s="1573">
        <f t="shared" si="14"/>
        <v>100</v>
      </c>
      <c r="X31" s="1566"/>
      <c r="Y31" s="343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3"/>
      <c r="Q32" s="1571" t="str">
        <f t="shared" si="11"/>
        <v>公共部分装修</v>
      </c>
      <c r="R32" s="1572" t="s">
        <v>8</v>
      </c>
      <c r="S32" s="1573">
        <f t="shared" si="12"/>
        <v>100</v>
      </c>
      <c r="T32" s="1572" t="s">
        <v>8</v>
      </c>
      <c r="U32" s="1573">
        <f t="shared" si="13"/>
        <v>100</v>
      </c>
      <c r="V32" s="1572" t="s">
        <v>8</v>
      </c>
      <c r="W32" s="1573">
        <f t="shared" si="14"/>
        <v>100</v>
      </c>
      <c r="X32" s="1566"/>
      <c r="Y32" s="343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3"/>
      <c r="Q33" s="1571" t="str">
        <f t="shared" si="11"/>
        <v>成新度</v>
      </c>
      <c r="R33" s="1572" t="s">
        <v>8</v>
      </c>
      <c r="S33" s="1573" t="e">
        <f t="shared" si="12"/>
        <v>#N/A</v>
      </c>
      <c r="T33" s="1572" t="s">
        <v>8</v>
      </c>
      <c r="U33" s="1573" t="e">
        <f t="shared" si="13"/>
        <v>#N/A</v>
      </c>
      <c r="V33" s="1572" t="s">
        <v>8</v>
      </c>
      <c r="W33" s="1573" t="e">
        <f t="shared" si="14"/>
        <v>#N/A</v>
      </c>
      <c r="X33" s="1566"/>
      <c r="Y33" s="343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3"/>
      <c r="Q34" s="1151" t="str">
        <f t="shared" si="11"/>
        <v>物业管理</v>
      </c>
      <c r="R34" s="1567" t="s">
        <v>8</v>
      </c>
      <c r="S34" s="1568">
        <f t="shared" si="12"/>
        <v>100</v>
      </c>
      <c r="T34" s="1567" t="s">
        <v>8</v>
      </c>
      <c r="U34" s="1568">
        <f t="shared" si="13"/>
        <v>100</v>
      </c>
      <c r="V34" s="1567" t="s">
        <v>8</v>
      </c>
      <c r="W34" s="1568">
        <f t="shared" si="14"/>
        <v>100</v>
      </c>
      <c r="X34" s="1569"/>
      <c r="Y34" s="343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3" t="s">
        <v>549</v>
      </c>
      <c r="Q35" s="1571" t="str">
        <f t="shared" si="11"/>
        <v>市政基础设施</v>
      </c>
      <c r="R35" s="1572" t="s">
        <v>8</v>
      </c>
      <c r="S35" s="1573">
        <f t="shared" si="12"/>
        <v>100</v>
      </c>
      <c r="T35" s="1572" t="s">
        <v>8</v>
      </c>
      <c r="U35" s="1573">
        <f t="shared" si="13"/>
        <v>100</v>
      </c>
      <c r="V35" s="1572" t="s">
        <v>8</v>
      </c>
      <c r="W35" s="1573">
        <f t="shared" si="14"/>
        <v>100</v>
      </c>
      <c r="X35" s="1566"/>
      <c r="Y35" s="343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3"/>
      <c r="Q36" s="1571" t="str">
        <f t="shared" si="11"/>
        <v>内部装修</v>
      </c>
      <c r="R36" s="1572" t="s">
        <v>8</v>
      </c>
      <c r="S36" s="1573">
        <f t="shared" si="12"/>
        <v>100</v>
      </c>
      <c r="T36" s="1572" t="s">
        <v>8</v>
      </c>
      <c r="U36" s="1573">
        <f t="shared" si="13"/>
        <v>100</v>
      </c>
      <c r="V36" s="1572" t="s">
        <v>8</v>
      </c>
      <c r="W36" s="1573">
        <f t="shared" si="14"/>
        <v>100</v>
      </c>
      <c r="X36" s="1566"/>
      <c r="Y36" s="343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3"/>
      <c r="Q37" s="1571" t="str">
        <f t="shared" si="11"/>
        <v>内部装修状况</v>
      </c>
      <c r="R37" s="1572" t="s">
        <v>8</v>
      </c>
      <c r="S37" s="1573">
        <f t="shared" si="12"/>
        <v>100</v>
      </c>
      <c r="T37" s="1572" t="s">
        <v>8</v>
      </c>
      <c r="U37" s="1573">
        <f t="shared" si="13"/>
        <v>100</v>
      </c>
      <c r="V37" s="1572" t="s">
        <v>8</v>
      </c>
      <c r="W37" s="1573">
        <f t="shared" si="14"/>
        <v>100</v>
      </c>
      <c r="X37" s="1566"/>
      <c r="Y37" s="343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3"/>
      <c r="Q38" s="1604">
        <f t="shared" si="11"/>
        <v>111</v>
      </c>
      <c r="R38" s="1576" t="s">
        <v>8</v>
      </c>
      <c r="S38" s="1577">
        <f t="shared" si="12"/>
        <v>100</v>
      </c>
      <c r="T38" s="1576" t="s">
        <v>8</v>
      </c>
      <c r="U38" s="1577">
        <f t="shared" si="13"/>
        <v>100</v>
      </c>
      <c r="V38" s="1576" t="s">
        <v>8</v>
      </c>
      <c r="W38" s="1577">
        <f t="shared" si="14"/>
        <v>100</v>
      </c>
      <c r="X38" s="1578"/>
      <c r="Y38" s="343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3"/>
      <c r="Q39" s="1571">
        <f t="shared" si="11"/>
        <v>111</v>
      </c>
      <c r="R39" s="1572" t="s">
        <v>8</v>
      </c>
      <c r="S39" s="1573">
        <f t="shared" si="12"/>
        <v>100</v>
      </c>
      <c r="T39" s="1572" t="s">
        <v>8</v>
      </c>
      <c r="U39" s="1573">
        <f t="shared" si="13"/>
        <v>100</v>
      </c>
      <c r="V39" s="1572" t="s">
        <v>8</v>
      </c>
      <c r="W39" s="1573">
        <f t="shared" si="14"/>
        <v>100</v>
      </c>
      <c r="X39" s="1566"/>
      <c r="Y39" s="343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4"/>
      <c r="Q40" s="1571">
        <f t="shared" si="11"/>
        <v>111</v>
      </c>
      <c r="R40" s="1572" t="s">
        <v>8</v>
      </c>
      <c r="S40" s="1573">
        <f t="shared" si="12"/>
        <v>100</v>
      </c>
      <c r="T40" s="1572" t="s">
        <v>8</v>
      </c>
      <c r="U40" s="1573">
        <f t="shared" si="13"/>
        <v>100</v>
      </c>
      <c r="V40" s="1572" t="s">
        <v>8</v>
      </c>
      <c r="W40" s="1573">
        <f t="shared" si="14"/>
        <v>100</v>
      </c>
      <c r="X40" s="1566"/>
      <c r="Y40" s="3514"/>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395" t="str">
        <f>A41</f>
        <v>成交单价（元/平方米）</v>
      </c>
      <c r="Q41" s="3395"/>
      <c r="R41" s="3513">
        <f>E41</f>
        <v>0</v>
      </c>
      <c r="S41" s="3513"/>
      <c r="T41" s="3513">
        <f>G41</f>
        <v>0</v>
      </c>
      <c r="U41" s="3513"/>
      <c r="V41" s="3513">
        <f>I41</f>
        <v>0</v>
      </c>
      <c r="W41" s="3513"/>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395" t="str">
        <f>A42</f>
        <v>比较价格（元/平方米）</v>
      </c>
      <c r="Q42" s="3395"/>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392" t="str">
        <f>A43</f>
        <v>估价对象XX用房的比较价格（楼面单价，元/平方米）</v>
      </c>
      <c r="Q43" s="3393"/>
      <c r="R43" s="3512" t="e">
        <f>IF(F1="售价",ROUND(AVERAGE(R42:V42),0),ROUND(AVERAGE(R42:V42),1))</f>
        <v>#DIV/0!</v>
      </c>
      <c r="S43" s="3512"/>
      <c r="T43" s="3512"/>
      <c r="U43" s="3512"/>
      <c r="V43" s="3512"/>
      <c r="W43" s="351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C1" zoomScale="70" zoomScaleNormal="70" workbookViewId="0">
      <selection activeCell="I37" sqref="I37:I3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3340</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24292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9832</v>
      </c>
      <c r="C3" s="852" t="s">
        <v>795</v>
      </c>
      <c r="D3" s="851">
        <f>SUMIF('数据-汇总表'!$C19:$C33,D1,'数据-汇总表'!$E19:$E33)</f>
        <v>24706.579999999998</v>
      </c>
      <c r="E3" s="1848" t="s">
        <v>2076</v>
      </c>
      <c r="F3" s="851">
        <f>SUMIF('数据-取费表'!A5:A15,D1,'数据-取费表'!AH5:AH15)</f>
        <v>705</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1" t="s">
        <v>797</v>
      </c>
      <c r="D4" s="3402"/>
      <c r="E4" s="3401" t="s">
        <v>798</v>
      </c>
      <c r="F4" s="3402"/>
      <c r="G4" s="3401" t="s">
        <v>799</v>
      </c>
      <c r="H4" s="3402"/>
      <c r="I4" s="3401" t="s">
        <v>800</v>
      </c>
      <c r="J4" s="3402"/>
      <c r="K4" s="514" t="s">
        <v>801</v>
      </c>
      <c r="L4" s="2133"/>
      <c r="M4" s="2134"/>
      <c r="N4" s="2134"/>
      <c r="O4" s="2134"/>
      <c r="P4" s="3403" t="s">
        <v>802</v>
      </c>
      <c r="Q4" s="3404"/>
      <c r="R4" s="3409" t="s">
        <v>798</v>
      </c>
      <c r="S4" s="3410"/>
      <c r="T4" s="3409" t="s">
        <v>799</v>
      </c>
      <c r="U4" s="3410"/>
      <c r="V4" s="3396" t="s">
        <v>800</v>
      </c>
      <c r="W4" s="3396"/>
      <c r="X4" s="1566"/>
      <c r="Y4" s="3409" t="s">
        <v>802</v>
      </c>
      <c r="Z4" s="3410"/>
      <c r="AA4" s="3398" t="s">
        <v>798</v>
      </c>
      <c r="AB4" s="3399" t="s">
        <v>799</v>
      </c>
      <c r="AC4" s="3398" t="s">
        <v>800</v>
      </c>
    </row>
    <row r="5" spans="1:29" ht="15">
      <c r="A5" s="515"/>
      <c r="B5" s="516"/>
      <c r="C5" s="3521" t="s">
        <v>3341</v>
      </c>
      <c r="D5" s="3435"/>
      <c r="E5" s="3521" t="s">
        <v>3344</v>
      </c>
      <c r="F5" s="3435"/>
      <c r="G5" s="3521" t="s">
        <v>3345</v>
      </c>
      <c r="H5" s="3435"/>
      <c r="I5" s="3521" t="s">
        <v>3346</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522" t="s">
        <v>3342</v>
      </c>
      <c r="D6" s="3437"/>
      <c r="E6" s="3519" t="s">
        <v>3343</v>
      </c>
      <c r="F6" s="3520"/>
      <c r="G6" s="3519" t="s">
        <v>3343</v>
      </c>
      <c r="H6" s="3520"/>
      <c r="I6" s="3519" t="s">
        <v>3343</v>
      </c>
      <c r="J6" s="3520"/>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v>43132</v>
      </c>
      <c r="F7" s="522">
        <f>SUMIF(48:48,YEAR(E7)&amp;"-"&amp;MONTH(E7),49:49)</f>
        <v>99</v>
      </c>
      <c r="G7" s="523">
        <v>43191</v>
      </c>
      <c r="H7" s="520">
        <f>SUMIF(48:48,YEAR(G7)&amp;"-"&amp;MONTH(G7),49:49)</f>
        <v>100</v>
      </c>
      <c r="I7" s="523">
        <v>43191</v>
      </c>
      <c r="J7" s="520">
        <f>SUMIF(48:48,YEAR(I7)&amp;"-"&amp;MONTH(I7),49:49)</f>
        <v>100</v>
      </c>
      <c r="K7" s="524"/>
      <c r="L7" s="2135"/>
      <c r="M7" s="2136"/>
      <c r="N7" s="2136"/>
      <c r="O7" s="2136"/>
      <c r="P7" s="3427" t="s">
        <v>529</v>
      </c>
      <c r="Q7" s="3429"/>
      <c r="R7" s="1567" t="s">
        <v>8</v>
      </c>
      <c r="S7" s="1568">
        <f t="shared" ref="S7:S14" si="0">F7</f>
        <v>99</v>
      </c>
      <c r="T7" s="1567" t="s">
        <v>8</v>
      </c>
      <c r="U7" s="1568">
        <f t="shared" ref="U7:U14" si="1">H7</f>
        <v>100</v>
      </c>
      <c r="V7" s="1567" t="s">
        <v>8</v>
      </c>
      <c r="W7" s="1568">
        <f t="shared" ref="W7:W14" si="2">J7</f>
        <v>100</v>
      </c>
      <c r="X7" s="1569"/>
      <c r="Y7" s="3427" t="s">
        <v>529</v>
      </c>
      <c r="Z7" s="3428"/>
      <c r="AA7" s="1570">
        <f>D7/F7</f>
        <v>1.0101010101010102</v>
      </c>
      <c r="AB7" s="1570">
        <f>D7/H7</f>
        <v>1</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27" t="s">
        <v>532</v>
      </c>
      <c r="Q8" s="3428"/>
      <c r="R8" s="1567" t="s">
        <v>8</v>
      </c>
      <c r="S8" s="1568">
        <f t="shared" si="0"/>
        <v>100</v>
      </c>
      <c r="T8" s="1567" t="s">
        <v>8</v>
      </c>
      <c r="U8" s="1568">
        <f t="shared" si="1"/>
        <v>100</v>
      </c>
      <c r="V8" s="1567" t="s">
        <v>8</v>
      </c>
      <c r="W8" s="1568">
        <f t="shared" si="2"/>
        <v>100</v>
      </c>
      <c r="X8" s="1569"/>
      <c r="Y8" s="3427" t="s">
        <v>532</v>
      </c>
      <c r="Z8" s="3428"/>
      <c r="AA8" s="1570">
        <f t="shared" ref="AA8:AA36" si="3">D8/F8</f>
        <v>1</v>
      </c>
      <c r="AB8" s="1570">
        <f t="shared" ref="AB8:AB36" si="4">D8/H8</f>
        <v>1</v>
      </c>
      <c r="AC8" s="1570">
        <f t="shared" ref="AC8:AC36" si="5">D8/J8</f>
        <v>1</v>
      </c>
    </row>
    <row r="9" spans="1:29" s="1220" customFormat="1" ht="15">
      <c r="A9" s="2938"/>
      <c r="B9" s="2945" t="s">
        <v>2756</v>
      </c>
      <c r="C9" s="3225" t="s">
        <v>3362</v>
      </c>
      <c r="D9" s="254">
        <v>100</v>
      </c>
      <c r="E9" s="860" t="s">
        <v>3007</v>
      </c>
      <c r="F9" s="254">
        <f>SUMIF(53:53,E9,54:54)-SUMIF(53:53,C9,54:54)+100</f>
        <v>100</v>
      </c>
      <c r="G9" s="860" t="s">
        <v>3007</v>
      </c>
      <c r="H9" s="254">
        <f>SUMIF(53:53,G9,54:54)-SUMIF(53:53,C9,54:54)+100</f>
        <v>100</v>
      </c>
      <c r="I9" s="860" t="s">
        <v>3007</v>
      </c>
      <c r="J9" s="254">
        <f>SUMIF(53:53,I9,54:54)-SUMIF(53:53,C9,54:54)+100</f>
        <v>100</v>
      </c>
      <c r="K9" s="524"/>
      <c r="L9" s="2135"/>
      <c r="M9" s="2136"/>
      <c r="N9" s="2136"/>
      <c r="O9" s="2137"/>
      <c r="P9" s="3395" t="s">
        <v>534</v>
      </c>
      <c r="Q9" s="1151" t="str">
        <f t="shared" ref="Q9:Q14" si="6">B9</f>
        <v>用途</v>
      </c>
      <c r="R9" s="1567" t="s">
        <v>8</v>
      </c>
      <c r="S9" s="1568">
        <f t="shared" si="0"/>
        <v>100</v>
      </c>
      <c r="T9" s="1567" t="s">
        <v>8</v>
      </c>
      <c r="U9" s="1568">
        <f t="shared" si="1"/>
        <v>100</v>
      </c>
      <c r="V9" s="1567" t="s">
        <v>8</v>
      </c>
      <c r="W9" s="1568">
        <f t="shared" si="2"/>
        <v>100</v>
      </c>
      <c r="X9" s="1569"/>
      <c r="Y9" s="3341" t="s">
        <v>535</v>
      </c>
      <c r="Z9" s="1150" t="str">
        <f t="shared" ref="Z9:Z14" si="7">Q9</f>
        <v>用途</v>
      </c>
      <c r="AA9" s="1570">
        <f t="shared" si="3"/>
        <v>1</v>
      </c>
      <c r="AB9" s="1570">
        <f t="shared" si="4"/>
        <v>1</v>
      </c>
      <c r="AC9" s="1570">
        <f t="shared" si="5"/>
        <v>1</v>
      </c>
    </row>
    <row r="10" spans="1:29" s="1338" customFormat="1" ht="27">
      <c r="A10" s="2939"/>
      <c r="B10" s="2944" t="s">
        <v>2757</v>
      </c>
      <c r="C10" s="861" t="s">
        <v>3363</v>
      </c>
      <c r="D10" s="255">
        <v>100</v>
      </c>
      <c r="E10" s="861" t="s">
        <v>3363</v>
      </c>
      <c r="F10" s="255">
        <f>SUMIF(55:55,E10,56:56)-SUMIF(55:55,C10,56:56)+100</f>
        <v>100</v>
      </c>
      <c r="G10" s="861" t="s">
        <v>3363</v>
      </c>
      <c r="H10" s="255">
        <f>SUMIF(55:55,G10,56:56)-SUMIF(55:55,C10,56:56)+100</f>
        <v>100</v>
      </c>
      <c r="I10" s="861" t="s">
        <v>3363</v>
      </c>
      <c r="J10" s="255">
        <f>SUMIF(55:55,I10,56:56)-SUMIF(55:55,C10,56:56)+100</f>
        <v>100</v>
      </c>
      <c r="K10" s="584">
        <v>1</v>
      </c>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5"/>
      <c r="Q11" s="1151">
        <f t="shared" si="6"/>
        <v>111</v>
      </c>
      <c r="R11" s="1567" t="s">
        <v>8</v>
      </c>
      <c r="S11" s="1568">
        <f t="shared" si="0"/>
        <v>100</v>
      </c>
      <c r="T11" s="1567" t="s">
        <v>8</v>
      </c>
      <c r="U11" s="1568">
        <f t="shared" si="1"/>
        <v>100</v>
      </c>
      <c r="V11" s="1567" t="s">
        <v>8</v>
      </c>
      <c r="W11" s="1568">
        <f t="shared" si="2"/>
        <v>100</v>
      </c>
      <c r="X11" s="1569"/>
      <c r="Y11" s="3341"/>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98</v>
      </c>
      <c r="K14" s="898">
        <v>2</v>
      </c>
      <c r="L14" s="2142"/>
      <c r="M14" s="2134"/>
      <c r="N14" s="2134"/>
      <c r="O14" s="2141"/>
      <c r="P14" s="3430" t="s">
        <v>539</v>
      </c>
      <c r="Q14" s="1571" t="str">
        <f t="shared" si="6"/>
        <v>交通便捷度</v>
      </c>
      <c r="R14" s="1572" t="s">
        <v>8</v>
      </c>
      <c r="S14" s="1573">
        <f t="shared" si="0"/>
        <v>102</v>
      </c>
      <c r="T14" s="1572" t="s">
        <v>8</v>
      </c>
      <c r="U14" s="1573">
        <f t="shared" si="1"/>
        <v>102</v>
      </c>
      <c r="V14" s="1572" t="s">
        <v>8</v>
      </c>
      <c r="W14" s="1573">
        <f t="shared" si="2"/>
        <v>98</v>
      </c>
      <c r="X14" s="1566"/>
      <c r="Y14" s="3430" t="s">
        <v>539</v>
      </c>
      <c r="Z14" s="1574" t="str">
        <f t="shared" si="7"/>
        <v>交通便捷度</v>
      </c>
      <c r="AA14" s="1575">
        <f t="shared" si="3"/>
        <v>0.98039215686274506</v>
      </c>
      <c r="AB14" s="1575">
        <f t="shared" si="4"/>
        <v>0.98039215686274506</v>
      </c>
      <c r="AC14" s="1575">
        <f t="shared" si="5"/>
        <v>1.0204081632653061</v>
      </c>
    </row>
    <row r="15" spans="1:29" ht="15">
      <c r="A15" s="515"/>
      <c r="B15" s="924"/>
      <c r="C15" s="576" t="s">
        <v>3177</v>
      </c>
      <c r="D15" s="555"/>
      <c r="E15" s="576" t="s">
        <v>3365</v>
      </c>
      <c r="F15" s="557"/>
      <c r="G15" s="576" t="s">
        <v>3365</v>
      </c>
      <c r="H15" s="559"/>
      <c r="I15" s="3226" t="s">
        <v>3364</v>
      </c>
      <c r="J15" s="555"/>
      <c r="K15" s="899"/>
      <c r="L15" s="2142"/>
      <c r="M15" s="2134"/>
      <c r="N15" s="2134"/>
      <c r="O15" s="2141"/>
      <c r="P15" s="3431"/>
      <c r="Q15" s="1571"/>
      <c r="R15" s="1572"/>
      <c r="S15" s="1573"/>
      <c r="T15" s="1572"/>
      <c r="U15" s="1573"/>
      <c r="V15" s="1572"/>
      <c r="W15" s="1573"/>
      <c r="X15" s="1566"/>
      <c r="Y15" s="3431"/>
      <c r="Z15" s="1574"/>
      <c r="AA15" s="1575">
        <v>1</v>
      </c>
      <c r="AB15" s="1575">
        <v>1</v>
      </c>
      <c r="AC15" s="1575">
        <v>1</v>
      </c>
    </row>
    <row r="16" spans="1:29" ht="171">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98</v>
      </c>
      <c r="K16" s="898">
        <v>2</v>
      </c>
      <c r="L16" s="2142"/>
      <c r="M16" s="2134"/>
      <c r="N16" s="2134"/>
      <c r="O16" s="2141"/>
      <c r="P16" s="3431"/>
      <c r="Q16" s="1571" t="str">
        <f>B16</f>
        <v>公共配套设施</v>
      </c>
      <c r="R16" s="1572" t="s">
        <v>8</v>
      </c>
      <c r="S16" s="1573">
        <f>F16</f>
        <v>100</v>
      </c>
      <c r="T16" s="1572" t="s">
        <v>8</v>
      </c>
      <c r="U16" s="1573">
        <f>H16</f>
        <v>100</v>
      </c>
      <c r="V16" s="1572" t="s">
        <v>8</v>
      </c>
      <c r="W16" s="1573">
        <f>J16</f>
        <v>98</v>
      </c>
      <c r="X16" s="1566"/>
      <c r="Y16" s="3431"/>
      <c r="Z16" s="1574" t="str">
        <f>Q16</f>
        <v>公共配套设施</v>
      </c>
      <c r="AA16" s="1575">
        <f t="shared" si="3"/>
        <v>1</v>
      </c>
      <c r="AB16" s="1575">
        <f t="shared" si="4"/>
        <v>1</v>
      </c>
      <c r="AC16" s="1575">
        <f t="shared" si="5"/>
        <v>1.0204081632653061</v>
      </c>
    </row>
    <row r="17" spans="1:29" ht="15">
      <c r="A17" s="515"/>
      <c r="B17" s="566"/>
      <c r="C17" s="873" t="s">
        <v>3177</v>
      </c>
      <c r="D17" s="555"/>
      <c r="E17" s="873" t="s">
        <v>3177</v>
      </c>
      <c r="F17" s="557"/>
      <c r="G17" s="873" t="s">
        <v>3177</v>
      </c>
      <c r="H17" s="555"/>
      <c r="I17" s="873" t="s">
        <v>3174</v>
      </c>
      <c r="J17" s="555"/>
      <c r="K17" s="899"/>
      <c r="L17" s="2142"/>
      <c r="M17" s="2134"/>
      <c r="N17" s="2134"/>
      <c r="O17" s="2141"/>
      <c r="P17" s="3431"/>
      <c r="Q17" s="1571"/>
      <c r="R17" s="1572"/>
      <c r="S17" s="1573"/>
      <c r="T17" s="1572"/>
      <c r="U17" s="1573"/>
      <c r="V17" s="1572"/>
      <c r="W17" s="1573"/>
      <c r="X17" s="1566"/>
      <c r="Y17" s="3431"/>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31"/>
      <c r="Q18" s="2603" t="str">
        <f>B18</f>
        <v>基础设施水平</v>
      </c>
      <c r="R18" s="1572" t="s">
        <v>8</v>
      </c>
      <c r="S18" s="1573">
        <f>F18</f>
        <v>100</v>
      </c>
      <c r="T18" s="1572" t="s">
        <v>8</v>
      </c>
      <c r="U18" s="1573">
        <f>H18</f>
        <v>100</v>
      </c>
      <c r="V18" s="1572" t="s">
        <v>8</v>
      </c>
      <c r="W18" s="1573">
        <f>J18</f>
        <v>100</v>
      </c>
      <c r="X18" s="2605"/>
      <c r="Y18" s="3431"/>
      <c r="Z18" s="2604" t="str">
        <f>Q18</f>
        <v>基础设施水平</v>
      </c>
      <c r="AA18" s="1575">
        <f t="shared" ref="AA18" si="8">D18/F18</f>
        <v>1</v>
      </c>
      <c r="AB18" s="1575">
        <f t="shared" ref="AB18" si="9">D18/H18</f>
        <v>1</v>
      </c>
      <c r="AC18" s="1575">
        <f t="shared" ref="AC18" si="10">D18/J18</f>
        <v>1</v>
      </c>
    </row>
    <row r="19" spans="1:29" ht="15">
      <c r="A19" s="515"/>
      <c r="B19" s="578"/>
      <c r="C19" s="873" t="s">
        <v>3186</v>
      </c>
      <c r="D19" s="559"/>
      <c r="E19" s="873" t="s">
        <v>3186</v>
      </c>
      <c r="F19" s="557"/>
      <c r="G19" s="873" t="s">
        <v>3186</v>
      </c>
      <c r="H19" s="555"/>
      <c r="I19" s="873" t="s">
        <v>3186</v>
      </c>
      <c r="J19" s="555"/>
      <c r="K19" s="2626"/>
      <c r="L19" s="2142"/>
      <c r="M19" s="2134"/>
      <c r="N19" s="2134"/>
      <c r="O19" s="2141"/>
      <c r="P19" s="3431"/>
      <c r="Q19" s="2603"/>
      <c r="R19" s="1572"/>
      <c r="S19" s="1573"/>
      <c r="T19" s="1572"/>
      <c r="U19" s="1573"/>
      <c r="V19" s="1572"/>
      <c r="W19" s="1573"/>
      <c r="X19" s="2605"/>
      <c r="Y19" s="3431"/>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98</v>
      </c>
      <c r="K20" s="898">
        <v>2</v>
      </c>
      <c r="L20" s="2142"/>
      <c r="M20" s="2134"/>
      <c r="N20" s="2134"/>
      <c r="O20" s="2141"/>
      <c r="P20" s="3431"/>
      <c r="Q20" s="1571" t="str">
        <f>B20</f>
        <v>自然及人文环境</v>
      </c>
      <c r="R20" s="1572" t="s">
        <v>8</v>
      </c>
      <c r="S20" s="1573">
        <f>F20</f>
        <v>102</v>
      </c>
      <c r="T20" s="1572" t="s">
        <v>8</v>
      </c>
      <c r="U20" s="1573">
        <f>H20</f>
        <v>102</v>
      </c>
      <c r="V20" s="1572" t="s">
        <v>8</v>
      </c>
      <c r="W20" s="1573">
        <f>J20</f>
        <v>98</v>
      </c>
      <c r="X20" s="1566"/>
      <c r="Y20" s="3431"/>
      <c r="Z20" s="1574" t="str">
        <f>Q20</f>
        <v>自然及人文环境</v>
      </c>
      <c r="AA20" s="1575">
        <f t="shared" si="3"/>
        <v>0.98039215686274506</v>
      </c>
      <c r="AB20" s="1575">
        <f t="shared" si="4"/>
        <v>0.98039215686274506</v>
      </c>
      <c r="AC20" s="1575">
        <f t="shared" si="5"/>
        <v>1.0204081632653061</v>
      </c>
    </row>
    <row r="21" spans="1:29" ht="15">
      <c r="A21" s="515"/>
      <c r="B21" s="566"/>
      <c r="C21" s="576" t="s">
        <v>3177</v>
      </c>
      <c r="D21" s="555"/>
      <c r="E21" s="576" t="s">
        <v>3365</v>
      </c>
      <c r="F21" s="557"/>
      <c r="G21" s="576" t="s">
        <v>3365</v>
      </c>
      <c r="H21" s="555"/>
      <c r="I21" s="576" t="s">
        <v>3174</v>
      </c>
      <c r="J21" s="555"/>
      <c r="K21" s="899"/>
      <c r="L21" s="2142"/>
      <c r="M21" s="2134"/>
      <c r="N21" s="2134"/>
      <c r="O21" s="2141"/>
      <c r="P21" s="3431"/>
      <c r="Q21" s="1571"/>
      <c r="R21" s="1572"/>
      <c r="S21" s="1573"/>
      <c r="T21" s="1572"/>
      <c r="U21" s="1573"/>
      <c r="V21" s="1572"/>
      <c r="W21" s="1573"/>
      <c r="X21" s="1566"/>
      <c r="Y21" s="3431"/>
      <c r="Z21" s="1574"/>
      <c r="AA21" s="1575">
        <v>1</v>
      </c>
      <c r="AB21" s="1575">
        <v>1</v>
      </c>
      <c r="AC21" s="1575">
        <v>1</v>
      </c>
    </row>
    <row r="22" spans="1:29" ht="15">
      <c r="A22" s="515"/>
      <c r="B22" s="560" t="s">
        <v>804</v>
      </c>
      <c r="C22" s="583" t="s">
        <v>3004</v>
      </c>
      <c r="D22" s="559">
        <v>100</v>
      </c>
      <c r="E22" s="583" t="s">
        <v>3004</v>
      </c>
      <c r="F22" s="575">
        <f>SUMIF(71:71,E22,72:72)-SUMIF(71:71,C22,72:72)+100</f>
        <v>100</v>
      </c>
      <c r="G22" s="583" t="s">
        <v>3004</v>
      </c>
      <c r="H22" s="540">
        <f>SUMIF(71:71,G22,72:72)-SUMIF(71:71,C22,72:72)+100</f>
        <v>100</v>
      </c>
      <c r="I22" s="583" t="s">
        <v>3004</v>
      </c>
      <c r="J22" s="540">
        <f>SUMIF(71:71,I22,72:72)-SUMIF(71:71,C22,72:72)+100</f>
        <v>100</v>
      </c>
      <c r="K22" s="584">
        <v>2</v>
      </c>
      <c r="L22" s="2142"/>
      <c r="M22" s="2134"/>
      <c r="N22" s="2134"/>
      <c r="O22" s="2141"/>
      <c r="P22" s="3431"/>
      <c r="Q22" s="1571" t="str">
        <f>B22</f>
        <v>楼层</v>
      </c>
      <c r="R22" s="1572" t="s">
        <v>8</v>
      </c>
      <c r="S22" s="1573">
        <f>F22</f>
        <v>100</v>
      </c>
      <c r="T22" s="1572" t="s">
        <v>8</v>
      </c>
      <c r="U22" s="1573">
        <f>H22</f>
        <v>100</v>
      </c>
      <c r="V22" s="1572" t="s">
        <v>8</v>
      </c>
      <c r="W22" s="1573">
        <f>J22</f>
        <v>100</v>
      </c>
      <c r="X22" s="1566"/>
      <c r="Y22" s="343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1"/>
      <c r="Q23" s="1571">
        <f>B23</f>
        <v>111</v>
      </c>
      <c r="R23" s="1572" t="s">
        <v>8</v>
      </c>
      <c r="S23" s="1573">
        <f>F23</f>
        <v>100</v>
      </c>
      <c r="T23" s="1572" t="s">
        <v>8</v>
      </c>
      <c r="U23" s="1573">
        <f>H23</f>
        <v>100</v>
      </c>
      <c r="V23" s="1572" t="s">
        <v>8</v>
      </c>
      <c r="W23" s="1573">
        <f>J23</f>
        <v>100</v>
      </c>
      <c r="X23" s="1566"/>
      <c r="Y23" s="343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1"/>
      <c r="Q24" s="1571">
        <f t="shared" ref="Q24:Q36" si="11">B24</f>
        <v>111</v>
      </c>
      <c r="R24" s="1572" t="s">
        <v>8</v>
      </c>
      <c r="S24" s="1573">
        <f>F24</f>
        <v>100</v>
      </c>
      <c r="T24" s="1572" t="s">
        <v>8</v>
      </c>
      <c r="U24" s="1573">
        <f>H24</f>
        <v>100</v>
      </c>
      <c r="V24" s="1572" t="s">
        <v>8</v>
      </c>
      <c r="W24" s="1573">
        <f>J24</f>
        <v>100</v>
      </c>
      <c r="X24" s="1566"/>
      <c r="Y24" s="343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1"/>
      <c r="Q25" s="1151">
        <f t="shared" si="11"/>
        <v>111</v>
      </c>
      <c r="R25" s="1567" t="s">
        <v>8</v>
      </c>
      <c r="S25" s="1568">
        <f>F25</f>
        <v>100</v>
      </c>
      <c r="T25" s="1567" t="s">
        <v>8</v>
      </c>
      <c r="U25" s="1568">
        <f>H25</f>
        <v>100</v>
      </c>
      <c r="V25" s="1567" t="s">
        <v>8</v>
      </c>
      <c r="W25" s="1568">
        <f>J25</f>
        <v>100</v>
      </c>
      <c r="X25" s="1569"/>
      <c r="Y25" s="343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3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3"/>
      <c r="Q27" s="1604" t="str">
        <f t="shared" si="11"/>
        <v>项目停车位配比</v>
      </c>
      <c r="R27" s="1576" t="s">
        <v>8</v>
      </c>
      <c r="S27" s="1577">
        <f t="shared" si="12"/>
        <v>100</v>
      </c>
      <c r="T27" s="1576" t="s">
        <v>8</v>
      </c>
      <c r="U27" s="1577">
        <f t="shared" si="13"/>
        <v>100</v>
      </c>
      <c r="V27" s="1576" t="s">
        <v>8</v>
      </c>
      <c r="W27" s="1577">
        <f t="shared" si="14"/>
        <v>100</v>
      </c>
      <c r="X27" s="1578"/>
      <c r="Y27" s="3433"/>
      <c r="Z27" s="1579" t="str">
        <f t="shared" si="15"/>
        <v>项目停车位配比</v>
      </c>
      <c r="AA27" s="1575">
        <f t="shared" si="3"/>
        <v>1</v>
      </c>
      <c r="AB27" s="1575">
        <f t="shared" si="4"/>
        <v>1</v>
      </c>
      <c r="AC27" s="1575">
        <f t="shared" si="5"/>
        <v>1</v>
      </c>
    </row>
    <row r="28" spans="1:29" ht="15">
      <c r="A28" s="931"/>
      <c r="B28" s="582" t="s">
        <v>807</v>
      </c>
      <c r="C28" s="574" t="s">
        <v>3366</v>
      </c>
      <c r="D28" s="540">
        <v>100</v>
      </c>
      <c r="E28" s="574" t="s">
        <v>3366</v>
      </c>
      <c r="F28" s="575">
        <f>SUMIF(83:83,E28,84:84)-SUMIF(83:83,C28,84:84)+100</f>
        <v>100</v>
      </c>
      <c r="G28" s="574" t="s">
        <v>3366</v>
      </c>
      <c r="H28" s="540">
        <f>SUMIF(83:83,G28,84:84)-SUMIF(83:83,C28,84:84)+100</f>
        <v>100</v>
      </c>
      <c r="I28" s="574" t="s">
        <v>3366</v>
      </c>
      <c r="J28" s="540">
        <f>SUMIF(83:83,I28,84:84)-SUMIF(83:83,C28,84:84)+100</f>
        <v>100</v>
      </c>
      <c r="K28" s="584">
        <v>2</v>
      </c>
      <c r="L28" s="2142"/>
      <c r="M28" s="2134"/>
      <c r="N28" s="2134"/>
      <c r="O28" s="2141"/>
      <c r="P28" s="3433"/>
      <c r="Q28" s="1571" t="str">
        <f t="shared" si="11"/>
        <v>公共部分装修</v>
      </c>
      <c r="R28" s="1572" t="s">
        <v>8</v>
      </c>
      <c r="S28" s="1573">
        <f t="shared" si="12"/>
        <v>100</v>
      </c>
      <c r="T28" s="1572" t="s">
        <v>8</v>
      </c>
      <c r="U28" s="1573">
        <f t="shared" si="13"/>
        <v>100</v>
      </c>
      <c r="V28" s="1572" t="s">
        <v>8</v>
      </c>
      <c r="W28" s="1573">
        <f t="shared" si="14"/>
        <v>100</v>
      </c>
      <c r="X28" s="1566"/>
      <c r="Y28" s="343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33"/>
      <c r="Q29" s="1571" t="str">
        <f t="shared" si="11"/>
        <v>成新率</v>
      </c>
      <c r="R29" s="1572" t="s">
        <v>8</v>
      </c>
      <c r="S29" s="1573">
        <f t="shared" si="12"/>
        <v>100</v>
      </c>
      <c r="T29" s="1572" t="s">
        <v>8</v>
      </c>
      <c r="U29" s="1573">
        <f t="shared" si="13"/>
        <v>100</v>
      </c>
      <c r="V29" s="1572" t="s">
        <v>8</v>
      </c>
      <c r="W29" s="1573">
        <f t="shared" si="14"/>
        <v>100</v>
      </c>
      <c r="X29" s="1566"/>
      <c r="Y29" s="3433"/>
      <c r="Z29" s="1574" t="str">
        <f t="shared" si="15"/>
        <v>成新率</v>
      </c>
      <c r="AA29" s="1575">
        <f t="shared" si="3"/>
        <v>1</v>
      </c>
      <c r="AB29" s="1575">
        <f t="shared" si="4"/>
        <v>1</v>
      </c>
      <c r="AC29" s="1575">
        <f t="shared" si="5"/>
        <v>1</v>
      </c>
    </row>
    <row r="30" spans="1:29" ht="15">
      <c r="A30" s="931"/>
      <c r="B30" s="582" t="s">
        <v>809</v>
      </c>
      <c r="C30" s="932" t="s">
        <v>3177</v>
      </c>
      <c r="D30" s="540">
        <v>100</v>
      </c>
      <c r="E30" s="932" t="s">
        <v>3177</v>
      </c>
      <c r="F30" s="575">
        <f>SUMIF(88:88,E30,89:89)-SUMIF(88:88,C30,89:89)+100</f>
        <v>100</v>
      </c>
      <c r="G30" s="932" t="s">
        <v>3177</v>
      </c>
      <c r="H30" s="540">
        <f>SUMIF(88:88,E30,89:89)-SUMIF(88:88,C30,89:89)+100</f>
        <v>100</v>
      </c>
      <c r="I30" s="932" t="s">
        <v>3177</v>
      </c>
      <c r="J30" s="540">
        <f>SUMIF(88:88,E30,89:89)-SUMIF(88:88,C30,89:89)+100</f>
        <v>100</v>
      </c>
      <c r="K30" s="584">
        <v>1</v>
      </c>
      <c r="L30" s="2142"/>
      <c r="M30" s="2134"/>
      <c r="N30" s="2134"/>
      <c r="O30" s="2141"/>
      <c r="P30" s="3433"/>
      <c r="Q30" s="1571" t="str">
        <f t="shared" si="11"/>
        <v>物业等级</v>
      </c>
      <c r="R30" s="1572" t="s">
        <v>8</v>
      </c>
      <c r="S30" s="1573">
        <f t="shared" si="12"/>
        <v>100</v>
      </c>
      <c r="T30" s="1572" t="s">
        <v>8</v>
      </c>
      <c r="U30" s="1573">
        <f t="shared" si="13"/>
        <v>100</v>
      </c>
      <c r="V30" s="1572" t="s">
        <v>8</v>
      </c>
      <c r="W30" s="1573">
        <f t="shared" si="14"/>
        <v>100</v>
      </c>
      <c r="X30" s="1566"/>
      <c r="Y30" s="343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39.299999999999997</v>
      </c>
      <c r="F31" s="575">
        <f>LOOKUP(E31,91:91,92:92)-LOOKUP(C31,91:91,92:92)+100</f>
        <v>100</v>
      </c>
      <c r="G31" s="880">
        <v>29</v>
      </c>
      <c r="H31" s="540">
        <f>LOOKUP(G31,91:91,92:92)-LOOKUP(C31,91:91,92:92)+100</f>
        <v>98</v>
      </c>
      <c r="I31" s="880">
        <v>39</v>
      </c>
      <c r="J31" s="540">
        <f>LOOKUP(I31,91:91,92:92)-LOOKUP(C31,91:91,92:92)+100</f>
        <v>100</v>
      </c>
      <c r="K31" s="584">
        <v>1</v>
      </c>
      <c r="L31" s="2135"/>
      <c r="M31" s="2136"/>
      <c r="N31" s="2136"/>
      <c r="O31" s="2137"/>
      <c r="P31" s="3433"/>
      <c r="Q31" s="1151" t="str">
        <f t="shared" si="11"/>
        <v>停车位面积</v>
      </c>
      <c r="R31" s="1567" t="s">
        <v>8</v>
      </c>
      <c r="S31" s="1568">
        <f t="shared" si="12"/>
        <v>100</v>
      </c>
      <c r="T31" s="1567" t="s">
        <v>8</v>
      </c>
      <c r="U31" s="1568">
        <f t="shared" si="13"/>
        <v>98</v>
      </c>
      <c r="V31" s="1567" t="s">
        <v>8</v>
      </c>
      <c r="W31" s="1568">
        <f t="shared" si="14"/>
        <v>100</v>
      </c>
      <c r="X31" s="1569"/>
      <c r="Y31" s="3433"/>
      <c r="Z31" s="1150" t="str">
        <f t="shared" si="15"/>
        <v>停车位面积</v>
      </c>
      <c r="AA31" s="1570">
        <f t="shared" si="3"/>
        <v>1</v>
      </c>
      <c r="AB31" s="1570">
        <f t="shared" si="4"/>
        <v>1.0204081632653061</v>
      </c>
      <c r="AC31" s="1570">
        <f t="shared" si="5"/>
        <v>1</v>
      </c>
    </row>
    <row r="32" spans="1:29" ht="15">
      <c r="A32" s="931"/>
      <c r="B32" s="582" t="s">
        <v>811</v>
      </c>
      <c r="C32" s="574" t="s">
        <v>3367</v>
      </c>
      <c r="D32" s="540">
        <v>100</v>
      </c>
      <c r="E32" s="574" t="s">
        <v>3367</v>
      </c>
      <c r="F32" s="575">
        <f>SUMIF(93:93,E32,94:94)-SUMIF(93:93,C32,94:94)+100</f>
        <v>100</v>
      </c>
      <c r="G32" s="574" t="s">
        <v>3367</v>
      </c>
      <c r="H32" s="540">
        <f>SUMIF(93:93,G32,94:94)-SUMIF(93:93,C32,94:94)+100</f>
        <v>100</v>
      </c>
      <c r="I32" s="574" t="s">
        <v>3367</v>
      </c>
      <c r="J32" s="540">
        <f>SUMIF(93:93,I32,94:94)-SUMIF(93:93,C32,94:94)+100</f>
        <v>100</v>
      </c>
      <c r="K32" s="584">
        <v>2</v>
      </c>
      <c r="L32" s="2142"/>
      <c r="M32" s="2134"/>
      <c r="N32" s="2134"/>
      <c r="O32" s="2141"/>
      <c r="P32" s="3433" t="s">
        <v>549</v>
      </c>
      <c r="Q32" s="1571" t="str">
        <f t="shared" si="11"/>
        <v>车位类型</v>
      </c>
      <c r="R32" s="1572" t="s">
        <v>8</v>
      </c>
      <c r="S32" s="1573">
        <f t="shared" si="12"/>
        <v>100</v>
      </c>
      <c r="T32" s="1572" t="s">
        <v>8</v>
      </c>
      <c r="U32" s="1573">
        <f t="shared" si="13"/>
        <v>100</v>
      </c>
      <c r="V32" s="1572" t="s">
        <v>8</v>
      </c>
      <c r="W32" s="1573">
        <f t="shared" si="14"/>
        <v>100</v>
      </c>
      <c r="X32" s="1566"/>
      <c r="Y32" s="3433" t="s">
        <v>549</v>
      </c>
      <c r="Z32" s="1574" t="str">
        <f t="shared" si="15"/>
        <v>车位类型</v>
      </c>
      <c r="AA32" s="1575">
        <f t="shared" si="3"/>
        <v>1</v>
      </c>
      <c r="AB32" s="1575">
        <f t="shared" si="4"/>
        <v>1</v>
      </c>
      <c r="AC32" s="1575">
        <f t="shared" si="5"/>
        <v>1</v>
      </c>
    </row>
    <row r="33" spans="1:29" ht="15">
      <c r="A33" s="931"/>
      <c r="B33" s="582" t="s">
        <v>812</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v>2</v>
      </c>
      <c r="L33" s="2142"/>
      <c r="M33" s="2134"/>
      <c r="N33" s="2134"/>
      <c r="O33" s="2141"/>
      <c r="P33" s="3433"/>
      <c r="Q33" s="1571" t="str">
        <f t="shared" si="11"/>
        <v>是否直接入户</v>
      </c>
      <c r="R33" s="1572" t="s">
        <v>8</v>
      </c>
      <c r="S33" s="1573">
        <f t="shared" si="12"/>
        <v>100</v>
      </c>
      <c r="T33" s="1572" t="s">
        <v>8</v>
      </c>
      <c r="U33" s="1573">
        <f t="shared" si="13"/>
        <v>100</v>
      </c>
      <c r="V33" s="1572" t="s">
        <v>8</v>
      </c>
      <c r="W33" s="1573">
        <f t="shared" si="14"/>
        <v>100</v>
      </c>
      <c r="X33" s="1566"/>
      <c r="Y33" s="343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3"/>
      <c r="Q34" s="1571">
        <f t="shared" si="11"/>
        <v>111</v>
      </c>
      <c r="R34" s="1572" t="s">
        <v>8</v>
      </c>
      <c r="S34" s="1573">
        <f t="shared" si="12"/>
        <v>100</v>
      </c>
      <c r="T34" s="1572" t="s">
        <v>8</v>
      </c>
      <c r="U34" s="1573">
        <f t="shared" si="13"/>
        <v>100</v>
      </c>
      <c r="V34" s="1572" t="s">
        <v>8</v>
      </c>
      <c r="W34" s="1573">
        <f t="shared" si="14"/>
        <v>100</v>
      </c>
      <c r="X34" s="1566"/>
      <c r="Y34" s="343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3"/>
      <c r="Q35" s="1604">
        <f t="shared" si="11"/>
        <v>111</v>
      </c>
      <c r="R35" s="1576" t="s">
        <v>8</v>
      </c>
      <c r="S35" s="1577">
        <f t="shared" si="12"/>
        <v>100</v>
      </c>
      <c r="T35" s="1576" t="s">
        <v>8</v>
      </c>
      <c r="U35" s="1577">
        <f t="shared" si="13"/>
        <v>100</v>
      </c>
      <c r="V35" s="1576" t="s">
        <v>8</v>
      </c>
      <c r="W35" s="1577">
        <f t="shared" si="14"/>
        <v>100</v>
      </c>
      <c r="X35" s="1578"/>
      <c r="Y35" s="343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3"/>
      <c r="Q36" s="1571">
        <f t="shared" si="11"/>
        <v>111</v>
      </c>
      <c r="R36" s="1572" t="s">
        <v>8</v>
      </c>
      <c r="S36" s="1573">
        <f t="shared" si="12"/>
        <v>100</v>
      </c>
      <c r="T36" s="1572" t="s">
        <v>8</v>
      </c>
      <c r="U36" s="1573">
        <f t="shared" si="13"/>
        <v>100</v>
      </c>
      <c r="V36" s="1572" t="s">
        <v>8</v>
      </c>
      <c r="W36" s="1573">
        <f t="shared" si="14"/>
        <v>100</v>
      </c>
      <c r="X36" s="1566"/>
      <c r="Y36" s="3433"/>
      <c r="Z36" s="1574">
        <f t="shared" si="15"/>
        <v>111</v>
      </c>
      <c r="AA36" s="1575">
        <f t="shared" si="3"/>
        <v>1</v>
      </c>
      <c r="AB36" s="1575">
        <f t="shared" si="4"/>
        <v>1</v>
      </c>
      <c r="AC36" s="1575">
        <f t="shared" si="5"/>
        <v>1</v>
      </c>
    </row>
    <row r="37" spans="1:29" ht="15">
      <c r="A37" s="1846" t="s">
        <v>2077</v>
      </c>
      <c r="B37" s="1847" t="s">
        <v>2078</v>
      </c>
      <c r="C37" s="2651" t="s">
        <v>1</v>
      </c>
      <c r="D37" s="2652"/>
      <c r="E37" s="2653">
        <v>10989</v>
      </c>
      <c r="F37" s="2654"/>
      <c r="G37" s="2655">
        <v>9836</v>
      </c>
      <c r="H37" s="2656"/>
      <c r="I37" s="2653">
        <v>8640</v>
      </c>
      <c r="J37" s="2656"/>
      <c r="K37" s="1610"/>
      <c r="L37" s="2144"/>
      <c r="M37" s="2145"/>
      <c r="N37" s="2134"/>
      <c r="O37" s="2145"/>
      <c r="P37" s="3395" t="str">
        <f>A37</f>
        <v>成交单价</v>
      </c>
      <c r="Q37" s="3395"/>
      <c r="R37" s="3513">
        <f>E37</f>
        <v>10989</v>
      </c>
      <c r="S37" s="3513"/>
      <c r="T37" s="3513">
        <f>G37</f>
        <v>9836</v>
      </c>
      <c r="U37" s="3513"/>
      <c r="V37" s="3513">
        <f>I37</f>
        <v>8640</v>
      </c>
      <c r="W37" s="3513"/>
      <c r="X37" s="1558"/>
      <c r="Y37" s="1580"/>
      <c r="Z37" s="1558"/>
      <c r="AA37" s="1558"/>
      <c r="AB37" s="1558"/>
      <c r="AC37" s="1558"/>
    </row>
    <row r="38" spans="1:29" ht="15.75" thickBot="1">
      <c r="A38" s="615" t="s">
        <v>2760</v>
      </c>
      <c r="B38" s="888"/>
      <c r="C38" s="2657">
        <f>R39</f>
        <v>9832</v>
      </c>
      <c r="D38" s="2658"/>
      <c r="E38" s="2659">
        <f>R38</f>
        <v>10669</v>
      </c>
      <c r="F38" s="2659"/>
      <c r="G38" s="2657">
        <f>T38</f>
        <v>9647</v>
      </c>
      <c r="H38" s="2658"/>
      <c r="I38" s="2659">
        <f>V38</f>
        <v>9180</v>
      </c>
      <c r="J38" s="2658"/>
      <c r="K38" s="1611"/>
      <c r="L38" s="2144"/>
      <c r="M38" s="2145"/>
      <c r="N38" s="2145"/>
      <c r="O38" s="2145"/>
      <c r="P38" s="3395" t="str">
        <f>A38</f>
        <v>比较价格（元/平方米）</v>
      </c>
      <c r="Q38" s="3395"/>
      <c r="R38" s="3513">
        <f>IF(F1="售价",ROUND(PRODUCT(R37,AA7:AA36),0),ROUND(PRODUCT(R37,AA7:AA36),1))</f>
        <v>10669</v>
      </c>
      <c r="S38" s="3513"/>
      <c r="T38" s="3513">
        <f>IF(F1="售价",ROUND(PRODUCT(T37,AB7:AB36),0),ROUND(PRODUCT(T37,AB7:AB36),1))</f>
        <v>9647</v>
      </c>
      <c r="U38" s="3513"/>
      <c r="V38" s="3513">
        <f>IF(F1="售价",ROUND(PRODUCT(V37,AC7:AC36),0),ROUND(PRODUCT(V37,AC7:AC36),1))</f>
        <v>9180</v>
      </c>
      <c r="W38" s="3513"/>
      <c r="X38" s="1558"/>
      <c r="Y38" s="1558"/>
      <c r="Z38" s="1558"/>
      <c r="AA38" s="1558"/>
      <c r="AB38" s="1558"/>
      <c r="AC38" s="1558"/>
    </row>
    <row r="39" spans="1:29" ht="15.75" thickBot="1">
      <c r="A39" s="621" t="s">
        <v>2932</v>
      </c>
      <c r="B39" s="622"/>
      <c r="C39" s="2660">
        <f>R39</f>
        <v>9832</v>
      </c>
      <c r="D39" s="2660"/>
      <c r="E39" s="2660"/>
      <c r="F39" s="2660"/>
      <c r="G39" s="2660"/>
      <c r="H39" s="2660"/>
      <c r="I39" s="2660"/>
      <c r="J39" s="2660"/>
      <c r="K39" s="1612"/>
      <c r="L39" s="2144"/>
      <c r="M39" s="2145"/>
      <c r="N39" s="2145"/>
      <c r="O39" s="2145"/>
      <c r="P39" s="3392" t="str">
        <f>A39</f>
        <v>估价对象XX用房的比较价格（楼面单价，元/平方米）</v>
      </c>
      <c r="Q39" s="3393"/>
      <c r="R39" s="3512">
        <f>IF(F1="售价",ROUND(AVERAGE(R38:V38),0),ROUND(AVERAGE(R38:V38),1))</f>
        <v>9832</v>
      </c>
      <c r="S39" s="3512"/>
      <c r="T39" s="3512"/>
      <c r="U39" s="3512"/>
      <c r="V39" s="3512"/>
      <c r="W39" s="351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2.9993438935232986E-2</v>
      </c>
      <c r="F42" s="627" t="str">
        <f>IF(OR(E42&gt;=0.3,E42&lt;=-0.3),"超过30%","")</f>
        <v/>
      </c>
      <c r="G42" s="626">
        <f>IF(G37&lt;G38,G38/G37-1,G37/G38-1)</f>
        <v>1.9591582875505331E-2</v>
      </c>
      <c r="H42" s="627" t="str">
        <f>IF(OR(G42&gt;=0.3,G42&lt;=-0.3),"超过30%","")</f>
        <v/>
      </c>
      <c r="I42" s="626">
        <f>IF(I37&lt;I38,I38/I37-1,I37/I38-1)</f>
        <v>6.25E-2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0.10593967036384377</v>
      </c>
      <c r="F43" s="627" t="str">
        <f>IF(OR(E43&gt;=0.2,E43&lt;=-0.2),"超过20%","")</f>
        <v/>
      </c>
      <c r="G43" s="626">
        <f>IF(G38&lt;I38,I38/G38-1,G38/I38-1)</f>
        <v>5.0871459694989074E-2</v>
      </c>
      <c r="H43" s="627" t="str">
        <f>IF(OR(G43&gt;=0.2,G43&lt;=-0.2),"超过20%","")</f>
        <v/>
      </c>
      <c r="I43" s="626">
        <f>IF(I38&lt;E38,E38/I38-1,I38/E38-1)</f>
        <v>0.16220043572984744</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0.11722244814965443</v>
      </c>
      <c r="F44" s="627" t="str">
        <f>IF(OR(E44&gt;=0.3,E44&lt;=-0.3),"超过30%","")</f>
        <v/>
      </c>
      <c r="G44" s="626">
        <f>IF(G37&lt;I37,I37/G37-1,G37/I37-1)</f>
        <v>0.13842592592592595</v>
      </c>
      <c r="H44" s="627" t="str">
        <f>IF(OR(G44&gt;=0.3,G44&lt;=-0.3),"超过30%","")</f>
        <v/>
      </c>
      <c r="I44" s="626">
        <f>IF(I37&lt;E37,E37/I37-1,I37/E37-1)</f>
        <v>0.27187500000000009</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99.5</v>
      </c>
      <c r="E49" s="650">
        <v>99</v>
      </c>
      <c r="F49" s="650">
        <v>98.5</v>
      </c>
      <c r="G49" s="650">
        <v>98</v>
      </c>
      <c r="H49" s="650">
        <v>97.5</v>
      </c>
      <c r="I49" s="650">
        <v>97</v>
      </c>
      <c r="J49" s="650">
        <v>96.5</v>
      </c>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3347</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4" t="s">
        <v>3348</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3349</v>
      </c>
      <c r="D83" s="3194" t="s">
        <v>3350</v>
      </c>
      <c r="E83" s="3197" t="s">
        <v>3351</v>
      </c>
      <c r="F83" s="3197" t="s">
        <v>3352</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3353</v>
      </c>
      <c r="D88" s="3224" t="s">
        <v>3354</v>
      </c>
      <c r="E88" s="3224" t="s">
        <v>3355</v>
      </c>
      <c r="F88" s="3224" t="s">
        <v>3356</v>
      </c>
      <c r="G88" s="3224" t="s">
        <v>3357</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3358</v>
      </c>
      <c r="D93" s="3194" t="s">
        <v>3359</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3360</v>
      </c>
      <c r="D95" s="3224" t="s">
        <v>3361</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1" t="s">
        <v>797</v>
      </c>
      <c r="D4" s="3402"/>
      <c r="E4" s="3440" t="s">
        <v>798</v>
      </c>
      <c r="F4" s="3441"/>
      <c r="G4" s="3401" t="s">
        <v>799</v>
      </c>
      <c r="H4" s="3402"/>
      <c r="I4" s="3401" t="s">
        <v>800</v>
      </c>
      <c r="J4" s="3402"/>
      <c r="K4" s="514" t="s">
        <v>801</v>
      </c>
      <c r="L4" s="2133"/>
      <c r="M4" s="2134"/>
      <c r="N4" s="2134"/>
      <c r="O4" s="2134"/>
      <c r="P4" s="3403" t="s">
        <v>802</v>
      </c>
      <c r="Q4" s="3404"/>
      <c r="R4" s="3409" t="s">
        <v>798</v>
      </c>
      <c r="S4" s="3410"/>
      <c r="T4" s="3409" t="s">
        <v>799</v>
      </c>
      <c r="U4" s="3410"/>
      <c r="V4" s="3396" t="s">
        <v>800</v>
      </c>
      <c r="W4" s="3396"/>
      <c r="X4" s="1566"/>
      <c r="Y4" s="3409" t="s">
        <v>802</v>
      </c>
      <c r="Z4" s="3410"/>
      <c r="AA4" s="3398" t="s">
        <v>798</v>
      </c>
      <c r="AB4" s="3399" t="s">
        <v>799</v>
      </c>
      <c r="AC4" s="3398" t="s">
        <v>800</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7" t="s">
        <v>529</v>
      </c>
      <c r="Q7" s="3429"/>
      <c r="R7" s="1567" t="s">
        <v>8</v>
      </c>
      <c r="S7" s="1568">
        <f t="shared" ref="S7:S14" si="0">F7</f>
        <v>0</v>
      </c>
      <c r="T7" s="1567" t="s">
        <v>8</v>
      </c>
      <c r="U7" s="1568">
        <f t="shared" ref="U7:U14" si="1">H7</f>
        <v>0</v>
      </c>
      <c r="V7" s="1567" t="s">
        <v>8</v>
      </c>
      <c r="W7" s="1568">
        <f t="shared" ref="W7:W14"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5" t="s">
        <v>534</v>
      </c>
      <c r="Q9" s="1151" t="str">
        <f t="shared" ref="Q9:Q14" si="6">B9</f>
        <v>用途</v>
      </c>
      <c r="R9" s="1567" t="s">
        <v>8</v>
      </c>
      <c r="S9" s="1568">
        <f t="shared" si="0"/>
        <v>100</v>
      </c>
      <c r="T9" s="1567" t="s">
        <v>8</v>
      </c>
      <c r="U9" s="1568">
        <f t="shared" si="1"/>
        <v>100</v>
      </c>
      <c r="V9" s="1567" t="s">
        <v>8</v>
      </c>
      <c r="W9" s="1568">
        <f t="shared" si="2"/>
        <v>100</v>
      </c>
      <c r="X9" s="1569"/>
      <c r="Y9" s="3341"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5"/>
      <c r="Q11" s="1151">
        <f t="shared" si="6"/>
        <v>111</v>
      </c>
      <c r="R11" s="1567" t="s">
        <v>8</v>
      </c>
      <c r="S11" s="1568">
        <f t="shared" si="0"/>
        <v>100</v>
      </c>
      <c r="T11" s="1567" t="s">
        <v>8</v>
      </c>
      <c r="U11" s="1568">
        <f t="shared" si="1"/>
        <v>100</v>
      </c>
      <c r="V11" s="1567" t="s">
        <v>8</v>
      </c>
      <c r="W11" s="1568">
        <f t="shared" si="2"/>
        <v>100</v>
      </c>
      <c r="X11" s="1569"/>
      <c r="Y11" s="3341"/>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0" t="s">
        <v>539</v>
      </c>
      <c r="Q14" s="1571" t="str">
        <f t="shared" si="6"/>
        <v>交通便捷度</v>
      </c>
      <c r="R14" s="1572" t="s">
        <v>8</v>
      </c>
      <c r="S14" s="1573">
        <f t="shared" si="0"/>
        <v>100</v>
      </c>
      <c r="T14" s="1572" t="s">
        <v>8</v>
      </c>
      <c r="U14" s="1573">
        <f t="shared" si="1"/>
        <v>100</v>
      </c>
      <c r="V14" s="1572" t="s">
        <v>8</v>
      </c>
      <c r="W14" s="1573">
        <f t="shared" si="2"/>
        <v>100</v>
      </c>
      <c r="X14" s="1566"/>
      <c r="Y14" s="343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1"/>
      <c r="Q15" s="1571"/>
      <c r="R15" s="1572"/>
      <c r="S15" s="1573"/>
      <c r="T15" s="1572"/>
      <c r="U15" s="1573"/>
      <c r="V15" s="1572"/>
      <c r="W15" s="1573"/>
      <c r="X15" s="1566"/>
      <c r="Y15" s="3431"/>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1"/>
      <c r="Q16" s="1571" t="str">
        <f>B16</f>
        <v>公共配套设施</v>
      </c>
      <c r="R16" s="1572" t="s">
        <v>8</v>
      </c>
      <c r="S16" s="1573">
        <f>F16</f>
        <v>100</v>
      </c>
      <c r="T16" s="1572" t="s">
        <v>8</v>
      </c>
      <c r="U16" s="1573">
        <f>H16</f>
        <v>100</v>
      </c>
      <c r="V16" s="1572" t="s">
        <v>8</v>
      </c>
      <c r="W16" s="1573">
        <f>J16</f>
        <v>100</v>
      </c>
      <c r="X16" s="1566"/>
      <c r="Y16" s="343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1"/>
      <c r="Q17" s="1571"/>
      <c r="R17" s="1572"/>
      <c r="S17" s="1573"/>
      <c r="T17" s="1572"/>
      <c r="U17" s="1573"/>
      <c r="V17" s="1572"/>
      <c r="W17" s="1573"/>
      <c r="X17" s="1566"/>
      <c r="Y17" s="3431"/>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1"/>
      <c r="Q18" s="2603" t="str">
        <f>B18</f>
        <v>基础设施水平</v>
      </c>
      <c r="R18" s="1572" t="s">
        <v>8</v>
      </c>
      <c r="S18" s="1573">
        <f>F18</f>
        <v>100</v>
      </c>
      <c r="T18" s="1572" t="s">
        <v>8</v>
      </c>
      <c r="U18" s="1573">
        <f>H18</f>
        <v>100</v>
      </c>
      <c r="V18" s="1572" t="s">
        <v>8</v>
      </c>
      <c r="W18" s="1573">
        <f>J18</f>
        <v>100</v>
      </c>
      <c r="X18" s="2605"/>
      <c r="Y18" s="343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31"/>
      <c r="Q19" s="2603"/>
      <c r="R19" s="1572"/>
      <c r="S19" s="1573"/>
      <c r="T19" s="1572"/>
      <c r="U19" s="1573"/>
      <c r="V19" s="1572"/>
      <c r="W19" s="1573"/>
      <c r="X19" s="2605"/>
      <c r="Y19" s="3431"/>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1"/>
      <c r="Q20" s="1571" t="str">
        <f>B20</f>
        <v>自然及人文环境</v>
      </c>
      <c r="R20" s="1572" t="s">
        <v>8</v>
      </c>
      <c r="S20" s="1573">
        <f>F20</f>
        <v>100</v>
      </c>
      <c r="T20" s="1572" t="s">
        <v>8</v>
      </c>
      <c r="U20" s="1573">
        <f>H20</f>
        <v>100</v>
      </c>
      <c r="V20" s="1572" t="s">
        <v>8</v>
      </c>
      <c r="W20" s="1573">
        <f>J20</f>
        <v>100</v>
      </c>
      <c r="X20" s="1566"/>
      <c r="Y20" s="343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1"/>
      <c r="Q21" s="1571"/>
      <c r="R21" s="1572"/>
      <c r="S21" s="1573"/>
      <c r="T21" s="1572"/>
      <c r="U21" s="1573"/>
      <c r="V21" s="1572"/>
      <c r="W21" s="1573"/>
      <c r="X21" s="1566"/>
      <c r="Y21" s="343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1"/>
      <c r="Q22" s="1571" t="str">
        <f>B22</f>
        <v>楼层</v>
      </c>
      <c r="R22" s="1572" t="s">
        <v>8</v>
      </c>
      <c r="S22" s="1573">
        <f>F22</f>
        <v>100</v>
      </c>
      <c r="T22" s="1572" t="s">
        <v>8</v>
      </c>
      <c r="U22" s="1573">
        <f>H22</f>
        <v>100</v>
      </c>
      <c r="V22" s="1572" t="s">
        <v>8</v>
      </c>
      <c r="W22" s="1573">
        <f>J22</f>
        <v>100</v>
      </c>
      <c r="X22" s="1566"/>
      <c r="Y22" s="343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1"/>
      <c r="Q23" s="1571">
        <f>B23</f>
        <v>111</v>
      </c>
      <c r="R23" s="1572" t="s">
        <v>8</v>
      </c>
      <c r="S23" s="1573">
        <f>F23</f>
        <v>100</v>
      </c>
      <c r="T23" s="1572" t="s">
        <v>8</v>
      </c>
      <c r="U23" s="1573">
        <f>H23</f>
        <v>100</v>
      </c>
      <c r="V23" s="1572" t="s">
        <v>8</v>
      </c>
      <c r="W23" s="1573">
        <f>J23</f>
        <v>100</v>
      </c>
      <c r="X23" s="1566"/>
      <c r="Y23" s="343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1"/>
      <c r="Q24" s="1571">
        <f t="shared" ref="Q24:Q34" si="11">B24</f>
        <v>111</v>
      </c>
      <c r="R24" s="1572" t="s">
        <v>8</v>
      </c>
      <c r="S24" s="1573">
        <f>F24</f>
        <v>100</v>
      </c>
      <c r="T24" s="1572" t="s">
        <v>8</v>
      </c>
      <c r="U24" s="1573">
        <f>H24</f>
        <v>100</v>
      </c>
      <c r="V24" s="1572" t="s">
        <v>8</v>
      </c>
      <c r="W24" s="1573">
        <f>J24</f>
        <v>100</v>
      </c>
      <c r="X24" s="1566"/>
      <c r="Y24" s="343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1"/>
      <c r="Q25" s="1151">
        <f t="shared" si="11"/>
        <v>111</v>
      </c>
      <c r="R25" s="1567" t="s">
        <v>8</v>
      </c>
      <c r="S25" s="1568">
        <f>F25</f>
        <v>100</v>
      </c>
      <c r="T25" s="1567" t="s">
        <v>8</v>
      </c>
      <c r="U25" s="1568">
        <f>H25</f>
        <v>100</v>
      </c>
      <c r="V25" s="1567" t="s">
        <v>8</v>
      </c>
      <c r="W25" s="1568">
        <f>J25</f>
        <v>100</v>
      </c>
      <c r="X25" s="1569"/>
      <c r="Y25" s="343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3"/>
      <c r="Q27" s="1604" t="str">
        <f t="shared" si="11"/>
        <v>成新率</v>
      </c>
      <c r="R27" s="1576" t="s">
        <v>8</v>
      </c>
      <c r="S27" s="1577" t="e">
        <f t="shared" si="12"/>
        <v>#N/A</v>
      </c>
      <c r="T27" s="1576" t="s">
        <v>8</v>
      </c>
      <c r="U27" s="1577" t="e">
        <f t="shared" si="13"/>
        <v>#N/A</v>
      </c>
      <c r="V27" s="1576" t="s">
        <v>8</v>
      </c>
      <c r="W27" s="1577" t="e">
        <f t="shared" si="14"/>
        <v>#N/A</v>
      </c>
      <c r="X27" s="1578"/>
      <c r="Y27" s="343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3"/>
      <c r="Q28" s="1571" t="str">
        <f t="shared" si="11"/>
        <v>物业等级</v>
      </c>
      <c r="R28" s="1572" t="s">
        <v>8</v>
      </c>
      <c r="S28" s="1573">
        <f t="shared" si="12"/>
        <v>100</v>
      </c>
      <c r="T28" s="1572" t="s">
        <v>8</v>
      </c>
      <c r="U28" s="1573">
        <f t="shared" si="13"/>
        <v>100</v>
      </c>
      <c r="V28" s="1572" t="s">
        <v>8</v>
      </c>
      <c r="W28" s="1573">
        <f t="shared" si="14"/>
        <v>100</v>
      </c>
      <c r="X28" s="1566"/>
      <c r="Y28" s="343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3"/>
      <c r="Q29" s="1571" t="str">
        <f t="shared" si="11"/>
        <v>有无电梯</v>
      </c>
      <c r="R29" s="1572" t="s">
        <v>8</v>
      </c>
      <c r="S29" s="1573">
        <f t="shared" si="12"/>
        <v>100</v>
      </c>
      <c r="T29" s="1572" t="s">
        <v>8</v>
      </c>
      <c r="U29" s="1573">
        <f t="shared" si="13"/>
        <v>100</v>
      </c>
      <c r="V29" s="1572" t="s">
        <v>8</v>
      </c>
      <c r="W29" s="1573">
        <f t="shared" si="14"/>
        <v>100</v>
      </c>
      <c r="X29" s="1566"/>
      <c r="Y29" s="343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3"/>
      <c r="Q30" s="1571" t="str">
        <f t="shared" si="11"/>
        <v>建筑面积</v>
      </c>
      <c r="R30" s="1572" t="s">
        <v>8</v>
      </c>
      <c r="S30" s="1573" t="e">
        <f t="shared" si="12"/>
        <v>#N/A</v>
      </c>
      <c r="T30" s="1572" t="s">
        <v>8</v>
      </c>
      <c r="U30" s="1573" t="e">
        <f t="shared" si="13"/>
        <v>#N/A</v>
      </c>
      <c r="V30" s="1572" t="s">
        <v>8</v>
      </c>
      <c r="W30" s="1573" t="e">
        <f t="shared" si="14"/>
        <v>#N/A</v>
      </c>
      <c r="X30" s="1566"/>
      <c r="Y30" s="343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3"/>
      <c r="Q31" s="1151" t="str">
        <f t="shared" si="11"/>
        <v>是否封闭</v>
      </c>
      <c r="R31" s="1567" t="s">
        <v>8</v>
      </c>
      <c r="S31" s="1568">
        <f t="shared" si="12"/>
        <v>100</v>
      </c>
      <c r="T31" s="1567" t="s">
        <v>8</v>
      </c>
      <c r="U31" s="1568">
        <f t="shared" si="13"/>
        <v>100</v>
      </c>
      <c r="V31" s="1567" t="s">
        <v>8</v>
      </c>
      <c r="W31" s="1568">
        <f t="shared" si="14"/>
        <v>100</v>
      </c>
      <c r="X31" s="1569"/>
      <c r="Y31" s="343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3" t="s">
        <v>549</v>
      </c>
      <c r="Q32" s="1571">
        <f t="shared" si="11"/>
        <v>111</v>
      </c>
      <c r="R32" s="1572" t="s">
        <v>8</v>
      </c>
      <c r="S32" s="1573">
        <f t="shared" si="12"/>
        <v>100</v>
      </c>
      <c r="T32" s="1572" t="s">
        <v>8</v>
      </c>
      <c r="U32" s="1573">
        <f t="shared" si="13"/>
        <v>100</v>
      </c>
      <c r="V32" s="1572" t="s">
        <v>8</v>
      </c>
      <c r="W32" s="1573">
        <f t="shared" si="14"/>
        <v>100</v>
      </c>
      <c r="X32" s="1566"/>
      <c r="Y32" s="343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3"/>
      <c r="Q33" s="1571">
        <f t="shared" si="11"/>
        <v>111</v>
      </c>
      <c r="R33" s="1572" t="s">
        <v>8</v>
      </c>
      <c r="S33" s="1573">
        <f t="shared" si="12"/>
        <v>100</v>
      </c>
      <c r="T33" s="1572" t="s">
        <v>8</v>
      </c>
      <c r="U33" s="1573">
        <f t="shared" si="13"/>
        <v>100</v>
      </c>
      <c r="V33" s="1572" t="s">
        <v>8</v>
      </c>
      <c r="W33" s="1573">
        <f t="shared" si="14"/>
        <v>100</v>
      </c>
      <c r="X33" s="1566"/>
      <c r="Y33" s="343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3"/>
      <c r="Q34" s="1571">
        <f t="shared" si="11"/>
        <v>111</v>
      </c>
      <c r="R34" s="1572" t="s">
        <v>8</v>
      </c>
      <c r="S34" s="1573">
        <f t="shared" si="12"/>
        <v>100</v>
      </c>
      <c r="T34" s="1572" t="s">
        <v>8</v>
      </c>
      <c r="U34" s="1573">
        <f t="shared" si="13"/>
        <v>100</v>
      </c>
      <c r="V34" s="1572" t="s">
        <v>8</v>
      </c>
      <c r="W34" s="1573">
        <f t="shared" si="14"/>
        <v>100</v>
      </c>
      <c r="X34" s="1566"/>
      <c r="Y34" s="3433"/>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395" t="str">
        <f>A35</f>
        <v>成交单价（元/平方米）</v>
      </c>
      <c r="Q35" s="3395"/>
      <c r="R35" s="3513">
        <f>E35</f>
        <v>0</v>
      </c>
      <c r="S35" s="3513"/>
      <c r="T35" s="3513">
        <f>G35</f>
        <v>0</v>
      </c>
      <c r="U35" s="3513"/>
      <c r="V35" s="3513">
        <f>I35</f>
        <v>0</v>
      </c>
      <c r="W35" s="3513"/>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395" t="str">
        <f>A36</f>
        <v>比较价格（元/平方米）</v>
      </c>
      <c r="Q36" s="3395"/>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392" t="str">
        <f>A37</f>
        <v>估价对象XX用房的比较价格（楼面单价，元/平方米）</v>
      </c>
      <c r="Q37" s="3393"/>
      <c r="R37" s="3512" t="e">
        <f>IF(F1="售价",ROUND(AVERAGE(R36:V36),0),ROUND(AVERAGE(R36:V36),1))</f>
        <v>#DIV/0!</v>
      </c>
      <c r="S37" s="3512"/>
      <c r="T37" s="3512"/>
      <c r="U37" s="3512"/>
      <c r="V37" s="3512"/>
      <c r="W37" s="351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26" t="s">
        <v>2304</v>
      </c>
      <c r="D1" s="3527"/>
      <c r="E1" s="3527"/>
      <c r="F1" s="3527"/>
      <c r="G1" s="3527"/>
      <c r="H1" s="3527"/>
      <c r="I1" s="3527"/>
      <c r="J1" s="3527"/>
      <c r="K1" s="3527"/>
      <c r="L1" s="3527"/>
      <c r="M1" s="3527"/>
      <c r="N1" s="3527"/>
      <c r="O1" s="3527"/>
      <c r="P1" s="3527"/>
      <c r="Q1" s="3527"/>
      <c r="R1" s="3527"/>
      <c r="S1" s="352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2038</v>
      </c>
      <c r="B1" s="3228"/>
      <c r="C1" s="3228"/>
      <c r="D1" s="3228"/>
      <c r="E1" s="3228"/>
      <c r="F1" s="3228"/>
      <c r="G1" s="3228"/>
      <c r="H1" s="3228"/>
      <c r="I1" s="3228"/>
      <c r="J1" s="3228"/>
      <c r="K1" s="3228"/>
      <c r="L1" s="3228"/>
      <c r="M1" s="3228"/>
      <c r="N1" s="3228"/>
      <c r="O1" s="3228"/>
      <c r="P1" s="3228"/>
      <c r="Q1" s="3228"/>
      <c r="R1" s="3228"/>
    </row>
    <row r="2" spans="1:18">
      <c r="A2" s="1807" t="s">
        <v>2040</v>
      </c>
      <c r="B2" s="1807"/>
      <c r="C2" s="1807"/>
      <c r="D2" s="1807"/>
      <c r="E2" s="1807"/>
      <c r="F2" s="1807"/>
      <c r="G2" s="1807"/>
      <c r="H2" s="1807"/>
      <c r="I2" s="1808"/>
      <c r="J2" s="1808"/>
      <c r="K2" s="1809" t="str">
        <f>"估价期日："&amp;TEXT(项目基本情况!D3,"yyyy年m月d日;;")</f>
        <v>估价期日：2018年4月17日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9" t="s">
        <v>2029</v>
      </c>
      <c r="B3" s="3229" t="s">
        <v>2731</v>
      </c>
      <c r="C3" s="3230" t="s">
        <v>2030</v>
      </c>
      <c r="D3" s="3229" t="s">
        <v>2735</v>
      </c>
      <c r="E3" s="3232" t="s">
        <v>2031</v>
      </c>
      <c r="F3" s="3232"/>
      <c r="G3" s="3232"/>
      <c r="H3" s="3232" t="s">
        <v>2032</v>
      </c>
      <c r="I3" s="3232"/>
      <c r="J3" s="3232"/>
      <c r="K3" s="3230" t="s">
        <v>2033</v>
      </c>
      <c r="L3" s="3230" t="s">
        <v>2034</v>
      </c>
      <c r="M3" s="3229" t="s">
        <v>2732</v>
      </c>
      <c r="N3" s="3231" t="str">
        <f>"（分摊）"&amp;项目基本情况!B16&amp;"国有建设用地使用权面积/㎡"</f>
        <v>（分摊）出让国有建设用地使用权面积/㎡</v>
      </c>
      <c r="O3" s="3229" t="s">
        <v>2063</v>
      </c>
      <c r="P3" s="3230" t="s">
        <v>2043</v>
      </c>
      <c r="Q3" s="3230" t="s">
        <v>2064</v>
      </c>
      <c r="R3" s="3230" t="s">
        <v>2035</v>
      </c>
    </row>
    <row r="4" spans="1:18" ht="36.75" customHeight="1">
      <c r="A4" s="3229"/>
      <c r="B4" s="3229"/>
      <c r="C4" s="3230"/>
      <c r="D4" s="3229"/>
      <c r="E4" s="2673" t="s">
        <v>2042</v>
      </c>
      <c r="F4" s="2673" t="s">
        <v>2744</v>
      </c>
      <c r="G4" s="2673" t="s">
        <v>2036</v>
      </c>
      <c r="H4" s="2673" t="s">
        <v>2037</v>
      </c>
      <c r="I4" s="2673" t="s">
        <v>2745</v>
      </c>
      <c r="J4" s="2673" t="s">
        <v>2036</v>
      </c>
      <c r="K4" s="3230"/>
      <c r="L4" s="3230"/>
      <c r="M4" s="3229"/>
      <c r="N4" s="3231"/>
      <c r="O4" s="3229"/>
      <c r="P4" s="3230"/>
      <c r="Q4" s="3230"/>
      <c r="R4" s="3230"/>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31512.720000000001</v>
      </c>
      <c r="O5" s="1810">
        <f>项目基本情况!C21</f>
        <v>113422.40000000001</v>
      </c>
      <c r="P5" s="1810">
        <f ca="1">结果表!E42</f>
        <v>66171</v>
      </c>
      <c r="Q5" s="1810">
        <f ca="1">结果表!D42</f>
        <v>18385</v>
      </c>
      <c r="R5" s="1811">
        <f ca="1">结果表!C42</f>
        <v>208524</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2">
        <f ca="1">结果表!O39</f>
        <v>203210</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2" t="str">
        <f>结果表!O40</f>
        <v>——</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7" t="s">
        <v>2065</v>
      </c>
      <c r="B1" s="3237"/>
      <c r="C1" s="3237"/>
      <c r="D1" s="3237"/>
    </row>
    <row r="2" spans="1:4" ht="47.25" customHeight="1">
      <c r="A2" s="3238" t="str">
        <f>"1.权利限制："&amp;项目基本情况!L24&amp;"未设定租赁等其他他项权利。"</f>
        <v>1.权利限制：根据估价对象《不动产权证书》复印件、《不动产权证书》复印件，截至估价期日，估价对象抵押权未见登记。未设定租赁等其他他项权利。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2066</v>
      </c>
      <c r="B5" s="3236"/>
      <c r="C5" s="3236"/>
      <c r="D5" s="3236"/>
    </row>
    <row r="6" spans="1:4">
      <c r="A6" s="3237" t="s">
        <v>2044</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（1）根据估价对象《不动产权证书》复印件、《不动产权证书》复印件，截至估价期日，估价对象抵押权未见登记。</v>
      </c>
      <c r="B11" s="3239"/>
      <c r="C11" s="3239"/>
      <c r="D11" s="3239"/>
    </row>
    <row r="12" spans="1:4" ht="168" customHeight="1">
      <c r="A12" s="3236" t="s">
        <v>2068</v>
      </c>
      <c r="B12" s="3236"/>
      <c r="C12" s="3236"/>
      <c r="D12" s="3236"/>
    </row>
    <row r="13" spans="1:4">
      <c r="A13" s="3240" t="s">
        <v>2746</v>
      </c>
      <c r="B13" s="3240"/>
      <c r="C13" s="3240"/>
      <c r="D13" s="3240"/>
    </row>
    <row r="14" spans="1:4">
      <c r="A14" s="3239" t="str">
        <f>IF(项目基本情况!B8="抵押","综上，"&amp;结果表!K47,"——")</f>
        <v>综上，本次评估估价师知悉的法定优先受偿款为人民币5314万元整。</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2702</v>
      </c>
      <c r="B17" s="3237"/>
      <c r="C17" s="3237"/>
      <c r="D17" s="3237"/>
    </row>
    <row r="18" spans="1:4">
      <c r="A18" s="3237" t="s">
        <v>2694</v>
      </c>
      <c r="B18" s="3237"/>
      <c r="C18" s="3237"/>
      <c r="D18" s="3237"/>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崔锴</v>
      </c>
      <c r="B21" s="2892">
        <f ca="1">项目基本情况!E4</f>
        <v>2010110070</v>
      </c>
      <c r="C21" s="2894"/>
      <c r="D21" s="1800" t="s">
        <v>2704</v>
      </c>
    </row>
    <row r="23" spans="1:4">
      <c r="A23" s="3237" t="s">
        <v>2699</v>
      </c>
      <c r="B23" s="3237"/>
      <c r="C23" s="3237"/>
      <c r="D23" s="3237"/>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8" t="s">
        <v>53</v>
      </c>
      <c r="B15" s="3249" t="s">
        <v>845</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836</v>
      </c>
    </row>
    <row r="25" spans="1:3" ht="14.25">
      <c r="A25" s="3247"/>
      <c r="B25" s="3251"/>
      <c r="C25" s="1176" t="s">
        <v>837</v>
      </c>
    </row>
    <row r="26" spans="1:3" ht="14.25">
      <c r="A26" s="3247"/>
      <c r="B26" s="3251"/>
      <c r="C26" s="1176" t="s">
        <v>838</v>
      </c>
    </row>
    <row r="27" spans="1:3" ht="14.25">
      <c r="A27" s="3247"/>
      <c r="B27" s="3251"/>
      <c r="C27" s="1176" t="s">
        <v>839</v>
      </c>
    </row>
    <row r="28" spans="1:3" ht="14.25">
      <c r="A28" s="3247"/>
      <c r="B28" s="3251"/>
      <c r="C28" s="1176" t="s">
        <v>840</v>
      </c>
    </row>
    <row r="29" spans="1:3" ht="14.25">
      <c r="A29" s="3247"/>
      <c r="B29" s="3251"/>
      <c r="C29" s="1176" t="s">
        <v>841</v>
      </c>
    </row>
    <row r="30" spans="1:3" ht="14.25">
      <c r="A30" s="3247"/>
      <c r="B30" s="3251"/>
      <c r="C30" s="1176" t="s">
        <v>842</v>
      </c>
    </row>
    <row r="31" spans="1:3" ht="14.25">
      <c r="A31" s="3247"/>
      <c r="B31" s="3251"/>
      <c r="C31" s="1176" t="s">
        <v>843</v>
      </c>
    </row>
    <row r="32" spans="1:3" ht="14.25">
      <c r="A32" s="3247"/>
      <c r="B32" s="3251"/>
      <c r="C32" s="1176" t="s">
        <v>1646</v>
      </c>
    </row>
    <row r="33" spans="1:3" ht="14.25">
      <c r="A33" s="3247"/>
      <c r="B33" s="3241" t="s">
        <v>1652</v>
      </c>
      <c r="C33" s="1176" t="s">
        <v>1647</v>
      </c>
    </row>
    <row r="34" spans="1:3" ht="14.25">
      <c r="A34" s="3247"/>
      <c r="B34" s="3242"/>
      <c r="C34" s="1181" t="s">
        <v>1648</v>
      </c>
    </row>
    <row r="35" spans="1:3" ht="14.25">
      <c r="A35" s="3247"/>
      <c r="B35" s="3242"/>
      <c r="C35" s="1182" t="s">
        <v>1649</v>
      </c>
    </row>
    <row r="36" spans="1:3" ht="14.25">
      <c r="A36" s="3247"/>
      <c r="B36" s="3242"/>
      <c r="C36" s="1182" t="s">
        <v>1650</v>
      </c>
    </row>
    <row r="37" spans="1:3" ht="14.25">
      <c r="A37" s="3247"/>
      <c r="B37" s="324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43240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f ca="1">IF(C22&lt;B2,"已过期",1120020033)</f>
        <v>1120020033</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3014</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3016</v>
      </c>
      <c r="C20" s="1553"/>
    </row>
    <row r="21" spans="1:3">
      <c r="A21" s="8" t="s">
        <v>121</v>
      </c>
      <c r="B21" s="1149" t="s">
        <v>3018</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永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c r="D53" s="1767"/>
      <c r="E53" s="1767"/>
    </row>
    <row r="54" spans="1:5">
      <c r="A54" s="325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2018-05-20T06:59:52Z</dcterms:modified>
</cp:coreProperties>
</file>