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及建安取值" sheetId="80" r:id="rId14"/>
    <sheet name="房源清单" sheetId="82"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r:id="rId23"/>
    <sheet name="土地案例" sheetId="93"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r:id="rId49"/>
    <sheet name="2023-2024住宅" sheetId="86" r:id="rId50"/>
    <sheet name="2023-2024仓储" sheetId="87" r:id="rId51"/>
    <sheet name="2023-2024车位" sheetId="88" r:id="rId52"/>
    <sheet name="2024住宅" sheetId="89" r:id="rId53"/>
    <sheet name="2024仓储" sheetId="90" r:id="rId54"/>
    <sheet name="Sheet9" sheetId="91" r:id="rId55"/>
    <sheet name="2024车位" sheetId="92" r:id="rId56"/>
  </sheets>
  <externalReferences>
    <externalReference r:id="rId57"/>
    <externalReference r:id="rId58"/>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50">'[1]不动产比较法-办公'!$B$119:$M$119</definedName>
    <definedName name="办公层高" localSheetId="51">'[1]不动产比较法-办公'!$B$119:$M$119</definedName>
    <definedName name="办公层高" localSheetId="49">'[1]不动产比较法-办公'!$B$119:$M$119</definedName>
    <definedName name="办公层高" localSheetId="53">'[1]不动产比较法-办公'!$B$119:$M$119</definedName>
    <definedName name="办公层高" localSheetId="55">'[1]不动产比较法-办公'!$B$119:$M$119</definedName>
    <definedName name="办公层高" localSheetId="52">'[1]不动产比较法-办公'!$B$119:$M$119</definedName>
    <definedName name="办公层高" localSheetId="23">'[1]不动产比较法-办公'!$B$119:$M$119</definedName>
    <definedName name="办公层高">'比较法-办公'!$B$119:$M$119</definedName>
    <definedName name="办公朝向" localSheetId="50">'[1]不动产比较法-办公'!$B$91:$M$91</definedName>
    <definedName name="办公朝向" localSheetId="51">'[1]不动产比较法-办公'!$B$91:$M$91</definedName>
    <definedName name="办公朝向" localSheetId="49">'[1]不动产比较法-办公'!$B$91:$M$91</definedName>
    <definedName name="办公朝向" localSheetId="53">'[1]不动产比较法-办公'!$B$91:$M$91</definedName>
    <definedName name="办公朝向" localSheetId="55">'[1]不动产比较法-办公'!$B$91:$M$91</definedName>
    <definedName name="办公朝向" localSheetId="52">'[1]不动产比较法-办公'!$B$91:$M$91</definedName>
    <definedName name="办公朝向" localSheetId="23">'[1]不动产比较法-办公'!$B$91:$M$91</definedName>
    <definedName name="办公朝向">'比较法-办公'!$B$91:$M$91</definedName>
    <definedName name="办公道路级别" localSheetId="50">'[1]不动产比较法-办公'!$B$87:$M$87</definedName>
    <definedName name="办公道路级别" localSheetId="51">'[1]不动产比较法-办公'!$B$87:$M$87</definedName>
    <definedName name="办公道路级别" localSheetId="49">'[1]不动产比较法-办公'!$B$87:$M$87</definedName>
    <definedName name="办公道路级别" localSheetId="53">'[1]不动产比较法-办公'!$B$87:$M$87</definedName>
    <definedName name="办公道路级别" localSheetId="55">'[1]不动产比较法-办公'!$B$87:$M$87</definedName>
    <definedName name="办公道路级别" localSheetId="52">'[1]不动产比较法-办公'!$B$87:$M$87</definedName>
    <definedName name="办公道路级别" localSheetId="23">'[1]不动产比较法-办公'!$B$87:$M$87</definedName>
    <definedName name="办公道路级别">'比较法-办公'!$B$87:$M$87</definedName>
    <definedName name="办公公共部分装修" localSheetId="50">'[1]不动产比较法-办公'!$B$108:$M$108</definedName>
    <definedName name="办公公共部分装修" localSheetId="51">'[1]不动产比较法-办公'!$B$108:$M$108</definedName>
    <definedName name="办公公共部分装修" localSheetId="49">'[1]不动产比较法-办公'!$B$108:$M$108</definedName>
    <definedName name="办公公共部分装修" localSheetId="53">'[1]不动产比较法-办公'!$B$108:$M$108</definedName>
    <definedName name="办公公共部分装修" localSheetId="55">'[1]不动产比较法-办公'!$B$108:$M$108</definedName>
    <definedName name="办公公共部分装修" localSheetId="52">'[1]不动产比较法-办公'!$B$108:$M$108</definedName>
    <definedName name="办公公共部分装修" localSheetId="23">'[1]不动产比较法-办公'!$B$108:$M$108</definedName>
    <definedName name="办公公共部分装修">'比较法-办公'!$B$108:$M$108</definedName>
    <definedName name="办公基础设施水平" localSheetId="50">'[1]不动产比较法-办公'!$B$117:$M$117</definedName>
    <definedName name="办公基础设施水平" localSheetId="51">'[1]不动产比较法-办公'!$B$117:$M$117</definedName>
    <definedName name="办公基础设施水平" localSheetId="49">'[1]不动产比较法-办公'!$B$117:$M$117</definedName>
    <definedName name="办公基础设施水平" localSheetId="53">'[1]不动产比较法-办公'!$B$117:$M$117</definedName>
    <definedName name="办公基础设施水平" localSheetId="55">'[1]不动产比较法-办公'!$B$117:$M$117</definedName>
    <definedName name="办公基础设施水平" localSheetId="52">'[1]不动产比较法-办公'!$B$117:$M$117</definedName>
    <definedName name="办公基础设施水平" localSheetId="23">'[1]不动产比较法-办公'!$B$117:$M$117</definedName>
    <definedName name="办公基础设施水平">'比较法-办公'!$B$117:$M$117</definedName>
    <definedName name="办公集聚程度" localSheetId="50">[1]定义!$M$1:$M$6</definedName>
    <definedName name="办公集聚程度" localSheetId="51">[1]定义!$M$1:$M$6</definedName>
    <definedName name="办公集聚程度" localSheetId="49">[1]定义!$M$1:$M$6</definedName>
    <definedName name="办公集聚程度" localSheetId="53">[1]定义!$M$1:$M$6</definedName>
    <definedName name="办公集聚程度" localSheetId="55">[1]定义!$M$1:$M$6</definedName>
    <definedName name="办公集聚程度" localSheetId="52">[1]定义!$M$1:$M$6</definedName>
    <definedName name="办公集聚程度" localSheetId="23">[1]定义!$M$1:$M$6</definedName>
    <definedName name="办公集聚程度">定义!$M$1:$M$6</definedName>
    <definedName name="办公建筑结构" localSheetId="50">'[1]不动产比较法-办公'!$B$106:$M$106</definedName>
    <definedName name="办公建筑结构" localSheetId="51">'[1]不动产比较法-办公'!$B$106:$M$106</definedName>
    <definedName name="办公建筑结构" localSheetId="49">'[1]不动产比较法-办公'!$B$106:$M$106</definedName>
    <definedName name="办公建筑结构" localSheetId="53">'[1]不动产比较法-办公'!$B$106:$M$106</definedName>
    <definedName name="办公建筑结构" localSheetId="55">'[1]不动产比较法-办公'!$B$106:$M$106</definedName>
    <definedName name="办公建筑结构" localSheetId="52">'[1]不动产比较法-办公'!$B$106:$M$106</definedName>
    <definedName name="办公建筑结构" localSheetId="23">'[1]不动产比较法-办公'!$B$106:$M$106</definedName>
    <definedName name="办公建筑结构">'比较法-办公'!$B$106:$M$106</definedName>
    <definedName name="办公建筑类型" localSheetId="50">'[1]不动产比较法-办公'!$B$101:$M$101</definedName>
    <definedName name="办公建筑类型" localSheetId="51">'[1]不动产比较法-办公'!$B$101:$M$101</definedName>
    <definedName name="办公建筑类型" localSheetId="49">'[1]不动产比较法-办公'!$B$101:$M$101</definedName>
    <definedName name="办公建筑类型" localSheetId="53">'[1]不动产比较法-办公'!$B$101:$M$101</definedName>
    <definedName name="办公建筑类型" localSheetId="55">'[1]不动产比较法-办公'!$B$101:$M$101</definedName>
    <definedName name="办公建筑类型" localSheetId="52">'[1]不动产比较法-办公'!$B$101:$M$101</definedName>
    <definedName name="办公建筑类型" localSheetId="23">'[1]不动产比较法-办公'!$B$101:$M$101</definedName>
    <definedName name="办公建筑类型">'比较法-办公'!$B$101:$M$101</definedName>
    <definedName name="办公交易情况" localSheetId="50">'[1]不动产比较法-办公'!$A$62:$M$62</definedName>
    <definedName name="办公交易情况" localSheetId="51">'[1]不动产比较法-办公'!$A$62:$M$62</definedName>
    <definedName name="办公交易情况" localSheetId="49">'[1]不动产比较法-办公'!$A$62:$M$62</definedName>
    <definedName name="办公交易情况" localSheetId="53">'[1]不动产比较法-办公'!$A$62:$M$62</definedName>
    <definedName name="办公交易情况" localSheetId="55">'[1]不动产比较法-办公'!$A$62:$M$62</definedName>
    <definedName name="办公交易情况" localSheetId="52">'[1]不动产比较法-办公'!$A$62:$M$62</definedName>
    <definedName name="办公交易情况" localSheetId="23">'[1]不动产比较法-办公'!$A$62:$M$62</definedName>
    <definedName name="办公交易情况">'比较法-办公'!$A$62:$M$62</definedName>
    <definedName name="办公楼层" localSheetId="50">'[1]不动产比较法-办公'!$B$89:$M$89</definedName>
    <definedName name="办公楼层" localSheetId="51">'[1]不动产比较法-办公'!$B$89:$M$89</definedName>
    <definedName name="办公楼层" localSheetId="49">'[1]不动产比较法-办公'!$B$89:$M$89</definedName>
    <definedName name="办公楼层" localSheetId="53">'[1]不动产比较法-办公'!$B$89:$M$89</definedName>
    <definedName name="办公楼层" localSheetId="55">'[1]不动产比较法-办公'!$B$89:$M$89</definedName>
    <definedName name="办公楼层" localSheetId="52">'[1]不动产比较法-办公'!$B$89:$M$89</definedName>
    <definedName name="办公楼层" localSheetId="23">'[1]不动产比较法-办公'!$B$89:$M$89</definedName>
    <definedName name="办公楼层">'比较法-办公'!$B$89:$M$89</definedName>
    <definedName name="办公内部装修" localSheetId="50">'[1]不动产比较法-办公'!$B$123:$M$123</definedName>
    <definedName name="办公内部装修" localSheetId="51">'[1]不动产比较法-办公'!$B$123:$M$123</definedName>
    <definedName name="办公内部装修" localSheetId="49">'[1]不动产比较法-办公'!$B$123:$M$123</definedName>
    <definedName name="办公内部装修" localSheetId="53">'[1]不动产比较法-办公'!$B$123:$M$123</definedName>
    <definedName name="办公内部装修" localSheetId="55">'[1]不动产比较法-办公'!$B$123:$M$123</definedName>
    <definedName name="办公内部装修" localSheetId="52">'[1]不动产比较法-办公'!$B$123:$M$123</definedName>
    <definedName name="办公内部装修" localSheetId="23">'[1]不动产比较法-办公'!$B$123:$M$123</definedName>
    <definedName name="办公内部装修">'比较法-办公'!$B$123:$M$123</definedName>
    <definedName name="办公物业管理" localSheetId="50">'[1]不动产比较法-办公'!$B$115:$M$115</definedName>
    <definedName name="办公物业管理" localSheetId="51">'[1]不动产比较法-办公'!$B$115:$M$115</definedName>
    <definedName name="办公物业管理" localSheetId="49">'[1]不动产比较法-办公'!$B$115:$M$115</definedName>
    <definedName name="办公物业管理" localSheetId="53">'[1]不动产比较法-办公'!$B$115:$M$115</definedName>
    <definedName name="办公物业管理" localSheetId="55">'[1]不动产比较法-办公'!$B$115:$M$115</definedName>
    <definedName name="办公物业管理" localSheetId="52">'[1]不动产比较法-办公'!$B$115:$M$115</definedName>
    <definedName name="办公物业管理" localSheetId="23">'[1]不动产比较法-办公'!$B$115:$M$115</definedName>
    <definedName name="办公物业管理">'比较法-办公'!$B$115:$M$115</definedName>
    <definedName name="办公用途" localSheetId="50">'[1]不动产比较法-办公'!$B$64:$M$64</definedName>
    <definedName name="办公用途" localSheetId="51">'[1]不动产比较法-办公'!$B$64:$M$64</definedName>
    <definedName name="办公用途" localSheetId="49">'[1]不动产比较法-办公'!$B$64:$M$64</definedName>
    <definedName name="办公用途" localSheetId="53">'[1]不动产比较法-办公'!$B$64:$M$64</definedName>
    <definedName name="办公用途" localSheetId="55">'[1]不动产比较法-办公'!$B$64:$M$64</definedName>
    <definedName name="办公用途" localSheetId="52">'[1]不动产比较法-办公'!$B$64:$M$64</definedName>
    <definedName name="办公用途" localSheetId="23">'[1]不动产比较法-办公'!$B$64:$M$64</definedName>
    <definedName name="办公用途">'比较法-办公'!$B$64:$M$64</definedName>
    <definedName name="仓储公共部分装修" localSheetId="50">'[1]不动产比较法-仓储'!$B$77:$M$77</definedName>
    <definedName name="仓储公共部分装修" localSheetId="51">'[1]不动产比较法-仓储'!$B$77:$M$77</definedName>
    <definedName name="仓储公共部分装修" localSheetId="49">'[1]不动产比较法-仓储'!$B$77:$M$77</definedName>
    <definedName name="仓储公共部分装修" localSheetId="53">'[1]不动产比较法-仓储'!$B$77:$M$77</definedName>
    <definedName name="仓储公共部分装修" localSheetId="55">'[1]不动产比较法-仓储'!$B$77:$M$77</definedName>
    <definedName name="仓储公共部分装修" localSheetId="52">'[1]不动产比较法-仓储'!$B$77:$M$77</definedName>
    <definedName name="仓储公共部分装修" localSheetId="23">'[1]不动产比较法-仓储'!$B$77:$M$77</definedName>
    <definedName name="仓储公共部分装修">'比较法-仓储'!$B$77:$M$77</definedName>
    <definedName name="仓储交易情况" localSheetId="50">'[1]不动产比较法-仓储'!$A$49:$M$49</definedName>
    <definedName name="仓储交易情况" localSheetId="51">'[1]不动产比较法-仓储'!$A$49:$M$49</definedName>
    <definedName name="仓储交易情况" localSheetId="49">'[1]不动产比较法-仓储'!$A$49:$M$49</definedName>
    <definedName name="仓储交易情况" localSheetId="53">'[1]不动产比较法-仓储'!$A$49:$M$49</definedName>
    <definedName name="仓储交易情况" localSheetId="55">'[1]不动产比较法-仓储'!$A$49:$M$49</definedName>
    <definedName name="仓储交易情况" localSheetId="52">'[1]不动产比较法-仓储'!$A$49:$M$49</definedName>
    <definedName name="仓储交易情况" localSheetId="23">'[1]不动产比较法-仓储'!$A$49:$M$49</definedName>
    <definedName name="仓储交易情况">'比较法-仓储'!$A$49:$M$49</definedName>
    <definedName name="仓储楼层" localSheetId="50">'[1]不动产比较法-仓储'!$B$69:$M$69</definedName>
    <definedName name="仓储楼层" localSheetId="51">'[1]不动产比较法-仓储'!$B$69:$M$69</definedName>
    <definedName name="仓储楼层" localSheetId="49">'[1]不动产比较法-仓储'!$B$69:$M$69</definedName>
    <definedName name="仓储楼层" localSheetId="53">'[1]不动产比较法-仓储'!$B$69:$M$69</definedName>
    <definedName name="仓储楼层" localSheetId="55">'[1]不动产比较法-仓储'!$B$69:$M$69</definedName>
    <definedName name="仓储楼层" localSheetId="52">'[1]不动产比较法-仓储'!$B$69:$M$69</definedName>
    <definedName name="仓储楼层" localSheetId="23">'[1]不动产比较法-仓储'!$B$69:$M$69</definedName>
    <definedName name="仓储楼层">'比较法-仓储'!$B$69:$M$69</definedName>
    <definedName name="仓储物业等级" localSheetId="50">'[1]不动产比较法-仓储'!$B$82:$M$82</definedName>
    <definedName name="仓储物业等级" localSheetId="51">'[1]不动产比较法-仓储'!$B$82:$M$82</definedName>
    <definedName name="仓储物业等级" localSheetId="49">'[1]不动产比较法-仓储'!$B$82:$M$82</definedName>
    <definedName name="仓储物业等级" localSheetId="53">'[1]不动产比较法-仓储'!$B$82:$M$82</definedName>
    <definedName name="仓储物业等级" localSheetId="55">'[1]不动产比较法-仓储'!$B$82:$M$82</definedName>
    <definedName name="仓储物业等级" localSheetId="52">'[1]不动产比较法-仓储'!$B$82:$M$82</definedName>
    <definedName name="仓储物业等级" localSheetId="23">'[1]不动产比较法-仓储'!$B$82:$M$82</definedName>
    <definedName name="仓储物业等级">'比较法-仓储'!$B$82:$M$82</definedName>
    <definedName name="仓储用途" localSheetId="50">'[1]不动产比较法-仓储'!$B$51:$M$51</definedName>
    <definedName name="仓储用途" localSheetId="51">'[1]不动产比较法-仓储'!$B$51:$M$51</definedName>
    <definedName name="仓储用途" localSheetId="49">'[1]不动产比较法-仓储'!$B$51:$M$51</definedName>
    <definedName name="仓储用途" localSheetId="53">'[1]不动产比较法-仓储'!$B$51:$M$51</definedName>
    <definedName name="仓储用途" localSheetId="55">'[1]不动产比较法-仓储'!$B$51:$M$51</definedName>
    <definedName name="仓储用途" localSheetId="52">'[1]不动产比较法-仓储'!$B$51:$M$51</definedName>
    <definedName name="仓储用途" localSheetId="23">'[1]不动产比较法-仓储'!$B$51:$M$51</definedName>
    <definedName name="仓储用途">'比较法-仓储'!$B$51:$M$51</definedName>
    <definedName name="产业集聚程度" localSheetId="50">[1]定义!$N$1:$N$6</definedName>
    <definedName name="产业集聚程度" localSheetId="51">[1]定义!$N$1:$N$6</definedName>
    <definedName name="产业集聚程度" localSheetId="49">[1]定义!$N$1:$N$6</definedName>
    <definedName name="产业集聚程度" localSheetId="53">[1]定义!$N$1:$N$6</definedName>
    <definedName name="产业集聚程度" localSheetId="55">[1]定义!$N$1:$N$6</definedName>
    <definedName name="产业集聚程度" localSheetId="52">[1]定义!$N$1:$N$6</definedName>
    <definedName name="产业集聚程度" localSheetId="23">[1]定义!$N$1:$N$6</definedName>
    <definedName name="产业集聚程度">定义!$N$1:$N$6</definedName>
    <definedName name="车位公共部分装修" localSheetId="50">'[1]不动产比较法-车位'!$B$83:$M$83</definedName>
    <definedName name="车位公共部分装修" localSheetId="51">'[1]不动产比较法-车位'!$B$83:$M$83</definedName>
    <definedName name="车位公共部分装修" localSheetId="49">'[1]不动产比较法-车位'!$B$83:$M$83</definedName>
    <definedName name="车位公共部分装修" localSheetId="53">'[1]不动产比较法-车位'!$B$83:$M$83</definedName>
    <definedName name="车位公共部分装修" localSheetId="55">'[1]不动产比较法-车位'!$B$83:$M$83</definedName>
    <definedName name="车位公共部分装修" localSheetId="52">'[1]不动产比较法-车位'!$B$83:$M$83</definedName>
    <definedName name="车位公共部分装修" localSheetId="23">'[1]不动产比较法-车位'!$B$83:$M$83</definedName>
    <definedName name="车位公共部分装修">'比较法-车位'!$B$83:$M$83</definedName>
    <definedName name="车位交易情况" localSheetId="50">'[1]不动产比较法-车位'!$A$51:$M$51</definedName>
    <definedName name="车位交易情况" localSheetId="51">'[1]不动产比较法-车位'!$A$51:$M$51</definedName>
    <definedName name="车位交易情况" localSheetId="49">'[1]不动产比较法-车位'!$A$51:$M$51</definedName>
    <definedName name="车位交易情况" localSheetId="53">'[1]不动产比较法-车位'!$A$51:$M$51</definedName>
    <definedName name="车位交易情况" localSheetId="55">'[1]不动产比较法-车位'!$A$51:$M$51</definedName>
    <definedName name="车位交易情况" localSheetId="52">'[1]不动产比较法-车位'!$A$51:$M$51</definedName>
    <definedName name="车位交易情况" localSheetId="23">'[1]不动产比较法-车位'!$A$51:$M$51</definedName>
    <definedName name="车位交易情况">'比较法-车位'!$A$51:$M$51</definedName>
    <definedName name="车位类型" localSheetId="50">'[1]不动产比较法-车位'!$B$93:$M$93</definedName>
    <definedName name="车位类型" localSheetId="51">'[1]不动产比较法-车位'!$B$93:$M$93</definedName>
    <definedName name="车位类型" localSheetId="49">'[1]不动产比较法-车位'!$B$93:$M$93</definedName>
    <definedName name="车位类型" localSheetId="53">'[1]不动产比较法-车位'!$B$93:$M$93</definedName>
    <definedName name="车位类型" localSheetId="55">'[1]不动产比较法-车位'!$B$93:$M$93</definedName>
    <definedName name="车位类型" localSheetId="52">'[1]不动产比较法-车位'!$B$93:$M$93</definedName>
    <definedName name="车位类型" localSheetId="23">'[1]不动产比较法-车位'!$B$93:$M$93</definedName>
    <definedName name="车位类型">'比较法-车位'!$B$93:$M$93</definedName>
    <definedName name="车位楼层" localSheetId="50">'[1]不动产比较法-车位'!$B$71:$M$71</definedName>
    <definedName name="车位楼层" localSheetId="51">'[1]不动产比较法-车位'!$B$71:$M$71</definedName>
    <definedName name="车位楼层" localSheetId="49">'[1]不动产比较法-车位'!$B$71:$M$71</definedName>
    <definedName name="车位楼层" localSheetId="53">'[1]不动产比较法-车位'!$B$71:$M$71</definedName>
    <definedName name="车位楼层" localSheetId="55">'[1]不动产比较法-车位'!$B$71:$M$71</definedName>
    <definedName name="车位楼层" localSheetId="52">'[1]不动产比较法-车位'!$B$71:$M$71</definedName>
    <definedName name="车位楼层" localSheetId="23">'[1]不动产比较法-车位'!$B$71:$M$71</definedName>
    <definedName name="车位楼层">'比较法-车位'!$B$71:$M$71</definedName>
    <definedName name="车位配套类型" localSheetId="50">'[1]不动产比较法-车位'!$B$79:$M$79</definedName>
    <definedName name="车位配套类型" localSheetId="51">'[1]不动产比较法-车位'!$B$79:$M$79</definedName>
    <definedName name="车位配套类型" localSheetId="49">'[1]不动产比较法-车位'!$B$79:$M$79</definedName>
    <definedName name="车位配套类型" localSheetId="53">'[1]不动产比较法-车位'!$B$79:$M$79</definedName>
    <definedName name="车位配套类型" localSheetId="55">'[1]不动产比较法-车位'!$B$79:$M$79</definedName>
    <definedName name="车位配套类型" localSheetId="52">'[1]不动产比较法-车位'!$B$79:$M$79</definedName>
    <definedName name="车位配套类型" localSheetId="23">'[1]不动产比较法-车位'!$B$79:$M$79</definedName>
    <definedName name="车位配套类型">'比较法-车位'!$B$79:$M$79</definedName>
    <definedName name="车位物业等级" localSheetId="50">'[1]不动产比较法-车位'!$B$88:$M$88</definedName>
    <definedName name="车位物业等级" localSheetId="51">'[1]不动产比较法-车位'!$B$88:$M$88</definedName>
    <definedName name="车位物业等级" localSheetId="49">'[1]不动产比较法-车位'!$B$88:$M$88</definedName>
    <definedName name="车位物业等级" localSheetId="53">'[1]不动产比较法-车位'!$B$88:$M$88</definedName>
    <definedName name="车位物业等级" localSheetId="55">'[1]不动产比较法-车位'!$B$88:$M$88</definedName>
    <definedName name="车位物业等级" localSheetId="52">'[1]不动产比较法-车位'!$B$88:$M$88</definedName>
    <definedName name="车位物业等级" localSheetId="23">'[1]不动产比较法-车位'!$B$88:$M$88</definedName>
    <definedName name="车位物业等级">'比较法-车位'!$B$88:$M$88</definedName>
    <definedName name="车位用途" localSheetId="50">'[1]不动产比较法-车位'!$B$53:$M$53</definedName>
    <definedName name="车位用途" localSheetId="51">'[1]不动产比较法-车位'!$B$53:$M$53</definedName>
    <definedName name="车位用途" localSheetId="49">'[1]不动产比较法-车位'!$B$53:$M$53</definedName>
    <definedName name="车位用途" localSheetId="53">'[1]不动产比较法-车位'!$B$53:$M$53</definedName>
    <definedName name="车位用途" localSheetId="55">'[1]不动产比较法-车位'!$B$53:$M$53</definedName>
    <definedName name="车位用途" localSheetId="52">'[1]不动产比较法-车位'!$B$53:$M$53</definedName>
    <definedName name="车位用途" localSheetId="23">'[1]不动产比较法-车位'!$B$53:$M$53</definedName>
    <definedName name="车位用途">'比较法-车位'!$B$53:$M$53</definedName>
    <definedName name="城镇土地纳税等级分级范围" localSheetId="50">'[1]数据-取费表'!$A$53:$A$63</definedName>
    <definedName name="城镇土地纳税等级分级范围" localSheetId="51">'[1]数据-取费表'!$A$53:$A$63</definedName>
    <definedName name="城镇土地纳税等级分级范围" localSheetId="49">'[1]数据-取费表'!$A$53:$A$63</definedName>
    <definedName name="城镇土地纳税等级分级范围" localSheetId="53">'[1]数据-取费表'!$A$53:$A$63</definedName>
    <definedName name="城镇土地纳税等级分级范围" localSheetId="55">'[1]数据-取费表'!$A$53:$A$63</definedName>
    <definedName name="城镇土地纳税等级分级范围" localSheetId="52">'[1]数据-取费表'!$A$53:$A$63</definedName>
    <definedName name="城镇土地纳税等级分级范围" localSheetId="23">'[1]数据-取费表'!$A$53:$A$63</definedName>
    <definedName name="城镇土地纳税等级分级范围">'数据-取费表'!$A$53:$A$63</definedName>
    <definedName name="单价内涵" localSheetId="50">[1]定义!$V$1:$V$3</definedName>
    <definedName name="单价内涵" localSheetId="51">[1]定义!$V$1:$V$3</definedName>
    <definedName name="单价内涵" localSheetId="49">[1]定义!$V$1:$V$3</definedName>
    <definedName name="单价内涵" localSheetId="53">[1]定义!$V$1:$V$3</definedName>
    <definedName name="单价内涵" localSheetId="55">[1]定义!$V$1:$V$3</definedName>
    <definedName name="单价内涵" localSheetId="52">[1]定义!$V$1:$V$3</definedName>
    <definedName name="单价内涵" localSheetId="23">[1]定义!$V$1:$V$3</definedName>
    <definedName name="单价内涵">定义!$V$1:$V$3</definedName>
    <definedName name="地类判定" localSheetId="50">[1]定义!$H$1:$H$9</definedName>
    <definedName name="地类判定" localSheetId="51">[1]定义!$H$1:$H$9</definedName>
    <definedName name="地类判定" localSheetId="49">[1]定义!$H$1:$H$9</definedName>
    <definedName name="地类判定" localSheetId="53">[1]定义!$H$1:$H$9</definedName>
    <definedName name="地类判定" localSheetId="55">[1]定义!$H$1:$H$9</definedName>
    <definedName name="地类判定" localSheetId="52">[1]定义!$H$1:$H$9</definedName>
    <definedName name="地类判定" localSheetId="23">[1]定义!$H$1:$H$9</definedName>
    <definedName name="地类判定">定义!$H$1:$H$9</definedName>
    <definedName name="二级">区片价!$J$1:$J$21</definedName>
    <definedName name="二级分类" localSheetId="50">[1]修正!$C$19:$C$51</definedName>
    <definedName name="二级分类" localSheetId="51">[1]修正!$C$19:$C$51</definedName>
    <definedName name="二级分类" localSheetId="49">[1]修正!$C$19:$C$51</definedName>
    <definedName name="二级分类" localSheetId="53">[1]修正!$C$19:$C$51</definedName>
    <definedName name="二级分类" localSheetId="55">[1]修正!$C$19:$C$51</definedName>
    <definedName name="二级分类" localSheetId="52">[1]修正!$C$19:$C$51</definedName>
    <definedName name="二级分类" localSheetId="23">[1]修正!$C$19:$C$51</definedName>
    <definedName name="二级分类">修正!$C$19:$C$51</definedName>
    <definedName name="法定最高年限" localSheetId="50">[1]定义!$G$2:$G$5</definedName>
    <definedName name="法定最高年限" localSheetId="51">[1]定义!$G$2:$G$5</definedName>
    <definedName name="法定最高年限" localSheetId="49">[1]定义!$G$2:$G$5</definedName>
    <definedName name="法定最高年限" localSheetId="53">[1]定义!$G$2:$G$5</definedName>
    <definedName name="法定最高年限" localSheetId="55">[1]定义!$G$2:$G$5</definedName>
    <definedName name="法定最高年限" localSheetId="52">[1]定义!$G$2:$G$5</definedName>
    <definedName name="法定最高年限" localSheetId="23">[1]定义!$G$2:$G$5</definedName>
    <definedName name="法定最高年限">定义!$G$1:$G$6</definedName>
    <definedName name="工业公共部分装修" localSheetId="50">'[1]不动产比较法-工业'!$B$95:$M$95</definedName>
    <definedName name="工业公共部分装修" localSheetId="51">'[1]不动产比较法-工业'!$B$95:$M$95</definedName>
    <definedName name="工业公共部分装修" localSheetId="49">'[1]不动产比较法-工业'!$B$95:$M$95</definedName>
    <definedName name="工业公共部分装修" localSheetId="53">'[1]不动产比较法-工业'!$B$95:$M$95</definedName>
    <definedName name="工业公共部分装修" localSheetId="55">'[1]不动产比较法-工业'!$B$95:$M$95</definedName>
    <definedName name="工业公共部分装修" localSheetId="52">'[1]不动产比较法-工业'!$B$95:$M$95</definedName>
    <definedName name="工业公共部分装修" localSheetId="23">'[1]不动产比较法-工业'!$B$95:$M$95</definedName>
    <definedName name="工业公共部分装修">'比较法-工业'!$B$95:$M$95</definedName>
    <definedName name="工业基础设施水平" localSheetId="50">'[1]不动产比较法-工业'!$B$102:$M$102</definedName>
    <definedName name="工业基础设施水平" localSheetId="51">'[1]不动产比较法-工业'!$B$102:$M$102</definedName>
    <definedName name="工业基础设施水平" localSheetId="49">'[1]不动产比较法-工业'!$B$102:$M$102</definedName>
    <definedName name="工业基础设施水平" localSheetId="53">'[1]不动产比较法-工业'!$B$102:$M$102</definedName>
    <definedName name="工业基础设施水平" localSheetId="55">'[1]不动产比较法-工业'!$B$102:$M$102</definedName>
    <definedName name="工业基础设施水平" localSheetId="52">'[1]不动产比较法-工业'!$B$102:$M$102</definedName>
    <definedName name="工业基础设施水平" localSheetId="23">'[1]不动产比较法-工业'!$B$102:$M$102</definedName>
    <definedName name="工业基础设施水平">'比较法-工业'!$B$102:$M$102</definedName>
    <definedName name="工业建筑结构" localSheetId="50">'[1]不动产比较法-工业'!$B$93:$M$93</definedName>
    <definedName name="工业建筑结构" localSheetId="51">'[1]不动产比较法-工业'!$B$93:$M$93</definedName>
    <definedName name="工业建筑结构" localSheetId="49">'[1]不动产比较法-工业'!$B$93:$M$93</definedName>
    <definedName name="工业建筑结构" localSheetId="53">'[1]不动产比较法-工业'!$B$93:$M$93</definedName>
    <definedName name="工业建筑结构" localSheetId="55">'[1]不动产比较法-工业'!$B$93:$M$93</definedName>
    <definedName name="工业建筑结构" localSheetId="52">'[1]不动产比较法-工业'!$B$93:$M$93</definedName>
    <definedName name="工业建筑结构" localSheetId="23">'[1]不动产比较法-工业'!$B$93:$M$93</definedName>
    <definedName name="工业建筑结构">'比较法-工业'!$B$93:$M$93</definedName>
    <definedName name="工业建筑类型" localSheetId="50">'[1]不动产比较法-工业'!$B$88:$M$88</definedName>
    <definedName name="工业建筑类型" localSheetId="51">'[1]不动产比较法-工业'!$B$88:$M$88</definedName>
    <definedName name="工业建筑类型" localSheetId="49">'[1]不动产比较法-工业'!$B$88:$M$88</definedName>
    <definedName name="工业建筑类型" localSheetId="53">'[1]不动产比较法-工业'!$B$88:$M$88</definedName>
    <definedName name="工业建筑类型" localSheetId="55">'[1]不动产比较法-工业'!$B$88:$M$88</definedName>
    <definedName name="工业建筑类型" localSheetId="52">'[1]不动产比较法-工业'!$B$88:$M$88</definedName>
    <definedName name="工业建筑类型" localSheetId="23">'[1]不动产比较法-工业'!$B$88:$M$88</definedName>
    <definedName name="工业建筑类型">'比较法-工业'!$B$88:$M$88</definedName>
    <definedName name="工业交易情况" localSheetId="50">'[1]不动产比较法-工业'!$A$55:$M$55</definedName>
    <definedName name="工业交易情况" localSheetId="51">'[1]不动产比较法-工业'!$A$55:$M$55</definedName>
    <definedName name="工业交易情况" localSheetId="49">'[1]不动产比较法-工业'!$A$55:$M$55</definedName>
    <definedName name="工业交易情况" localSheetId="53">'[1]不动产比较法-工业'!$A$55:$M$55</definedName>
    <definedName name="工业交易情况" localSheetId="55">'[1]不动产比较法-工业'!$A$55:$M$55</definedName>
    <definedName name="工业交易情况" localSheetId="52">'[1]不动产比较法-工业'!$A$55:$M$55</definedName>
    <definedName name="工业交易情况" localSheetId="23">'[1]不动产比较法-工业'!$A$55:$M$55</definedName>
    <definedName name="工业交易情况">'比较法-工业'!$A$55:$M$55</definedName>
    <definedName name="工业内部装修" localSheetId="50">'[1]不动产比较法-工业'!$B$104:$M$104</definedName>
    <definedName name="工业内部装修" localSheetId="51">'[1]不动产比较法-工业'!$B$104:$M$104</definedName>
    <definedName name="工业内部装修" localSheetId="49">'[1]不动产比较法-工业'!$B$104:$M$104</definedName>
    <definedName name="工业内部装修" localSheetId="53">'[1]不动产比较法-工业'!$B$104:$M$104</definedName>
    <definedName name="工业内部装修" localSheetId="55">'[1]不动产比较法-工业'!$B$104:$M$104</definedName>
    <definedName name="工业内部装修" localSheetId="52">'[1]不动产比较法-工业'!$B$104:$M$104</definedName>
    <definedName name="工业内部装修" localSheetId="23">'[1]不动产比较法-工业'!$B$104:$M$104</definedName>
    <definedName name="工业内部装修">'比较法-工业'!$B$104:$M$104</definedName>
    <definedName name="工业物业管理" localSheetId="50">'[1]不动产比较法-工业'!$B$100:$M$100</definedName>
    <definedName name="工业物业管理" localSheetId="51">'[1]不动产比较法-工业'!$B$100:$M$100</definedName>
    <definedName name="工业物业管理" localSheetId="49">'[1]不动产比较法-工业'!$B$100:$M$100</definedName>
    <definedName name="工业物业管理" localSheetId="53">'[1]不动产比较法-工业'!$B$100:$M$100</definedName>
    <definedName name="工业物业管理" localSheetId="55">'[1]不动产比较法-工业'!$B$100:$M$100</definedName>
    <definedName name="工业物业管理" localSheetId="52">'[1]不动产比较法-工业'!$B$100:$M$100</definedName>
    <definedName name="工业物业管理" localSheetId="23">'[1]不动产比较法-工业'!$B$100:$M$100</definedName>
    <definedName name="工业物业管理">'比较法-工业'!$B$100:$M$100</definedName>
    <definedName name="工业用途" localSheetId="50">'[1]不动产比较法-工业'!$B$57:$M$57</definedName>
    <definedName name="工业用途" localSheetId="51">'[1]不动产比较法-工业'!$B$57:$M$57</definedName>
    <definedName name="工业用途" localSheetId="49">'[1]不动产比较法-工业'!$B$57:$M$57</definedName>
    <definedName name="工业用途" localSheetId="53">'[1]不动产比较法-工业'!$B$57:$M$57</definedName>
    <definedName name="工业用途" localSheetId="55">'[1]不动产比较法-工业'!$B$57:$M$57</definedName>
    <definedName name="工业用途" localSheetId="52">'[1]不动产比较法-工业'!$B$57:$M$57</definedName>
    <definedName name="工业用途" localSheetId="23">'[1]不动产比较法-工业'!$B$57:$M$57</definedName>
    <definedName name="工业用途">'比较法-工业'!$B$57:$M$57</definedName>
    <definedName name="公共配套设施" localSheetId="50">[1]定义!$Q$1:$Q$6</definedName>
    <definedName name="公共配套设施" localSheetId="51">[1]定义!$Q$1:$Q$6</definedName>
    <definedName name="公共配套设施" localSheetId="49">[1]定义!$Q$1:$Q$6</definedName>
    <definedName name="公共配套设施" localSheetId="53">[1]定义!$Q$1:$Q$6</definedName>
    <definedName name="公共配套设施" localSheetId="55">[1]定义!$Q$1:$Q$6</definedName>
    <definedName name="公共配套设施" localSheetId="52">[1]定义!$Q$1:$Q$6</definedName>
    <definedName name="公共配套设施" localSheetId="23">[1]定义!$Q$1:$Q$6</definedName>
    <definedName name="公共配套设施">定义!$Q$1:$Q$6</definedName>
    <definedName name="估价范围判定" localSheetId="50">[1]定义!$D$1:$D$4</definedName>
    <definedName name="估价范围判定" localSheetId="51">[1]定义!$D$1:$D$4</definedName>
    <definedName name="估价范围判定" localSheetId="49">[1]定义!$D$1:$D$4</definedName>
    <definedName name="估价范围判定" localSheetId="53">[1]定义!$D$1:$D$4</definedName>
    <definedName name="估价范围判定" localSheetId="55">[1]定义!$D$1:$D$4</definedName>
    <definedName name="估价范围判定" localSheetId="52">[1]定义!$D$1:$D$4</definedName>
    <definedName name="估价范围判定" localSheetId="23">[1]定义!$D$1:$D$4</definedName>
    <definedName name="估价范围判定">定义!$D$1:$D$4</definedName>
    <definedName name="估价方法" localSheetId="50">[1]定义!$B$1:$B$50</definedName>
    <definedName name="估价方法" localSheetId="51">[1]定义!$B$1:$B$50</definedName>
    <definedName name="估价方法" localSheetId="49">[1]定义!$B$1:$B$50</definedName>
    <definedName name="估价方法" localSheetId="53">[1]定义!$B$1:$B$50</definedName>
    <definedName name="估价方法" localSheetId="55">[1]定义!$B$1:$B$50</definedName>
    <definedName name="估价方法" localSheetId="52">[1]定义!$B$1:$B$50</definedName>
    <definedName name="估价方法" localSheetId="23">[1]定义!$B$1:$B$50</definedName>
    <definedName name="估价方法">定义!$B$1:$B$50</definedName>
    <definedName name="环境" localSheetId="50">[1]定义!$S$1:$S$6</definedName>
    <definedName name="环境" localSheetId="51">[1]定义!$S$1:$S$6</definedName>
    <definedName name="环境" localSheetId="49">[1]定义!$S$1:$S$6</definedName>
    <definedName name="环境" localSheetId="53">[1]定义!$S$1:$S$6</definedName>
    <definedName name="环境" localSheetId="55">[1]定义!$S$1:$S$6</definedName>
    <definedName name="环境" localSheetId="52">[1]定义!$S$1:$S$6</definedName>
    <definedName name="环境" localSheetId="23">[1]定义!$S$1:$S$6</definedName>
    <definedName name="环境">定义!$S$1:$S$6</definedName>
    <definedName name="基础设施水平" localSheetId="50">[1]定义!$R$1:$R$6</definedName>
    <definedName name="基础设施水平" localSheetId="51">[1]定义!$R$1:$R$6</definedName>
    <definedName name="基础设施水平" localSheetId="49">[1]定义!$R$1:$R$6</definedName>
    <definedName name="基础设施水平" localSheetId="53">[1]定义!$R$1:$R$6</definedName>
    <definedName name="基础设施水平" localSheetId="55">[1]定义!$R$1:$R$6</definedName>
    <definedName name="基础设施水平" localSheetId="52">[1]定义!$R$1:$R$6</definedName>
    <definedName name="基础设施水平" localSheetId="23">[1]定义!$R$1:$R$6</definedName>
    <definedName name="基础设施水平">定义!$R$1:$R$6</definedName>
    <definedName name="季度">基准地价修正!$Q$19:$AD$19</definedName>
    <definedName name="价值类型2" localSheetId="50">[1]定义!$B$54:$B$56</definedName>
    <definedName name="价值类型2" localSheetId="51">[1]定义!$B$54:$B$56</definedName>
    <definedName name="价值类型2" localSheetId="49">[1]定义!$B$54:$B$56</definedName>
    <definedName name="价值类型2" localSheetId="53">[1]定义!$B$54:$B$56</definedName>
    <definedName name="价值类型2" localSheetId="55">[1]定义!$B$54:$B$56</definedName>
    <definedName name="价值类型2" localSheetId="52">[1]定义!$B$54:$B$56</definedName>
    <definedName name="价值类型2" localSheetId="23">[1]定义!$B$54:$B$56</definedName>
    <definedName name="价值类型2">定义!$B$54:$B$56</definedName>
    <definedName name="交通便捷度" localSheetId="50">[1]定义!$O$1:$O$6</definedName>
    <definedName name="交通便捷度" localSheetId="51">[1]定义!$O$1:$O$6</definedName>
    <definedName name="交通便捷度" localSheetId="49">[1]定义!$O$1:$O$6</definedName>
    <definedName name="交通便捷度" localSheetId="53">[1]定义!$O$1:$O$6</definedName>
    <definedName name="交通便捷度" localSheetId="55">[1]定义!$O$1:$O$6</definedName>
    <definedName name="交通便捷度" localSheetId="52">[1]定义!$O$1:$O$6</definedName>
    <definedName name="交通便捷度" localSheetId="23">[1]定义!$O$1:$O$6</definedName>
    <definedName name="交通便捷度">定义!$O$1:$O$6</definedName>
    <definedName name="九级">区片价!$Q$1:$Q$51</definedName>
    <definedName name="居住社区成熟度" localSheetId="50">[1]定义!$K$1:$K$6</definedName>
    <definedName name="居住社区成熟度" localSheetId="51">[1]定义!$K$1:$K$6</definedName>
    <definedName name="居住社区成熟度" localSheetId="49">[1]定义!$K$1:$K$6</definedName>
    <definedName name="居住社区成熟度" localSheetId="53">[1]定义!$K$1:$K$6</definedName>
    <definedName name="居住社区成熟度" localSheetId="55">[1]定义!$K$1:$K$6</definedName>
    <definedName name="居住社区成熟度" localSheetId="52">[1]定义!$K$1:$K$6</definedName>
    <definedName name="居住社区成熟度" localSheetId="23">[1]定义!$K$1:$K$6</definedName>
    <definedName name="居住社区成熟度">定义!$K$1:$K$6</definedName>
    <definedName name="类别" localSheetId="50">[1]定义!$J$1:$J$3</definedName>
    <definedName name="类别" localSheetId="51">[1]定义!$J$1:$J$3</definedName>
    <definedName name="类别" localSheetId="49">[1]定义!$J$1:$J$3</definedName>
    <definedName name="类别" localSheetId="53">[1]定义!$J$1:$J$3</definedName>
    <definedName name="类别" localSheetId="55">[1]定义!$J$1:$J$3</definedName>
    <definedName name="类别" localSheetId="52">[1]定义!$J$1:$J$3</definedName>
    <definedName name="类别" localSheetId="23">[1]定义!$J$1:$J$3</definedName>
    <definedName name="类别">定义!$J$1:$J$3</definedName>
    <definedName name="临街状况" localSheetId="50">[1]定义!$T$1:$T$5</definedName>
    <definedName name="临街状况" localSheetId="51">[1]定义!$T$1:$T$5</definedName>
    <definedName name="临街状况" localSheetId="49">[1]定义!$T$1:$T$5</definedName>
    <definedName name="临街状况" localSheetId="53">[1]定义!$T$1:$T$5</definedName>
    <definedName name="临街状况" localSheetId="55">[1]定义!$T$1:$T$5</definedName>
    <definedName name="临街状况" localSheetId="52">[1]定义!$T$1:$T$5</definedName>
    <definedName name="临街状况" localSheetId="23">[1]定义!$T$1:$T$5</definedName>
    <definedName name="临街状况">定义!$T$1:$T$5</definedName>
    <definedName name="六级">区片价!$N$1:$N$64</definedName>
    <definedName name="内部装修维护情况" localSheetId="50">[1]定义!$U$1:$U$6</definedName>
    <definedName name="内部装修维护情况" localSheetId="51">[1]定义!$U$1:$U$6</definedName>
    <definedName name="内部装修维护情况" localSheetId="49">[1]定义!$U$1:$U$6</definedName>
    <definedName name="内部装修维护情况" localSheetId="53">[1]定义!$U$1:$U$6</definedName>
    <definedName name="内部装修维护情况" localSheetId="55">[1]定义!$U$1:$U$6</definedName>
    <definedName name="内部装修维护情况" localSheetId="52">[1]定义!$U$1:$U$6</definedName>
    <definedName name="内部装修维护情况" localSheetId="23">[1]定义!$U$1:$U$6</definedName>
    <definedName name="内部装修维护情况">定义!$U$1:$U$6</definedName>
    <definedName name="七级">区片价!$O$1:$O$45</definedName>
    <definedName name="七通一平" localSheetId="50">[1]修正!$A$8:$A$16</definedName>
    <definedName name="七通一平" localSheetId="51">[1]修正!$A$8:$A$16</definedName>
    <definedName name="七通一平" localSheetId="49">[1]修正!$A$8:$A$16</definedName>
    <definedName name="七通一平" localSheetId="53">[1]修正!$A$8:$A$16</definedName>
    <definedName name="七通一平" localSheetId="55">[1]修正!$A$8:$A$16</definedName>
    <definedName name="七通一平" localSheetId="52">[1]修正!$A$8:$A$16</definedName>
    <definedName name="七通一平" localSheetId="23">[1]修正!$A$8:$A$16</definedName>
    <definedName name="七通一平">修正!$A$8:$A$16</definedName>
    <definedName name="区域土地利用方向" localSheetId="50">[1]定义!$P$1:$P$6</definedName>
    <definedName name="区域土地利用方向" localSheetId="51">[1]定义!$P$1:$P$6</definedName>
    <definedName name="区域土地利用方向" localSheetId="49">[1]定义!$P$1:$P$6</definedName>
    <definedName name="区域土地利用方向" localSheetId="53">[1]定义!$P$1:$P$6</definedName>
    <definedName name="区域土地利用方向" localSheetId="55">[1]定义!$P$1:$P$6</definedName>
    <definedName name="区域土地利用方向" localSheetId="52">[1]定义!$P$1:$P$6</definedName>
    <definedName name="区域土地利用方向" localSheetId="23">[1]定义!$P$1:$P$6</definedName>
    <definedName name="区域土地利用方向">定义!$P$1:$P$6</definedName>
    <definedName name="三级">区片价!$K$1:$K$26</definedName>
    <definedName name="商业层高" localSheetId="50">'[1]不动产比较法-商业'!$B$116:$M$116</definedName>
    <definedName name="商业层高" localSheetId="51">'[1]不动产比较法-商业'!$B$116:$M$116</definedName>
    <definedName name="商业层高" localSheetId="49">'[1]不动产比较法-商业'!$B$116:$M$116</definedName>
    <definedName name="商业层高" localSheetId="53">'[1]不动产比较法-商业'!$B$116:$M$116</definedName>
    <definedName name="商业层高" localSheetId="55">'[1]不动产比较法-商业'!$B$116:$M$116</definedName>
    <definedName name="商业层高" localSheetId="52">'[1]不动产比较法-商业'!$B$116:$M$116</definedName>
    <definedName name="商业层高" localSheetId="23">'[1]不动产比较法-商业'!$B$116:$M$116</definedName>
    <definedName name="商业层高">'比较法-商业'!$B$116:$M$116</definedName>
    <definedName name="商业成新度">'比较法-商业'!$B$109:$M$109</definedName>
    <definedName name="商业繁华度" localSheetId="50">[1]定义!$L$1:$L$6</definedName>
    <definedName name="商业繁华度" localSheetId="51">[1]定义!$L$1:$L$6</definedName>
    <definedName name="商业繁华度" localSheetId="49">[1]定义!$L$1:$L$6</definedName>
    <definedName name="商业繁华度" localSheetId="53">[1]定义!$L$1:$L$6</definedName>
    <definedName name="商业繁华度" localSheetId="55">[1]定义!$L$1:$L$6</definedName>
    <definedName name="商业繁华度" localSheetId="52">[1]定义!$L$1:$L$6</definedName>
    <definedName name="商业繁华度" localSheetId="23">[1]定义!$L$1:$L$6</definedName>
    <definedName name="商业繁华度">定义!$L$1:$L$6</definedName>
    <definedName name="商业公共部分装修" localSheetId="50">'[1]不动产比较法-商业'!$B$107:$M$107</definedName>
    <definedName name="商业公共部分装修" localSheetId="51">'[1]不动产比较法-商业'!$B$107:$M$107</definedName>
    <definedName name="商业公共部分装修" localSheetId="49">'[1]不动产比较法-商业'!$B$107:$M$107</definedName>
    <definedName name="商业公共部分装修" localSheetId="53">'[1]不动产比较法-商业'!$B$107:$M$107</definedName>
    <definedName name="商业公共部分装修" localSheetId="55">'[1]不动产比较法-商业'!$B$107:$M$107</definedName>
    <definedName name="商业公共部分装修" localSheetId="52">'[1]不动产比较法-商业'!$B$107:$M$107</definedName>
    <definedName name="商业公共部分装修" localSheetId="23">'[1]不动产比较法-商业'!$B$107:$M$107</definedName>
    <definedName name="商业公共部分装修">'比较法-商业'!$B$107:$M$107</definedName>
    <definedName name="商业基础设施水平" localSheetId="50">'[1]不动产比较法-商业'!$B$112:$M$112</definedName>
    <definedName name="商业基础设施水平" localSheetId="51">'[1]不动产比较法-商业'!$B$112:$M$112</definedName>
    <definedName name="商业基础设施水平" localSheetId="49">'[1]不动产比较法-商业'!$B$112:$M$112</definedName>
    <definedName name="商业基础设施水平" localSheetId="53">'[1]不动产比较法-商业'!$B$112:$M$112</definedName>
    <definedName name="商业基础设施水平" localSheetId="55">'[1]不动产比较法-商业'!$B$112:$M$112</definedName>
    <definedName name="商业基础设施水平" localSheetId="52">'[1]不动产比较法-商业'!$B$112:$M$112</definedName>
    <definedName name="商业基础设施水平" localSheetId="23">'[1]不动产比较法-商业'!$B$112:$M$112</definedName>
    <definedName name="商业基础设施水平">'比较法-商业'!$B$112:$M$112</definedName>
    <definedName name="商业建筑结构" localSheetId="50">'[1]不动产比较法-商业'!$B$105:$M$105</definedName>
    <definedName name="商业建筑结构" localSheetId="51">'[1]不动产比较法-商业'!$B$105:$M$105</definedName>
    <definedName name="商业建筑结构" localSheetId="49">'[1]不动产比较法-商业'!$B$105:$M$105</definedName>
    <definedName name="商业建筑结构" localSheetId="53">'[1]不动产比较法-商业'!$B$105:$M$105</definedName>
    <definedName name="商业建筑结构" localSheetId="55">'[1]不动产比较法-商业'!$B$105:$M$105</definedName>
    <definedName name="商业建筑结构" localSheetId="52">'[1]不动产比较法-商业'!$B$105:$M$105</definedName>
    <definedName name="商业建筑结构" localSheetId="23">'[1]不动产比较法-商业'!$B$105:$M$105</definedName>
    <definedName name="商业建筑结构">'比较法-商业'!$B$105:$M$105</definedName>
    <definedName name="商业交易情况" localSheetId="50">'[1]不动产比较法-商业'!$A$61:$M$61</definedName>
    <definedName name="商业交易情况" localSheetId="51">'[1]不动产比较法-商业'!$A$61:$M$61</definedName>
    <definedName name="商业交易情况" localSheetId="49">'[1]不动产比较法-商业'!$A$61:$M$61</definedName>
    <definedName name="商业交易情况" localSheetId="53">'[1]不动产比较法-商业'!$A$61:$M$61</definedName>
    <definedName name="商业交易情况" localSheetId="55">'[1]不动产比较法-商业'!$A$61:$M$61</definedName>
    <definedName name="商业交易情况" localSheetId="52">'[1]不动产比较法-商业'!$A$61:$M$61</definedName>
    <definedName name="商业交易情况" localSheetId="23">'[1]不动产比较法-商业'!$A$61:$M$61</definedName>
    <definedName name="商业交易情况">'比较法-商业'!$A$61:$M$61</definedName>
    <definedName name="商业街名称" localSheetId="50">[1]修正!$C$71:$C$139</definedName>
    <definedName name="商业街名称" localSheetId="51">[1]修正!$C$71:$C$139</definedName>
    <definedName name="商业街名称" localSheetId="49">[1]修正!$C$71:$C$139</definedName>
    <definedName name="商业街名称" localSheetId="53">[1]修正!$C$71:$C$139</definedName>
    <definedName name="商业街名称" localSheetId="55">[1]修正!$C$71:$C$139</definedName>
    <definedName name="商业街名称" localSheetId="52">[1]修正!$C$71:$C$139</definedName>
    <definedName name="商业街名称" localSheetId="23">[1]修正!$C$71:$C$139</definedName>
    <definedName name="商业街名称">修正!$C$71:$C$138</definedName>
    <definedName name="商业进深比" localSheetId="50">'[1]不动产比较法-商业'!$B$120:$M$120</definedName>
    <definedName name="商业进深比" localSheetId="51">'[1]不动产比较法-商业'!$B$120:$M$120</definedName>
    <definedName name="商业进深比" localSheetId="49">'[1]不动产比较法-商业'!$B$120:$M$120</definedName>
    <definedName name="商业进深比" localSheetId="53">'[1]不动产比较法-商业'!$B$120:$M$120</definedName>
    <definedName name="商业进深比" localSheetId="55">'[1]不动产比较法-商业'!$B$120:$M$120</definedName>
    <definedName name="商业进深比" localSheetId="52">'[1]不动产比较法-商业'!$B$120:$M$120</definedName>
    <definedName name="商业进深比" localSheetId="23">'[1]不动产比较法-商业'!$B$120:$M$120</definedName>
    <definedName name="商业进深比">'比较法-商业'!$B$120:$M$120</definedName>
    <definedName name="商业类型" localSheetId="50">'[1]不动产比较法-商业'!$B$100:$M$100</definedName>
    <definedName name="商业类型" localSheetId="51">'[1]不动产比较法-商业'!$B$100:$M$100</definedName>
    <definedName name="商业类型" localSheetId="49">'[1]不动产比较法-商业'!$B$100:$M$100</definedName>
    <definedName name="商业类型" localSheetId="53">'[1]不动产比较法-商业'!$B$100:$M$100</definedName>
    <definedName name="商业类型" localSheetId="55">'[1]不动产比较法-商业'!$B$100:$M$100</definedName>
    <definedName name="商业类型" localSheetId="52">'[1]不动产比较法-商业'!$B$100:$M$100</definedName>
    <definedName name="商业类型" localSheetId="23">'[1]不动产比较法-商业'!$B$100:$M$100</definedName>
    <definedName name="商业类型">'比较法-商业'!$B$100:$M$100</definedName>
    <definedName name="商业临街状况" localSheetId="50">'[1]不动产比较法-商业'!$B$86:$M$86</definedName>
    <definedName name="商业临街状况" localSheetId="51">'[1]不动产比较法-商业'!$B$86:$M$86</definedName>
    <definedName name="商业临街状况" localSheetId="49">'[1]不动产比较法-商业'!$B$86:$M$86</definedName>
    <definedName name="商业临街状况" localSheetId="53">'[1]不动产比较法-商业'!$B$86:$M$86</definedName>
    <definedName name="商业临街状况" localSheetId="55">'[1]不动产比较法-商业'!$B$86:$M$86</definedName>
    <definedName name="商业临街状况" localSheetId="52">'[1]不动产比较法-商业'!$B$86:$M$86</definedName>
    <definedName name="商业临街状况" localSheetId="23">'[1]不动产比较法-商业'!$B$86:$M$86</definedName>
    <definedName name="商业临街状况">'比较法-商业'!$B$86:$M$86</definedName>
    <definedName name="商业楼层" localSheetId="50">'[1]不动产比较法-商业'!$B$92:$M$92</definedName>
    <definedName name="商业楼层" localSheetId="51">'[1]不动产比较法-商业'!$B$92:$M$92</definedName>
    <definedName name="商业楼层" localSheetId="49">'[1]不动产比较法-商业'!$B$92:$M$92</definedName>
    <definedName name="商业楼层" localSheetId="53">'[1]不动产比较法-商业'!$B$92:$M$92</definedName>
    <definedName name="商业楼层" localSheetId="55">'[1]不动产比较法-商业'!$B$92:$M$92</definedName>
    <definedName name="商业楼层" localSheetId="52">'[1]不动产比较法-商业'!$B$92:$M$92</definedName>
    <definedName name="商业楼层" localSheetId="23">'[1]不动产比较法-商业'!$B$92:$M$92</definedName>
    <definedName name="商业楼层">'比较法-商业'!$B$92:$M$92</definedName>
    <definedName name="商业内部装修" localSheetId="50">'[1]不动产比较法-商业'!$B$122:$M$122</definedName>
    <definedName name="商业内部装修" localSheetId="51">'[1]不动产比较法-商业'!$B$122:$M$122</definedName>
    <definedName name="商业内部装修" localSheetId="49">'[1]不动产比较法-商业'!$B$122:$M$122</definedName>
    <definedName name="商业内部装修" localSheetId="53">'[1]不动产比较法-商业'!$B$122:$M$122</definedName>
    <definedName name="商业内部装修" localSheetId="55">'[1]不动产比较法-商业'!$B$122:$M$122</definedName>
    <definedName name="商业内部装修" localSheetId="52">'[1]不动产比较法-商业'!$B$122:$M$122</definedName>
    <definedName name="商业内部装修" localSheetId="23">'[1]不动产比较法-商业'!$B$122:$M$122</definedName>
    <definedName name="商业内部装修">'比较法-商业'!$B$122:$M$122</definedName>
    <definedName name="商业人流量" localSheetId="50">'[1]不动产比较法-商业'!$B$90:$M$90</definedName>
    <definedName name="商业人流量" localSheetId="51">'[1]不动产比较法-商业'!$B$90:$M$90</definedName>
    <definedName name="商业人流量" localSheetId="49">'[1]不动产比较法-商业'!$B$90:$M$90</definedName>
    <definedName name="商业人流量" localSheetId="53">'[1]不动产比较法-商业'!$B$90:$M$90</definedName>
    <definedName name="商业人流量" localSheetId="55">'[1]不动产比较法-商业'!$B$90:$M$90</definedName>
    <definedName name="商业人流量" localSheetId="52">'[1]不动产比较法-商业'!$B$90:$M$90</definedName>
    <definedName name="商业人流量" localSheetId="23">'[1]不动产比较法-商业'!$B$90:$M$90</definedName>
    <definedName name="商业人流量">'比较法-商业'!$B$90:$M$90</definedName>
    <definedName name="商业业态" localSheetId="50">'[1]不动产比较法-商业'!$B$114:$M$114</definedName>
    <definedName name="商业业态" localSheetId="51">'[1]不动产比较法-商业'!$B$114:$M$114</definedName>
    <definedName name="商业业态" localSheetId="49">'[1]不动产比较法-商业'!$B$114:$M$114</definedName>
    <definedName name="商业业态" localSheetId="53">'[1]不动产比较法-商业'!$B$114:$M$114</definedName>
    <definedName name="商业业态" localSheetId="55">'[1]不动产比较法-商业'!$B$114:$M$114</definedName>
    <definedName name="商业业态" localSheetId="52">'[1]不动产比较法-商业'!$B$114:$M$114</definedName>
    <definedName name="商业业态" localSheetId="23">'[1]不动产比较法-商业'!$B$114:$M$114</definedName>
    <definedName name="商业业态">'比较法-商业'!$B$114:$M$114</definedName>
    <definedName name="商业用途" localSheetId="50">'[1]不动产比较法-商业'!$B$63:$M$63</definedName>
    <definedName name="商业用途" localSheetId="51">'[1]不动产比较法-商业'!$B$63:$M$63</definedName>
    <definedName name="商业用途" localSheetId="49">'[1]不动产比较法-商业'!$B$63:$M$63</definedName>
    <definedName name="商业用途" localSheetId="53">'[1]不动产比较法-商业'!$B$63:$M$63</definedName>
    <definedName name="商业用途" localSheetId="55">'[1]不动产比较法-商业'!$B$63:$M$63</definedName>
    <definedName name="商业用途" localSheetId="52">'[1]不动产比较法-商业'!$B$63:$M$63</definedName>
    <definedName name="商业用途" localSheetId="2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'[1]不动产比较法-仓储'!$B$89:$M$89</definedName>
    <definedName name="是否封闭" localSheetId="51">'[1]不动产比较法-仓储'!$B$89:$M$89</definedName>
    <definedName name="是否封闭" localSheetId="49">'[1]不动产比较法-仓储'!$B$89:$M$89</definedName>
    <definedName name="是否封闭" localSheetId="53">'[1]不动产比较法-仓储'!$B$89:$M$89</definedName>
    <definedName name="是否封闭" localSheetId="55">'[1]不动产比较法-仓储'!$B$89:$M$89</definedName>
    <definedName name="是否封闭" localSheetId="52">'[1]不动产比较法-仓储'!$B$89:$M$89</definedName>
    <definedName name="是否封闭" localSheetId="23">'[1]不动产比较法-仓储'!$B$89:$M$89</definedName>
    <definedName name="是否封闭">'比较法-仓储'!$B$89:$M$89</definedName>
    <definedName name="是否直接入户" localSheetId="50">'[1]不动产比较法-车位'!$B$95:$M$95</definedName>
    <definedName name="是否直接入户" localSheetId="51">'[1]不动产比较法-车位'!$B$95:$M$95</definedName>
    <definedName name="是否直接入户" localSheetId="49">'[1]不动产比较法-车位'!$B$95:$M$95</definedName>
    <definedName name="是否直接入户" localSheetId="53">'[1]不动产比较法-车位'!$B$95:$M$95</definedName>
    <definedName name="是否直接入户" localSheetId="55">'[1]不动产比较法-车位'!$B$95:$M$95</definedName>
    <definedName name="是否直接入户" localSheetId="52">'[1]不动产比较法-车位'!$B$95:$M$95</definedName>
    <definedName name="是否直接入户" localSheetId="23">'[1]不动产比较法-车位'!$B$95:$M$95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50">'[1]比较法-住宅、综合'!$A$74:$M$74</definedName>
    <definedName name="套工交易情况" localSheetId="51">'[1]比较法-住宅、综合'!$A$74:$M$74</definedName>
    <definedName name="套工交易情况" localSheetId="49">'[1]比较法-住宅、综合'!$A$74:$M$74</definedName>
    <definedName name="套工交易情况" localSheetId="53">'[1]比较法-住宅、综合'!$A$74:$M$74</definedName>
    <definedName name="套工交易情况" localSheetId="55">'[1]比较法-住宅、综合'!$A$74:$M$74</definedName>
    <definedName name="套工交易情况" localSheetId="52">'[1]比较法-住宅、综合'!$A$74:$M$74</definedName>
    <definedName name="套工交易情况" localSheetId="23">'[1]比较法-住宅、综合'!$A$74:$M$74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50">'[1]比较法-工业'!$B$100:$M$100</definedName>
    <definedName name="套工土地级别" localSheetId="51">'[1]比较法-工业'!$B$100:$M$100</definedName>
    <definedName name="套工土地级别" localSheetId="49">'[1]比较法-工业'!$B$100:$M$100</definedName>
    <definedName name="套工土地级别" localSheetId="53">'[1]比较法-工业'!$B$100:$M$100</definedName>
    <definedName name="套工土地级别" localSheetId="55">'[1]比较法-工业'!$B$100:$M$100</definedName>
    <definedName name="套工土地级别" localSheetId="52">'[1]比较法-工业'!$B$100:$M$100</definedName>
    <definedName name="套工土地级别" localSheetId="23">'[1]比较法-工业'!$B$100:$M$100</definedName>
    <definedName name="套工土地级别">'土地比较法-工业'!$B$99:$M$99</definedName>
    <definedName name="套工用途" localSheetId="50">'[1]比较法-工业'!$B$71:$M$71</definedName>
    <definedName name="套工用途" localSheetId="51">'[1]比较法-工业'!$B$71:$M$71</definedName>
    <definedName name="套工用途" localSheetId="49">'[1]比较法-工业'!$B$71:$M$71</definedName>
    <definedName name="套工用途" localSheetId="53">'[1]比较法-工业'!$B$71:$M$71</definedName>
    <definedName name="套工用途" localSheetId="55">'[1]比较法-工业'!$B$71:$M$71</definedName>
    <definedName name="套工用途" localSheetId="52">'[1]比较法-工业'!$B$71:$M$71</definedName>
    <definedName name="套工用途" localSheetId="23">'[1]比较法-工业'!$B$71:$M$71</definedName>
    <definedName name="套工用途">'土地比较法-工业'!$B$70:$M$70</definedName>
    <definedName name="套工宗地开发程度">'土地比较法-工业'!$B$112:$M$112</definedName>
    <definedName name="套工宗地形状" localSheetId="50">'[1]比较法-工业'!$B$111:$M$111</definedName>
    <definedName name="套工宗地形状" localSheetId="51">'[1]比较法-工业'!$B$111:$M$111</definedName>
    <definedName name="套工宗地形状" localSheetId="49">'[1]比较法-工业'!$B$111:$M$111</definedName>
    <definedName name="套工宗地形状" localSheetId="53">'[1]比较法-工业'!$B$111:$M$111</definedName>
    <definedName name="套工宗地形状" localSheetId="55">'[1]比较法-工业'!$B$111:$M$111</definedName>
    <definedName name="套工宗地形状" localSheetId="52">'[1]比较法-工业'!$B$111:$M$111</definedName>
    <definedName name="套工宗地形状" localSheetId="23">'[1]比较法-工业'!$B$111:$M$111</definedName>
    <definedName name="套工宗地形状">'土地比较法-工业'!$B$110:$M$110</definedName>
    <definedName name="套综道路等级" localSheetId="50">'[1]比较法-住宅、综合'!$B$107:$M$107</definedName>
    <definedName name="套综道路等级" localSheetId="51">'[1]比较法-住宅、综合'!$B$107:$M$107</definedName>
    <definedName name="套综道路等级" localSheetId="49">'[1]比较法-住宅、综合'!$B$107:$M$107</definedName>
    <definedName name="套综道路等级" localSheetId="53">'[1]比较法-住宅、综合'!$B$107:$M$107</definedName>
    <definedName name="套综道路等级" localSheetId="55">'[1]比较法-住宅、综合'!$B$107:$M$107</definedName>
    <definedName name="套综道路等级" localSheetId="52">'[1]比较法-住宅、综合'!$B$107:$M$107</definedName>
    <definedName name="套综道路等级" localSheetId="23">'[1]比较法-住宅、综合'!$B$107:$M$107</definedName>
    <definedName name="套综道路等级">'土地比较法-住宅、综合'!$B$105:$M$105</definedName>
    <definedName name="套综工程地质条件" localSheetId="50">'[1]比较法-住宅、综合'!$B$126:$M$126</definedName>
    <definedName name="套综工程地质条件" localSheetId="51">'[1]比较法-住宅、综合'!$B$126:$M$126</definedName>
    <definedName name="套综工程地质条件" localSheetId="49">'[1]比较法-住宅、综合'!$B$126:$M$126</definedName>
    <definedName name="套综工程地质条件" localSheetId="53">'[1]比较法-住宅、综合'!$B$126:$M$126</definedName>
    <definedName name="套综工程地质条件" localSheetId="55">'[1]比较法-住宅、综合'!$B$126:$M$126</definedName>
    <definedName name="套综工程地质条件" localSheetId="52">'[1]比较法-住宅、综合'!$B$126:$M$126</definedName>
    <definedName name="套综工程地质条件" localSheetId="23">'[1]比较法-住宅、综合'!$B$126:$M$126</definedName>
    <definedName name="套综工程地质条件">'土地比较法-住宅、综合'!$B$124:$M$124</definedName>
    <definedName name="套综交易情况" localSheetId="50">'[1]比较法-住宅、综合'!$A$74:$M$74</definedName>
    <definedName name="套综交易情况" localSheetId="51">'[1]比较法-住宅、综合'!$A$74:$M$74</definedName>
    <definedName name="套综交易情况" localSheetId="49">'[1]比较法-住宅、综合'!$A$74:$M$74</definedName>
    <definedName name="套综交易情况" localSheetId="53">'[1]比较法-住宅、综合'!$A$74:$M$74</definedName>
    <definedName name="套综交易情况" localSheetId="55">'[1]比较法-住宅、综合'!$A$74:$M$74</definedName>
    <definedName name="套综交易情况" localSheetId="52">'[1]比较法-住宅、综合'!$A$74:$M$74</definedName>
    <definedName name="套综交易情况" localSheetId="23">'[1]比较法-住宅、综合'!$A$74:$M$74</definedName>
    <definedName name="套综交易情况">'土地比较法-住宅、综合'!$A$72:$M$72</definedName>
    <definedName name="套综临街宽度及深度" localSheetId="50">'[1]比较法-住宅、综合'!$B$122:$M$122</definedName>
    <definedName name="套综临街宽度及深度" localSheetId="51">'[1]比较法-住宅、综合'!$B$122:$M$122</definedName>
    <definedName name="套综临街宽度及深度" localSheetId="49">'[1]比较法-住宅、综合'!$B$122:$M$122</definedName>
    <definedName name="套综临街宽度及深度" localSheetId="53">'[1]比较法-住宅、综合'!$B$122:$M$122</definedName>
    <definedName name="套综临街宽度及深度" localSheetId="55">'[1]比较法-住宅、综合'!$B$122:$M$122</definedName>
    <definedName name="套综临街宽度及深度" localSheetId="52">'[1]比较法-住宅、综合'!$B$122:$M$122</definedName>
    <definedName name="套综临街宽度及深度" localSheetId="23">'[1]比较法-住宅、综合'!$B$122:$M$122</definedName>
    <definedName name="套综临街宽度及深度">'土地比较法-住宅、综合'!$B$120:$M$120</definedName>
    <definedName name="套综土地级别" localSheetId="50">'[1]比较法-住宅、综合'!$B$109:$M$109</definedName>
    <definedName name="套综土地级别" localSheetId="51">'[1]比较法-住宅、综合'!$B$109:$M$109</definedName>
    <definedName name="套综土地级别" localSheetId="49">'[1]比较法-住宅、综合'!$B$109:$M$109</definedName>
    <definedName name="套综土地级别" localSheetId="53">'[1]比较法-住宅、综合'!$B$109:$M$109</definedName>
    <definedName name="套综土地级别" localSheetId="55">'[1]比较法-住宅、综合'!$B$109:$M$109</definedName>
    <definedName name="套综土地级别" localSheetId="52">'[1]比较法-住宅、综合'!$B$109:$M$109</definedName>
    <definedName name="套综土地级别" localSheetId="23">'[1]比较法-住宅、综合'!$B$109:$M$109</definedName>
    <definedName name="套综土地级别">'土地比较法-住宅、综合'!$B$107:$M$107</definedName>
    <definedName name="套综用途" localSheetId="50">'[1]比较法-住宅、综合'!$B$76:$M$76</definedName>
    <definedName name="套综用途" localSheetId="51">'[1]比较法-住宅、综合'!$B$76:$M$76</definedName>
    <definedName name="套综用途" localSheetId="49">'[1]比较法-住宅、综合'!$B$76:$M$76</definedName>
    <definedName name="套综用途" localSheetId="53">'[1]比较法-住宅、综合'!$B$76:$M$76</definedName>
    <definedName name="套综用途" localSheetId="55">'[1]比较法-住宅、综合'!$B$76:$M$76</definedName>
    <definedName name="套综用途" localSheetId="52">'[1]比较法-住宅、综合'!$B$76:$M$76</definedName>
    <definedName name="套综用途" localSheetId="23">'[1]比较法-住宅、综合'!$B$76:$M$76</definedName>
    <definedName name="套综用途">'土地比较法-住宅、综合'!$B$74:$M$74</definedName>
    <definedName name="套综宗地内开发程度" localSheetId="50">'[1]比较法-住宅、综合'!$B$124:$M$124</definedName>
    <definedName name="套综宗地内开发程度" localSheetId="51">'[1]比较法-住宅、综合'!$B$124:$M$124</definedName>
    <definedName name="套综宗地内开发程度" localSheetId="49">'[1]比较法-住宅、综合'!$B$124:$M$124</definedName>
    <definedName name="套综宗地内开发程度" localSheetId="53">'[1]比较法-住宅、综合'!$B$124:$M$124</definedName>
    <definedName name="套综宗地内开发程度" localSheetId="55">'[1]比较法-住宅、综合'!$B$124:$M$124</definedName>
    <definedName name="套综宗地内开发程度" localSheetId="52">'[1]比较法-住宅、综合'!$B$124:$M$124</definedName>
    <definedName name="套综宗地内开发程度" localSheetId="23">'[1]比较法-住宅、综合'!$B$124:$M$124</definedName>
    <definedName name="套综宗地内开发程度">'土地比较法-住宅、综合'!$B$122:$M$122</definedName>
    <definedName name="套综宗地形状" localSheetId="50">'[1]比较法-住宅、综合'!$B$120:$M$120</definedName>
    <definedName name="套综宗地形状" localSheetId="51">'[1]比较法-住宅、综合'!$B$120:$M$120</definedName>
    <definedName name="套综宗地形状" localSheetId="49">'[1]比较法-住宅、综合'!$B$120:$M$120</definedName>
    <definedName name="套综宗地形状" localSheetId="53">'[1]比较法-住宅、综合'!$B$120:$M$120</definedName>
    <definedName name="套综宗地形状" localSheetId="55">'[1]比较法-住宅、综合'!$B$120:$M$120</definedName>
    <definedName name="套综宗地形状" localSheetId="52">'[1]比较法-住宅、综合'!$B$120:$M$120</definedName>
    <definedName name="套综宗地形状" localSheetId="23">'[1]比较法-住宅、综合'!$B$120:$M$120</definedName>
    <definedName name="套综宗地形状">'土地比较法-住宅、综合'!$B$118:$M$118</definedName>
    <definedName name="土地估价师" localSheetId="50">[1]估价师及机构信息!$D$3:$D$17</definedName>
    <definedName name="土地估价师" localSheetId="51">[1]估价师及机构信息!$D$3:$D$17</definedName>
    <definedName name="土地估价师" localSheetId="49">[1]估价师及机构信息!$D$3:$D$17</definedName>
    <definedName name="土地估价师" localSheetId="53">[1]估价师及机构信息!$D$3:$D$17</definedName>
    <definedName name="土地估价师" localSheetId="55">[1]估价师及机构信息!$D$3:$D$17</definedName>
    <definedName name="土地估价师" localSheetId="52">[1]估价师及机构信息!$D$3:$D$17</definedName>
    <definedName name="土地估价师" localSheetId="23">[1]估价师及机构信息!$D$3:$D$17</definedName>
    <definedName name="土地估价师">估价师及机构信息!$D$3:$D$24</definedName>
    <definedName name="土地级别" localSheetId="50">[1]定义!$C$1:$C$14</definedName>
    <definedName name="土地级别" localSheetId="51">[1]定义!$C$1:$C$14</definedName>
    <definedName name="土地级别" localSheetId="49">[1]定义!$C$1:$C$14</definedName>
    <definedName name="土地级别" localSheetId="53">[1]定义!$C$1:$C$14</definedName>
    <definedName name="土地级别" localSheetId="55">[1]定义!$C$1:$C$14</definedName>
    <definedName name="土地级别" localSheetId="52">[1]定义!$C$1:$C$14</definedName>
    <definedName name="土地级别" localSheetId="23">[1]定义!$C$1:$C$14</definedName>
    <definedName name="土地级别">定义!$C$1:$C$14</definedName>
    <definedName name="土地利用方向">定义!$P$1:$P$6</definedName>
    <definedName name="土地年限区间">定义!$I$1:$I$16</definedName>
    <definedName name="位置" localSheetId="50">[1]定义!$E$2:$E$4</definedName>
    <definedName name="位置" localSheetId="51">[1]定义!$E$2:$E$4</definedName>
    <definedName name="位置" localSheetId="49">[1]定义!$E$2:$E$4</definedName>
    <definedName name="位置" localSheetId="53">[1]定义!$E$2:$E$4</definedName>
    <definedName name="位置" localSheetId="55">[1]定义!$E$2:$E$4</definedName>
    <definedName name="位置" localSheetId="52">[1]定义!$E$2:$E$4</definedName>
    <definedName name="位置" localSheetId="23">[1]定义!$E$2:$E$4</definedName>
    <definedName name="位置">定义!$E$2:$E$4</definedName>
    <definedName name="五等判定" localSheetId="50">[1]定义!$W$1:$W$6</definedName>
    <definedName name="五等判定" localSheetId="51">[1]定义!$W$1:$W$6</definedName>
    <definedName name="五等判定" localSheetId="49">[1]定义!$W$1:$W$6</definedName>
    <definedName name="五等判定" localSheetId="53">[1]定义!$W$1:$W$6</definedName>
    <definedName name="五等判定" localSheetId="55">[1]定义!$W$1:$W$6</definedName>
    <definedName name="五等判定" localSheetId="52">[1]定义!$W$1:$W$6</definedName>
    <definedName name="五等判定" localSheetId="23">[1]定义!$W$1:$W$6</definedName>
    <definedName name="五等判定">定义!$W$1:$W$6</definedName>
    <definedName name="五级">区片价!$M$1:$M$41</definedName>
    <definedName name="项目类型" localSheetId="50">'[1]数据-汇总表'!$C$17:$C$26</definedName>
    <definedName name="项目类型" localSheetId="51">'[1]数据-汇总表'!$C$17:$C$26</definedName>
    <definedName name="项目类型" localSheetId="49">'[1]数据-汇总表'!$C$17:$C$26</definedName>
    <definedName name="项目类型" localSheetId="53">'[1]数据-汇总表'!$C$17:$C$26</definedName>
    <definedName name="项目类型" localSheetId="55">'[1]数据-汇总表'!$C$17:$C$26</definedName>
    <definedName name="项目类型" localSheetId="52">'[1]数据-汇总表'!$C$17:$C$26</definedName>
    <definedName name="项目类型" localSheetId="27">'[2]数据-汇总表'!$C$17:$C$26</definedName>
    <definedName name="项目类型" localSheetId="23">'[1]数据-汇总表'!$C$17:$C$26</definedName>
    <definedName name="项目类型">'数据-汇总表'!$C$17:$C$26</definedName>
    <definedName name="写字楼等级" localSheetId="50">'[1]不动产比较法-办公'!$B$113:$M$113</definedName>
    <definedName name="写字楼等级" localSheetId="51">'[1]不动产比较法-办公'!$B$113:$M$113</definedName>
    <definedName name="写字楼等级" localSheetId="49">'[1]不动产比较法-办公'!$B$113:$M$113</definedName>
    <definedName name="写字楼等级" localSheetId="53">'[1]不动产比较法-办公'!$B$113:$M$113</definedName>
    <definedName name="写字楼等级" localSheetId="55">'[1]不动产比较法-办公'!$B$113:$M$113</definedName>
    <definedName name="写字楼等级" localSheetId="52">'[1]不动产比较法-办公'!$B$113:$M$113</definedName>
    <definedName name="写字楼等级" localSheetId="23">'[1]不动产比较法-办公'!$B$113:$M$113</definedName>
    <definedName name="写字楼等级">'比较法-办公'!$B$113:$M$113</definedName>
    <definedName name="一级">区片价!$I$1:$I$6</definedName>
    <definedName name="一修多修正项2" localSheetId="50">[1]典型户型修正!$5:$5</definedName>
    <definedName name="一修多修正项2" localSheetId="51">[1]典型户型修正!$5:$5</definedName>
    <definedName name="一修多修正项2" localSheetId="49">[1]典型户型修正!$5:$5</definedName>
    <definedName name="一修多修正项2" localSheetId="53">[1]典型户型修正!$5:$5</definedName>
    <definedName name="一修多修正项2" localSheetId="55">[1]典型户型修正!$5:$5</definedName>
    <definedName name="一修多修正项2" localSheetId="52">[1]典型户型修正!$5:$5</definedName>
    <definedName name="一修多修正项2" localSheetId="23">[1]典型户型修正!$5:$5</definedName>
    <definedName name="一修多修正项2">典型户型修正!$5:$5</definedName>
    <definedName name="一修多修正项3" localSheetId="50">[1]典型户型修正!$7:$7</definedName>
    <definedName name="一修多修正项3" localSheetId="51">[1]典型户型修正!$7:$7</definedName>
    <definedName name="一修多修正项3" localSheetId="49">[1]典型户型修正!$7:$7</definedName>
    <definedName name="一修多修正项3" localSheetId="53">[1]典型户型修正!$7:$7</definedName>
    <definedName name="一修多修正项3" localSheetId="55">[1]典型户型修正!$7:$7</definedName>
    <definedName name="一修多修正项3" localSheetId="52">[1]典型户型修正!$7:$7</definedName>
    <definedName name="一修多修正项3" localSheetId="23">[1]典型户型修正!$7:$7</definedName>
    <definedName name="一修多修正项3">典型户型修正!$7:$7</definedName>
    <definedName name="一修多修正项4" localSheetId="50">[1]典型户型修正!$9:$9</definedName>
    <definedName name="一修多修正项4" localSheetId="51">[1]典型户型修正!$9:$9</definedName>
    <definedName name="一修多修正项4" localSheetId="49">[1]典型户型修正!$9:$9</definedName>
    <definedName name="一修多修正项4" localSheetId="53">[1]典型户型修正!$9:$9</definedName>
    <definedName name="一修多修正项4" localSheetId="55">[1]典型户型修正!$9:$9</definedName>
    <definedName name="一修多修正项4" localSheetId="52">[1]典型户型修正!$9:$9</definedName>
    <definedName name="一修多修正项4" localSheetId="23">[1]典型户型修正!$9:$9</definedName>
    <definedName name="一修多修正项4">典型户型修正!$9:$9</definedName>
    <definedName name="一修多修正项5" localSheetId="50">[1]典型户型修正!$11:$11</definedName>
    <definedName name="一修多修正项5" localSheetId="51">[1]典型户型修正!$11:$11</definedName>
    <definedName name="一修多修正项5" localSheetId="49">[1]典型户型修正!$11:$11</definedName>
    <definedName name="一修多修正项5" localSheetId="53">[1]典型户型修正!$11:$11</definedName>
    <definedName name="一修多修正项5" localSheetId="55">[1]典型户型修正!$11:$11</definedName>
    <definedName name="一修多修正项5" localSheetId="52">[1]典型户型修正!$11:$11</definedName>
    <definedName name="一修多修正项5" localSheetId="23">[1]典型户型修正!$11:$11</definedName>
    <definedName name="一修多修正项5">典型户型修正!$11:$11</definedName>
    <definedName name="一修多修正项6" localSheetId="50">[1]典型户型修正!$13:$13</definedName>
    <definedName name="一修多修正项6" localSheetId="51">[1]典型户型修正!$13:$13</definedName>
    <definedName name="一修多修正项6" localSheetId="49">[1]典型户型修正!$13:$13</definedName>
    <definedName name="一修多修正项6" localSheetId="53">[1]典型户型修正!$13:$13</definedName>
    <definedName name="一修多修正项6" localSheetId="55">[1]典型户型修正!$13:$13</definedName>
    <definedName name="一修多修正项6" localSheetId="52">[1]典型户型修正!$13:$13</definedName>
    <definedName name="一修多修正项6" localSheetId="23">[1]典型户型修正!$13:$13</definedName>
    <definedName name="一修多修正项6">典型户型修正!$13:$13</definedName>
    <definedName name="一修多修正项7" localSheetId="50">[1]典型户型修正!$15:$15</definedName>
    <definedName name="一修多修正项7" localSheetId="51">[1]典型户型修正!$15:$15</definedName>
    <definedName name="一修多修正项7" localSheetId="49">[1]典型户型修正!$15:$15</definedName>
    <definedName name="一修多修正项7" localSheetId="53">[1]典型户型修正!$15:$15</definedName>
    <definedName name="一修多修正项7" localSheetId="55">[1]典型户型修正!$15:$15</definedName>
    <definedName name="一修多修正项7" localSheetId="52">[1]典型户型修正!$15:$15</definedName>
    <definedName name="一修多修正项7" localSheetId="23">[1]典型户型修正!$15:$15</definedName>
    <definedName name="一修多修正项7">典型户型修正!$15:$15</definedName>
    <definedName name="一修多修正项8" localSheetId="50">[1]典型户型修正!$17:$17</definedName>
    <definedName name="一修多修正项8" localSheetId="51">[1]典型户型修正!$17:$17</definedName>
    <definedName name="一修多修正项8" localSheetId="49">[1]典型户型修正!$17:$17</definedName>
    <definedName name="一修多修正项8" localSheetId="53">[1]典型户型修正!$17:$17</definedName>
    <definedName name="一修多修正项8" localSheetId="55">[1]典型户型修正!$17:$17</definedName>
    <definedName name="一修多修正项8" localSheetId="52">[1]典型户型修正!$17:$17</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50">'[1]不动产比较法-仓储'!$B$84:$M$84</definedName>
    <definedName name="有无电梯" localSheetId="51">'[1]不动产比较法-仓储'!$B$84:$M$84</definedName>
    <definedName name="有无电梯" localSheetId="49">'[1]不动产比较法-仓储'!$B$84:$M$84</definedName>
    <definedName name="有无电梯" localSheetId="53">'[1]不动产比较法-仓储'!$B$84:$M$84</definedName>
    <definedName name="有无电梯" localSheetId="55">'[1]不动产比较法-仓储'!$B$84:$M$84</definedName>
    <definedName name="有无电梯" localSheetId="52">'[1]不动产比较法-仓储'!$B$84:$M$84</definedName>
    <definedName name="有无电梯" localSheetId="23">'[1]不动产比较法-仓储'!$B$84:$M$84</definedName>
    <definedName name="有无电梯">'比较法-仓储'!$B$84:$M$84</definedName>
    <definedName name="主用途" localSheetId="50">[1]定义!$F$1:$F$12</definedName>
    <definedName name="主用途" localSheetId="51">[1]定义!$F$1:$F$12</definedName>
    <definedName name="主用途" localSheetId="49">[1]定义!$F$1:$F$12</definedName>
    <definedName name="主用途" localSheetId="53">[1]定义!$F$1:$F$12</definedName>
    <definedName name="主用途" localSheetId="55">[1]定义!$F$1:$F$12</definedName>
    <definedName name="主用途" localSheetId="52">[1]定义!$F$1:$F$12</definedName>
    <definedName name="主用途" localSheetId="23">[1]定义!$F$1:$F$12</definedName>
    <definedName name="主用途">定义!$F$1:$F$12</definedName>
    <definedName name="住宅朝向" localSheetId="50">'[1]不动产比较法-住宅'!$B$88:$M$88</definedName>
    <definedName name="住宅朝向" localSheetId="51">'[1]不动产比较法-住宅'!$B$88:$M$88</definedName>
    <definedName name="住宅朝向" localSheetId="49">'[1]不动产比较法-住宅'!$B$88:$M$88</definedName>
    <definedName name="住宅朝向" localSheetId="53">'[1]不动产比较法-住宅'!$B$88:$M$88</definedName>
    <definedName name="住宅朝向" localSheetId="55">'[1]不动产比较法-住宅'!$B$88:$M$88</definedName>
    <definedName name="住宅朝向" localSheetId="52">'[1]不动产比较法-住宅'!$B$88:$M$88</definedName>
    <definedName name="住宅朝向" localSheetId="23">'[1]不动产比较法-住宅'!$B$88:$M$88</definedName>
    <definedName name="住宅朝向">'比较法-住宅'!$B$88:$M$88</definedName>
    <definedName name="住宅房型" localSheetId="50">'[1]不动产比较法-住宅'!$B$118:$M$118</definedName>
    <definedName name="住宅房型" localSheetId="51">'[1]不动产比较法-住宅'!$B$118:$M$118</definedName>
    <definedName name="住宅房型" localSheetId="49">'[1]不动产比较法-住宅'!$B$118:$M$118</definedName>
    <definedName name="住宅房型" localSheetId="53">'[1]不动产比较法-住宅'!$B$118:$M$118</definedName>
    <definedName name="住宅房型" localSheetId="55">'[1]不动产比较法-住宅'!$B$118:$M$118</definedName>
    <definedName name="住宅房型" localSheetId="52">'[1]不动产比较法-住宅'!$B$118:$M$118</definedName>
    <definedName name="住宅房型" localSheetId="23">'[1]不动产比较法-住宅'!$B$118:$M$118</definedName>
    <definedName name="住宅房型">'比较法-住宅'!$B$118:$M$118</definedName>
    <definedName name="住宅公共部分装修" localSheetId="50">'[1]不动产比较法-住宅'!$B$109:$M$109</definedName>
    <definedName name="住宅公共部分装修" localSheetId="51">'[1]不动产比较法-住宅'!$B$109:$M$109</definedName>
    <definedName name="住宅公共部分装修" localSheetId="49">'[1]不动产比较法-住宅'!$B$109:$M$109</definedName>
    <definedName name="住宅公共部分装修" localSheetId="53">'[1]不动产比较法-住宅'!$B$109:$M$109</definedName>
    <definedName name="住宅公共部分装修" localSheetId="55">'[1]不动产比较法-住宅'!$B$109:$M$109</definedName>
    <definedName name="住宅公共部分装修" localSheetId="52">'[1]不动产比较法-住宅'!$B$109:$M$109</definedName>
    <definedName name="住宅公共部分装修" localSheetId="23">'[1]不动产比较法-住宅'!$B$109:$M$109</definedName>
    <definedName name="住宅公共部分装修">'比较法-住宅'!$B$109:$M$109</definedName>
    <definedName name="住宅基础设施水平" localSheetId="50">'[1]不动产比较法-住宅'!$B$116:$M$116</definedName>
    <definedName name="住宅基础设施水平" localSheetId="51">'[1]不动产比较法-住宅'!$B$116:$M$116</definedName>
    <definedName name="住宅基础设施水平" localSheetId="49">'[1]不动产比较法-住宅'!$B$116:$M$116</definedName>
    <definedName name="住宅基础设施水平" localSheetId="53">'[1]不动产比较法-住宅'!$B$116:$M$116</definedName>
    <definedName name="住宅基础设施水平" localSheetId="55">'[1]不动产比较法-住宅'!$B$116:$M$116</definedName>
    <definedName name="住宅基础设施水平" localSheetId="52">'[1]不动产比较法-住宅'!$B$116:$M$116</definedName>
    <definedName name="住宅基础设施水平" localSheetId="23">'[1]不动产比较法-住宅'!$B$116:$M$116</definedName>
    <definedName name="住宅基础设施水平">'比较法-住宅'!$B$116:$M$116</definedName>
    <definedName name="住宅建筑结构" localSheetId="50">'[1]不动产比较法-住宅'!$B$105:$M$105</definedName>
    <definedName name="住宅建筑结构" localSheetId="51">'[1]不动产比较法-住宅'!$B$105:$M$105</definedName>
    <definedName name="住宅建筑结构" localSheetId="49">'[1]不动产比较法-住宅'!$B$105:$M$105</definedName>
    <definedName name="住宅建筑结构" localSheetId="53">'[1]不动产比较法-住宅'!$B$105:$M$105</definedName>
    <definedName name="住宅建筑结构" localSheetId="55">'[1]不动产比较法-住宅'!$B$105:$M$105</definedName>
    <definedName name="住宅建筑结构" localSheetId="52">'[1]不动产比较法-住宅'!$B$105:$M$105</definedName>
    <definedName name="住宅建筑结构" localSheetId="23">'[1]不动产比较法-住宅'!$B$105:$M$105</definedName>
    <definedName name="住宅建筑结构">'比较法-住宅'!$B$105:$M$105</definedName>
    <definedName name="住宅建筑类型" localSheetId="50">'[1]不动产比较法-住宅'!$B$100:$M$100</definedName>
    <definedName name="住宅建筑类型" localSheetId="51">'[1]不动产比较法-住宅'!$B$100:$M$100</definedName>
    <definedName name="住宅建筑类型" localSheetId="49">'[1]不动产比较法-住宅'!$B$100:$M$100</definedName>
    <definedName name="住宅建筑类型" localSheetId="53">'[1]不动产比较法-住宅'!$B$100:$M$100</definedName>
    <definedName name="住宅建筑类型" localSheetId="55">'[1]不动产比较法-住宅'!$B$100:$M$100</definedName>
    <definedName name="住宅建筑类型" localSheetId="52">'[1]不动产比较法-住宅'!$B$100:$M$100</definedName>
    <definedName name="住宅建筑类型" localSheetId="23">'[1]不动产比较法-住宅'!$B$100:$M$100</definedName>
    <definedName name="住宅建筑类型">'比较法-住宅'!$B$100:$M$100</definedName>
    <definedName name="住宅建筑品质" localSheetId="50">'[1]不动产比较法-住宅'!$B$107:$M$107</definedName>
    <definedName name="住宅建筑品质" localSheetId="51">'[1]不动产比较法-住宅'!$B$107:$M$107</definedName>
    <definedName name="住宅建筑品质" localSheetId="49">'[1]不动产比较法-住宅'!$B$107:$M$107</definedName>
    <definedName name="住宅建筑品质" localSheetId="53">'[1]不动产比较法-住宅'!$B$107:$M$107</definedName>
    <definedName name="住宅建筑品质" localSheetId="55">'[1]不动产比较法-住宅'!$B$107:$M$107</definedName>
    <definedName name="住宅建筑品质" localSheetId="52">'[1]不动产比较法-住宅'!$B$107:$M$107</definedName>
    <definedName name="住宅建筑品质" localSheetId="23">'[1]不动产比较法-住宅'!$B$107:$M$107</definedName>
    <definedName name="住宅建筑品质">'比较法-住宅'!$B$107:$M$107</definedName>
    <definedName name="住宅交易情况" localSheetId="50">'[1]不动产比较法-住宅'!$A$61:$M$61</definedName>
    <definedName name="住宅交易情况" localSheetId="51">'[1]不动产比较法-住宅'!$A$61:$M$61</definedName>
    <definedName name="住宅交易情况" localSheetId="49">'[1]不动产比较法-住宅'!$A$61:$M$61</definedName>
    <definedName name="住宅交易情况" localSheetId="53">'[1]不动产比较法-住宅'!$A$61:$M$61</definedName>
    <definedName name="住宅交易情况" localSheetId="55">'[1]不动产比较法-住宅'!$A$61:$M$61</definedName>
    <definedName name="住宅交易情况" localSheetId="52">'[1]不动产比较法-住宅'!$A$61:$M$61</definedName>
    <definedName name="住宅交易情况" localSheetId="23">'[1]不动产比较法-住宅'!$A$61:$M$61</definedName>
    <definedName name="住宅交易情况">'比较法-住宅'!$A$61:$M$61</definedName>
    <definedName name="住宅楼层" localSheetId="50">'[1]不动产比较法-住宅'!$B$86:$M$86</definedName>
    <definedName name="住宅楼层" localSheetId="51">'[1]不动产比较法-住宅'!$B$86:$M$86</definedName>
    <definedName name="住宅楼层" localSheetId="49">'[1]不动产比较法-住宅'!$B$86:$M$86</definedName>
    <definedName name="住宅楼层" localSheetId="53">'[1]不动产比较法-住宅'!$B$86:$M$86</definedName>
    <definedName name="住宅楼层" localSheetId="55">'[1]不动产比较法-住宅'!$B$86:$M$86</definedName>
    <definedName name="住宅楼层" localSheetId="52">'[1]不动产比较法-住宅'!$B$86:$M$86</definedName>
    <definedName name="住宅楼层" localSheetId="23">'[1]不动产比较法-住宅'!$B$86:$M$86</definedName>
    <definedName name="住宅楼层">'比较法-住宅'!$B$86:$M$86</definedName>
    <definedName name="住宅内部装修" localSheetId="50">'[1]不动产比较法-住宅'!$B$122:$M$122</definedName>
    <definedName name="住宅内部装修" localSheetId="51">'[1]不动产比较法-住宅'!$B$122:$M$122</definedName>
    <definedName name="住宅内部装修" localSheetId="49">'[1]不动产比较法-住宅'!$B$122:$M$122</definedName>
    <definedName name="住宅内部装修" localSheetId="53">'[1]不动产比较法-住宅'!$B$122:$M$122</definedName>
    <definedName name="住宅内部装修" localSheetId="55">'[1]不动产比较法-住宅'!$B$122:$M$122</definedName>
    <definedName name="住宅内部装修" localSheetId="52">'[1]不动产比较法-住宅'!$B$122:$M$122</definedName>
    <definedName name="住宅内部装修" localSheetId="23">'[1]不动产比较法-住宅'!$B$122:$M$122</definedName>
    <definedName name="住宅内部装修">'比较法-住宅'!$B$122:$M$122</definedName>
    <definedName name="住宅物业管理" localSheetId="50">'[1]不动产比较法-住宅'!$B$114:$M$114</definedName>
    <definedName name="住宅物业管理" localSheetId="51">'[1]不动产比较法-住宅'!$B$114:$M$114</definedName>
    <definedName name="住宅物业管理" localSheetId="49">'[1]不动产比较法-住宅'!$B$114:$M$114</definedName>
    <definedName name="住宅物业管理" localSheetId="53">'[1]不动产比较法-住宅'!$B$114:$M$114</definedName>
    <definedName name="住宅物业管理" localSheetId="55">'[1]不动产比较法-住宅'!$B$114:$M$114</definedName>
    <definedName name="住宅物业管理" localSheetId="52">'[1]不动产比较法-住宅'!$B$114:$M$114</definedName>
    <definedName name="住宅物业管理" localSheetId="23">'[1]不动产比较法-住宅'!$B$114:$M$114</definedName>
    <definedName name="住宅物业管理">'比较法-住宅'!$B$114:$M$114</definedName>
    <definedName name="住宅用途" localSheetId="50">'[1]不动产比较法-住宅'!$B$63:$M$63</definedName>
    <definedName name="住宅用途" localSheetId="51">'[1]不动产比较法-住宅'!$B$63:$M$63</definedName>
    <definedName name="住宅用途" localSheetId="49">'[1]不动产比较法-住宅'!$B$63:$M$63</definedName>
    <definedName name="住宅用途" localSheetId="53">'[1]不动产比较法-住宅'!$B$63:$M$63</definedName>
    <definedName name="住宅用途" localSheetId="55">'[1]不动产比较法-住宅'!$B$63:$M$63</definedName>
    <definedName name="住宅用途" localSheetId="52">'[1]不动产比较法-住宅'!$B$63:$M$63</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8" i="1" l="1"/>
  <c r="O37" i="80"/>
  <c r="O52" i="80"/>
  <c r="O49" i="80"/>
  <c r="O48" i="80"/>
  <c r="O47" i="80"/>
  <c r="O46" i="80"/>
  <c r="O44" i="80"/>
  <c r="O43" i="80"/>
  <c r="O42" i="80"/>
  <c r="O41" i="80"/>
  <c r="O40" i="80"/>
  <c r="O39" i="80"/>
  <c r="O45" i="80"/>
  <c r="O38" i="80"/>
  <c r="M55" i="80"/>
  <c r="M56" i="80"/>
  <c r="L56" i="80"/>
  <c r="K56" i="80"/>
  <c r="J56" i="80"/>
  <c r="I56" i="80"/>
  <c r="H56" i="80"/>
  <c r="G56" i="80"/>
  <c r="F56" i="80"/>
  <c r="E56" i="80"/>
  <c r="D56" i="80"/>
  <c r="C56" i="80"/>
  <c r="AO13" i="3"/>
  <c r="AM13" i="3"/>
  <c r="AK13" i="3"/>
  <c r="AI13" i="3"/>
  <c r="AG13" i="3"/>
  <c r="AE13" i="3"/>
  <c r="AT13" i="3" l="1"/>
  <c r="I46" i="39"/>
  <c r="I38" i="39"/>
  <c r="I7" i="39"/>
  <c r="I5" i="39"/>
  <c r="G46" i="39" l="1"/>
  <c r="G38" i="39"/>
  <c r="G7" i="39"/>
  <c r="G5" i="39"/>
  <c r="E46" i="39"/>
  <c r="E38" i="39"/>
  <c r="P70" i="39"/>
  <c r="E70" i="39"/>
  <c r="F70" i="39"/>
  <c r="G70" i="39"/>
  <c r="H70" i="39" s="1"/>
  <c r="I70" i="39" s="1"/>
  <c r="J70" i="39" s="1"/>
  <c r="K70" i="39" s="1"/>
  <c r="L70" i="39" s="1"/>
  <c r="M70" i="39" s="1"/>
  <c r="N70" i="39" s="1"/>
  <c r="O70" i="39" s="1"/>
  <c r="D70" i="39"/>
  <c r="E7" i="39"/>
  <c r="E5" i="39"/>
  <c r="U33" i="93"/>
  <c r="K10" i="92"/>
  <c r="J10" i="92"/>
  <c r="K9" i="92"/>
  <c r="J9" i="92"/>
  <c r="K8" i="92"/>
  <c r="J8" i="92"/>
  <c r="K7" i="92"/>
  <c r="J7" i="92"/>
  <c r="K6" i="92"/>
  <c r="J6" i="92"/>
  <c r="K5" i="92"/>
  <c r="J5" i="92"/>
  <c r="K4" i="92"/>
  <c r="J4" i="92"/>
  <c r="K3" i="92"/>
  <c r="J3" i="92"/>
  <c r="M10" i="88"/>
  <c r="L10" i="88"/>
  <c r="M9" i="88"/>
  <c r="L9" i="88"/>
  <c r="M8" i="88"/>
  <c r="L8" i="88"/>
  <c r="M7" i="88"/>
  <c r="L7" i="88"/>
  <c r="M6" i="88"/>
  <c r="L6" i="88"/>
  <c r="M5" i="88"/>
  <c r="L5" i="88"/>
  <c r="M4" i="88"/>
  <c r="L4" i="88"/>
  <c r="M3" i="88"/>
  <c r="L3" i="88"/>
  <c r="AH8" i="1" l="1"/>
  <c r="W20" i="80"/>
  <c r="W43" i="80"/>
  <c r="G21" i="6" l="1"/>
  <c r="G20" i="6"/>
  <c r="F19" i="6"/>
  <c r="I13" i="3"/>
  <c r="AN13" i="3"/>
  <c r="AJ13" i="3"/>
  <c r="AF13" i="3"/>
  <c r="AL13" i="3"/>
  <c r="AH13" i="3"/>
  <c r="AD13" i="3"/>
  <c r="M13" i="3"/>
  <c r="K13" i="3"/>
  <c r="D3" i="4"/>
  <c r="W41" i="80"/>
  <c r="Y41" i="80" s="1"/>
  <c r="W40" i="80"/>
  <c r="Y40" i="80" s="1"/>
  <c r="W39" i="80"/>
  <c r="Y39" i="80" s="1"/>
  <c r="W38" i="80"/>
  <c r="Y38" i="80" s="1"/>
  <c r="W37" i="80"/>
  <c r="W42" i="80" s="1"/>
  <c r="W18" i="80"/>
  <c r="Y18" i="80" s="1"/>
  <c r="W17" i="80"/>
  <c r="Y17" i="80" s="1"/>
  <c r="W16" i="80"/>
  <c r="Y16" i="80" s="1"/>
  <c r="W15" i="80"/>
  <c r="Y15" i="80" s="1"/>
  <c r="W14" i="80"/>
  <c r="W19" i="80" s="1"/>
  <c r="Y37" i="80" l="1"/>
  <c r="Y42" i="80" s="1"/>
  <c r="Y14" i="80"/>
  <c r="Y19" i="80" s="1"/>
  <c r="X42" i="80" l="1"/>
  <c r="X19" i="80"/>
  <c r="X20" i="80"/>
  <c r="F460" i="82" l="1"/>
  <c r="H459" i="82"/>
  <c r="H458" i="82"/>
  <c r="H457" i="82"/>
  <c r="F454" i="82" l="1"/>
  <c r="O453" i="82"/>
  <c r="E453" i="82"/>
  <c r="O452" i="82"/>
  <c r="E452" i="82"/>
  <c r="O451" i="82"/>
  <c r="E451" i="82"/>
  <c r="O450" i="82"/>
  <c r="E450" i="82"/>
  <c r="O449" i="82"/>
  <c r="E449" i="82"/>
  <c r="O448" i="82"/>
  <c r="E448" i="82"/>
  <c r="O447" i="82"/>
  <c r="E447" i="82"/>
  <c r="O446" i="82"/>
  <c r="E446" i="82"/>
  <c r="O445" i="82"/>
  <c r="E445" i="82"/>
  <c r="O444" i="82"/>
  <c r="E444" i="82"/>
  <c r="O443" i="82"/>
  <c r="E443" i="82"/>
  <c r="O442" i="82"/>
  <c r="E442" i="82"/>
  <c r="O441" i="82"/>
  <c r="E441" i="82"/>
  <c r="O440" i="82"/>
  <c r="E440" i="82"/>
  <c r="O439" i="82"/>
  <c r="E439" i="82"/>
  <c r="O438" i="82"/>
  <c r="E438" i="82"/>
  <c r="O437" i="82"/>
  <c r="E437" i="82"/>
  <c r="O436" i="82"/>
  <c r="E436" i="82"/>
  <c r="O435" i="82"/>
  <c r="E435" i="82"/>
  <c r="O434" i="82"/>
  <c r="E434" i="82"/>
  <c r="O433" i="82"/>
  <c r="E433" i="82"/>
  <c r="O432" i="82"/>
  <c r="E432" i="82"/>
  <c r="O431" i="82"/>
  <c r="E431" i="82"/>
  <c r="O430" i="82"/>
  <c r="E430" i="82"/>
  <c r="E429" i="82"/>
  <c r="E428" i="82"/>
  <c r="E427" i="82"/>
  <c r="E426" i="82"/>
  <c r="E425" i="82"/>
  <c r="O424" i="82"/>
  <c r="E424" i="82"/>
  <c r="E423" i="82"/>
  <c r="O422" i="82"/>
  <c r="E422" i="82"/>
  <c r="O421" i="82"/>
  <c r="E421" i="82"/>
  <c r="O420" i="82"/>
  <c r="E420" i="82"/>
  <c r="O419" i="82"/>
  <c r="E419" i="82"/>
  <c r="O418" i="82"/>
  <c r="E418" i="82"/>
  <c r="O417" i="82"/>
  <c r="E417" i="82"/>
  <c r="E416" i="82"/>
  <c r="E415" i="82"/>
  <c r="E414" i="82"/>
  <c r="E413" i="82"/>
  <c r="O412" i="82"/>
  <c r="E412" i="82"/>
  <c r="E411" i="82"/>
  <c r="O410" i="82"/>
  <c r="E410" i="82"/>
  <c r="O409" i="82"/>
  <c r="E409" i="82"/>
  <c r="O408" i="82"/>
  <c r="E408" i="82"/>
  <c r="O407" i="82"/>
  <c r="E407" i="82"/>
  <c r="O406" i="82"/>
  <c r="E406" i="82"/>
  <c r="O405" i="82"/>
  <c r="E405" i="82"/>
  <c r="O404" i="82"/>
  <c r="E404" i="82"/>
  <c r="O403" i="82"/>
  <c r="E403" i="82"/>
  <c r="O402" i="82"/>
  <c r="E402" i="82"/>
  <c r="O401" i="82"/>
  <c r="E401" i="82"/>
  <c r="O400" i="82"/>
  <c r="E400" i="82"/>
  <c r="O399" i="82"/>
  <c r="E399" i="82"/>
  <c r="O398" i="82"/>
  <c r="E398" i="82"/>
  <c r="O397" i="82"/>
  <c r="E397" i="82"/>
  <c r="O396" i="82"/>
  <c r="E396" i="82"/>
  <c r="O395" i="82"/>
  <c r="E395" i="82"/>
  <c r="O394" i="82"/>
  <c r="E394" i="82"/>
  <c r="O393" i="82"/>
  <c r="E393" i="82"/>
  <c r="O392" i="82"/>
  <c r="E392" i="82"/>
  <c r="O391" i="82"/>
  <c r="E391" i="82"/>
  <c r="O390" i="82"/>
  <c r="E390" i="82"/>
  <c r="O389" i="82"/>
  <c r="E389" i="82"/>
  <c r="E388" i="82"/>
  <c r="E387" i="82"/>
  <c r="E386" i="82"/>
  <c r="E385" i="82"/>
  <c r="E384" i="82"/>
  <c r="E383" i="82"/>
  <c r="E382" i="82"/>
  <c r="E381" i="82"/>
  <c r="E380" i="82"/>
  <c r="E379" i="82"/>
  <c r="O378" i="82"/>
  <c r="E378" i="82"/>
  <c r="O377" i="82"/>
  <c r="E377" i="82"/>
  <c r="O376" i="82"/>
  <c r="E376" i="82"/>
  <c r="O375" i="82"/>
  <c r="E375" i="82"/>
  <c r="O374" i="82"/>
  <c r="E374" i="82"/>
  <c r="O373" i="82"/>
  <c r="E373" i="82"/>
  <c r="E372" i="82"/>
  <c r="E371" i="82"/>
  <c r="E370" i="82"/>
  <c r="E369" i="82"/>
  <c r="E368" i="82"/>
  <c r="E367" i="82"/>
  <c r="E366" i="82"/>
  <c r="E365" i="82"/>
  <c r="E364" i="82"/>
  <c r="E363" i="82"/>
  <c r="O362" i="82"/>
  <c r="E362" i="82"/>
  <c r="O361" i="82"/>
  <c r="E361" i="82"/>
  <c r="O360" i="82"/>
  <c r="E360" i="82"/>
  <c r="O359" i="82"/>
  <c r="E359" i="82"/>
  <c r="O358" i="82"/>
  <c r="E358" i="82"/>
  <c r="O357" i="82"/>
  <c r="E357" i="82"/>
  <c r="O356" i="82"/>
  <c r="E356" i="82"/>
  <c r="O355" i="82"/>
  <c r="E355" i="82"/>
  <c r="O354" i="82"/>
  <c r="E354" i="82"/>
  <c r="O353" i="82"/>
  <c r="E353" i="82"/>
  <c r="O352" i="82"/>
  <c r="E352" i="82"/>
  <c r="O351" i="82"/>
  <c r="E351" i="82"/>
  <c r="O350" i="82"/>
  <c r="E350" i="82"/>
  <c r="O349" i="82"/>
  <c r="E349" i="82"/>
  <c r="O348" i="82"/>
  <c r="E348" i="82"/>
  <c r="O347" i="82"/>
  <c r="E347" i="82"/>
  <c r="O346" i="82"/>
  <c r="E346" i="82"/>
  <c r="O345" i="82"/>
  <c r="E345" i="82"/>
  <c r="E344" i="82"/>
  <c r="O343" i="82"/>
  <c r="E343" i="82"/>
  <c r="E342" i="82"/>
  <c r="O341" i="82"/>
  <c r="E341" i="82"/>
  <c r="E340" i="82"/>
  <c r="O339" i="82"/>
  <c r="E339" i="82"/>
  <c r="E338" i="82"/>
  <c r="O337" i="82"/>
  <c r="E337" i="82"/>
  <c r="O336" i="82"/>
  <c r="E336" i="82"/>
  <c r="O335" i="82"/>
  <c r="E335" i="82"/>
  <c r="O334" i="82"/>
  <c r="E334" i="82"/>
  <c r="O333" i="82"/>
  <c r="E333" i="82"/>
  <c r="O332" i="82"/>
  <c r="E332" i="82"/>
  <c r="O331" i="82"/>
  <c r="E331" i="82"/>
  <c r="O330" i="82"/>
  <c r="E330" i="82"/>
  <c r="O329" i="82"/>
  <c r="E329" i="82"/>
  <c r="O328" i="82"/>
  <c r="E328" i="82"/>
  <c r="O327" i="82"/>
  <c r="E327" i="82"/>
  <c r="O326" i="82"/>
  <c r="E326" i="82"/>
  <c r="O325" i="82"/>
  <c r="E325" i="82"/>
  <c r="O324" i="82"/>
  <c r="E324" i="82"/>
  <c r="O323" i="82"/>
  <c r="E323" i="82"/>
  <c r="O322" i="82"/>
  <c r="E322" i="82"/>
  <c r="O321" i="82"/>
  <c r="E321" i="82"/>
  <c r="E320" i="82"/>
  <c r="E319" i="82"/>
  <c r="E318" i="82"/>
  <c r="E317" i="82"/>
  <c r="E316" i="82"/>
  <c r="O315" i="82"/>
  <c r="E315" i="82"/>
  <c r="E314" i="82"/>
  <c r="E313" i="82"/>
  <c r="E312" i="82"/>
  <c r="O311" i="82"/>
  <c r="E311" i="82"/>
  <c r="O310" i="82"/>
  <c r="E310" i="82"/>
  <c r="O309" i="82"/>
  <c r="E309" i="82"/>
  <c r="O308" i="82"/>
  <c r="E308" i="82"/>
  <c r="O307" i="82"/>
  <c r="E307" i="82"/>
  <c r="O306" i="82"/>
  <c r="E306" i="82"/>
  <c r="O305" i="82"/>
  <c r="E305" i="82"/>
  <c r="O304" i="82"/>
  <c r="E304" i="82"/>
  <c r="O303" i="82"/>
  <c r="E303" i="82"/>
  <c r="O302" i="82"/>
  <c r="E302" i="82"/>
  <c r="O301" i="82"/>
  <c r="E301" i="82"/>
  <c r="E300" i="82"/>
  <c r="O299" i="82"/>
  <c r="E299" i="82"/>
  <c r="E298" i="82"/>
  <c r="O297" i="82"/>
  <c r="E297" i="82"/>
  <c r="O296" i="82"/>
  <c r="E296" i="82"/>
  <c r="O295" i="82"/>
  <c r="E295" i="82"/>
  <c r="O294" i="82"/>
  <c r="E294" i="82"/>
  <c r="O293" i="82"/>
  <c r="E293" i="82"/>
  <c r="O292" i="82"/>
  <c r="E292" i="82"/>
  <c r="O291" i="82"/>
  <c r="E291" i="82"/>
  <c r="O290" i="82"/>
  <c r="E290" i="82"/>
  <c r="O289" i="82"/>
  <c r="E289" i="82"/>
  <c r="O288" i="82"/>
  <c r="E288" i="82"/>
  <c r="O287" i="82"/>
  <c r="E287" i="82"/>
  <c r="O286" i="82"/>
  <c r="E286" i="82"/>
  <c r="O285" i="82"/>
  <c r="E285" i="82"/>
  <c r="E284" i="82"/>
  <c r="E283" i="82"/>
  <c r="E282" i="82"/>
  <c r="E281" i="82"/>
  <c r="O280" i="82"/>
  <c r="E280" i="82"/>
  <c r="E279" i="82"/>
  <c r="O278" i="82"/>
  <c r="E278" i="82"/>
  <c r="O277" i="82"/>
  <c r="E277" i="82"/>
  <c r="O276" i="82"/>
  <c r="E276" i="82"/>
  <c r="O275" i="82"/>
  <c r="E275" i="82"/>
  <c r="O274" i="82"/>
  <c r="E274" i="82"/>
  <c r="O273" i="82"/>
  <c r="E273" i="82"/>
  <c r="O272" i="82"/>
  <c r="E272" i="82"/>
  <c r="O271" i="82"/>
  <c r="E271" i="82"/>
  <c r="O270" i="82"/>
  <c r="E270" i="82"/>
  <c r="O269" i="82"/>
  <c r="E269" i="82"/>
  <c r="O268" i="82"/>
  <c r="E268" i="82"/>
  <c r="O267" i="82"/>
  <c r="E267" i="82"/>
  <c r="E266" i="82"/>
  <c r="E265" i="82"/>
  <c r="E264" i="82"/>
  <c r="E263" i="82"/>
  <c r="E262" i="82"/>
  <c r="E261" i="82"/>
  <c r="E260" i="82"/>
  <c r="O259" i="82"/>
  <c r="E259" i="82"/>
  <c r="E258" i="82"/>
  <c r="E257" i="82"/>
  <c r="E256" i="82"/>
  <c r="O255" i="82"/>
  <c r="E255" i="82"/>
  <c r="E254" i="82"/>
  <c r="O253" i="82"/>
  <c r="E253" i="82"/>
  <c r="O252" i="82"/>
  <c r="E252" i="82"/>
  <c r="O251" i="82"/>
  <c r="E251" i="82"/>
  <c r="E250" i="82"/>
  <c r="O249" i="82"/>
  <c r="E249" i="82"/>
  <c r="E248" i="82"/>
  <c r="E247" i="82"/>
  <c r="E246" i="82"/>
  <c r="E245" i="82"/>
  <c r="E244" i="82"/>
  <c r="O243" i="82"/>
  <c r="E243" i="82"/>
  <c r="E242" i="82"/>
  <c r="O241" i="82"/>
  <c r="E241" i="82"/>
  <c r="O240" i="82"/>
  <c r="E240" i="82"/>
  <c r="O239" i="82"/>
  <c r="E239" i="82"/>
  <c r="O238" i="82"/>
  <c r="E238" i="82"/>
  <c r="O237" i="82"/>
  <c r="E237" i="82"/>
  <c r="O236" i="82"/>
  <c r="E236" i="82"/>
  <c r="O235" i="82"/>
  <c r="E235" i="82"/>
  <c r="O234" i="82"/>
  <c r="E234" i="82"/>
  <c r="O233" i="82"/>
  <c r="E233" i="82"/>
  <c r="O232" i="82"/>
  <c r="E232" i="82"/>
  <c r="O231" i="82"/>
  <c r="E231" i="82"/>
  <c r="O230" i="82"/>
  <c r="E230" i="82"/>
  <c r="O229" i="82"/>
  <c r="E229" i="82"/>
  <c r="O228" i="82"/>
  <c r="E228" i="82"/>
  <c r="O227" i="82"/>
  <c r="E227" i="82"/>
  <c r="O226" i="82"/>
  <c r="E226" i="82"/>
  <c r="E225" i="82"/>
  <c r="O224" i="82"/>
  <c r="E224" i="82"/>
  <c r="E223" i="82"/>
  <c r="O222" i="82"/>
  <c r="E222" i="82"/>
  <c r="E221" i="82"/>
  <c r="O220" i="82"/>
  <c r="E220" i="82"/>
  <c r="E219" i="82"/>
  <c r="O218" i="82"/>
  <c r="E218" i="82"/>
  <c r="O217" i="82"/>
  <c r="E217" i="82"/>
  <c r="O216" i="82"/>
  <c r="E216" i="82"/>
  <c r="O215" i="82"/>
  <c r="E215" i="82"/>
  <c r="O214" i="82"/>
  <c r="E214" i="82"/>
  <c r="O213" i="82"/>
  <c r="E213" i="82"/>
  <c r="O212" i="82"/>
  <c r="E212" i="82"/>
  <c r="O211" i="82"/>
  <c r="E211" i="82"/>
  <c r="O210" i="82"/>
  <c r="E210" i="82"/>
  <c r="O209" i="82"/>
  <c r="E209" i="82"/>
  <c r="O208" i="82"/>
  <c r="E208" i="82"/>
  <c r="O207" i="82"/>
  <c r="E207" i="82"/>
  <c r="O206" i="82"/>
  <c r="E206" i="82"/>
  <c r="O205" i="82"/>
  <c r="E205" i="82"/>
  <c r="O204" i="82"/>
  <c r="E204" i="82"/>
  <c r="O203" i="82"/>
  <c r="E203" i="82"/>
  <c r="O202" i="82"/>
  <c r="E202" i="82"/>
  <c r="O201" i="82"/>
  <c r="E201" i="82"/>
  <c r="O200" i="82"/>
  <c r="E200" i="82"/>
  <c r="O199" i="82"/>
  <c r="E199" i="82"/>
  <c r="E198" i="82"/>
  <c r="O197" i="82"/>
  <c r="E197" i="82"/>
  <c r="E196" i="82"/>
  <c r="E195" i="82"/>
  <c r="E194" i="82"/>
  <c r="E193" i="82"/>
  <c r="E192" i="82"/>
  <c r="O191" i="82"/>
  <c r="E191" i="82"/>
  <c r="O190" i="82"/>
  <c r="E190" i="82"/>
  <c r="O189" i="82"/>
  <c r="E189" i="82"/>
  <c r="O188" i="82"/>
  <c r="E188" i="82"/>
  <c r="O187" i="82"/>
  <c r="E187" i="82"/>
  <c r="O186" i="82"/>
  <c r="E186" i="82"/>
  <c r="O185" i="82"/>
  <c r="E185" i="82"/>
  <c r="O184" i="82"/>
  <c r="E184" i="82"/>
  <c r="O183" i="82"/>
  <c r="E183" i="82"/>
  <c r="O182" i="82"/>
  <c r="E182" i="82"/>
  <c r="O181" i="82"/>
  <c r="E181" i="82"/>
  <c r="O180" i="82"/>
  <c r="E180" i="82"/>
  <c r="O179" i="82"/>
  <c r="E179" i="82"/>
  <c r="E178" i="82"/>
  <c r="O177" i="82"/>
  <c r="E177" i="82"/>
  <c r="O176" i="82"/>
  <c r="E176" i="82"/>
  <c r="O175" i="82"/>
  <c r="E175" i="82"/>
  <c r="O174" i="82"/>
  <c r="E174" i="82"/>
  <c r="O173" i="82"/>
  <c r="E173" i="82"/>
  <c r="O172" i="82"/>
  <c r="E172" i="82"/>
  <c r="O171" i="82"/>
  <c r="E171" i="82"/>
  <c r="O170" i="82"/>
  <c r="E170" i="82"/>
  <c r="O169" i="82"/>
  <c r="E169" i="82"/>
  <c r="O168" i="82"/>
  <c r="E168" i="82"/>
  <c r="O167" i="82"/>
  <c r="E167" i="82"/>
  <c r="O166" i="82"/>
  <c r="E166" i="82"/>
  <c r="O165" i="82"/>
  <c r="E165" i="82"/>
  <c r="O164" i="82"/>
  <c r="E164" i="82"/>
  <c r="E163" i="82"/>
  <c r="O162" i="82"/>
  <c r="E162" i="82"/>
  <c r="E161" i="82"/>
  <c r="O160" i="82"/>
  <c r="E160" i="82"/>
  <c r="O159" i="82"/>
  <c r="E159" i="82"/>
  <c r="O158" i="82"/>
  <c r="E158" i="82"/>
  <c r="O157" i="82"/>
  <c r="E157" i="82"/>
  <c r="O156" i="82"/>
  <c r="E156" i="82"/>
  <c r="O155" i="82"/>
  <c r="E155" i="82"/>
  <c r="O154" i="82"/>
  <c r="E154" i="82"/>
  <c r="O153" i="82"/>
  <c r="E153" i="82"/>
  <c r="O152" i="82"/>
  <c r="E152" i="82"/>
  <c r="E151" i="82"/>
  <c r="O150" i="82"/>
  <c r="E150" i="82"/>
  <c r="E149" i="82"/>
  <c r="E148" i="82"/>
  <c r="E147" i="82"/>
  <c r="E146" i="82"/>
  <c r="E145" i="82"/>
  <c r="E144" i="82"/>
  <c r="E143" i="82"/>
  <c r="E142" i="82"/>
  <c r="E141" i="82"/>
  <c r="O140" i="82"/>
  <c r="E140" i="82"/>
  <c r="O139" i="82"/>
  <c r="E139" i="82"/>
  <c r="E138" i="82"/>
  <c r="O137" i="82"/>
  <c r="E137" i="82"/>
  <c r="E136" i="82"/>
  <c r="E135" i="82"/>
  <c r="E134" i="82"/>
  <c r="E133" i="82"/>
  <c r="E132" i="82"/>
  <c r="E131" i="82"/>
  <c r="E130" i="82"/>
  <c r="E129" i="82"/>
  <c r="O128" i="82"/>
  <c r="E128" i="82"/>
  <c r="O127" i="82"/>
  <c r="E127" i="82"/>
  <c r="O126" i="82"/>
  <c r="E126" i="82"/>
  <c r="O125" i="82"/>
  <c r="E125" i="82"/>
  <c r="O124" i="82"/>
  <c r="E124" i="82"/>
  <c r="O123" i="82"/>
  <c r="E123" i="82"/>
  <c r="O122" i="82"/>
  <c r="E122" i="82"/>
  <c r="O121" i="82"/>
  <c r="E121" i="82"/>
  <c r="O120" i="82"/>
  <c r="E120" i="82"/>
  <c r="O119" i="82"/>
  <c r="E119" i="82"/>
  <c r="O118" i="82"/>
  <c r="E118" i="82"/>
  <c r="O117" i="82"/>
  <c r="E117" i="82"/>
  <c r="O116" i="82"/>
  <c r="E116" i="82"/>
  <c r="O115" i="82"/>
  <c r="E115" i="82"/>
  <c r="O114" i="82"/>
  <c r="E114" i="82"/>
  <c r="O113" i="82"/>
  <c r="E113" i="82"/>
  <c r="O112" i="82"/>
  <c r="E112" i="82"/>
  <c r="O111" i="82"/>
  <c r="E111" i="82"/>
  <c r="E110" i="82"/>
  <c r="O109" i="82"/>
  <c r="E109" i="82"/>
  <c r="E108" i="82"/>
  <c r="E107" i="82"/>
  <c r="E106" i="82"/>
  <c r="E105" i="82"/>
  <c r="E104" i="82"/>
  <c r="E103" i="82"/>
  <c r="E102" i="82"/>
  <c r="E101" i="82"/>
  <c r="E100" i="82"/>
  <c r="O99" i="82"/>
  <c r="E99" i="82"/>
  <c r="O98" i="82"/>
  <c r="E98" i="82"/>
  <c r="O97" i="82"/>
  <c r="E97" i="82"/>
  <c r="O96" i="82"/>
  <c r="E96" i="82"/>
  <c r="O95" i="82"/>
  <c r="E95" i="82"/>
  <c r="O94" i="82"/>
  <c r="E94" i="82"/>
  <c r="O93" i="82"/>
  <c r="E93" i="82"/>
  <c r="O92" i="82"/>
  <c r="E92" i="82"/>
  <c r="O91" i="82"/>
  <c r="E91" i="82"/>
  <c r="O90" i="82"/>
  <c r="E90" i="82"/>
  <c r="O89" i="82"/>
  <c r="E89" i="82"/>
  <c r="O88" i="82"/>
  <c r="E88" i="82"/>
  <c r="O87" i="82"/>
  <c r="E87" i="82"/>
  <c r="O86" i="82"/>
  <c r="E86" i="82"/>
  <c r="O85" i="82"/>
  <c r="E85" i="82"/>
  <c r="O84" i="82"/>
  <c r="E84" i="82"/>
  <c r="E83" i="82"/>
  <c r="E82" i="82"/>
  <c r="E81" i="82"/>
  <c r="E80" i="82"/>
  <c r="E79" i="82"/>
  <c r="E78" i="82"/>
  <c r="E77" i="82"/>
  <c r="O76" i="82"/>
  <c r="E76" i="82"/>
  <c r="E75" i="82"/>
  <c r="O74" i="82"/>
  <c r="E74" i="82"/>
  <c r="O73" i="82"/>
  <c r="E73" i="82"/>
  <c r="O72" i="82"/>
  <c r="E72" i="82"/>
  <c r="O71" i="82"/>
  <c r="E71" i="82"/>
  <c r="O70" i="82"/>
  <c r="E70" i="82"/>
  <c r="O69" i="82"/>
  <c r="E69" i="82"/>
  <c r="O68" i="82"/>
  <c r="E68" i="82"/>
  <c r="O67" i="82"/>
  <c r="E67" i="82"/>
  <c r="O66" i="82"/>
  <c r="E66" i="82"/>
  <c r="O65" i="82"/>
  <c r="E65" i="82"/>
  <c r="O64" i="82"/>
  <c r="E64" i="82"/>
  <c r="O63" i="82"/>
  <c r="E63" i="82"/>
  <c r="E62" i="82"/>
  <c r="O61" i="82"/>
  <c r="E61" i="82"/>
  <c r="E60" i="82"/>
  <c r="O59" i="82"/>
  <c r="E59" i="82"/>
  <c r="E58" i="82"/>
  <c r="O57" i="82"/>
  <c r="E57" i="82"/>
  <c r="O56" i="82"/>
  <c r="E56" i="82"/>
  <c r="O55" i="82"/>
  <c r="E55" i="82"/>
  <c r="O54" i="82"/>
  <c r="E54" i="82"/>
  <c r="O53" i="82"/>
  <c r="E53" i="82"/>
  <c r="O52" i="82"/>
  <c r="E52" i="82"/>
  <c r="O51" i="82"/>
  <c r="E51" i="82"/>
  <c r="O50" i="82"/>
  <c r="E50" i="82"/>
  <c r="O49" i="82"/>
  <c r="E49" i="82"/>
  <c r="O48" i="82"/>
  <c r="E48" i="82"/>
  <c r="E47" i="82"/>
  <c r="E46" i="82"/>
  <c r="E45" i="82"/>
  <c r="E44" i="82"/>
  <c r="E43" i="82"/>
  <c r="E42" i="82"/>
  <c r="O41" i="82"/>
  <c r="E41" i="82"/>
  <c r="E40" i="82"/>
  <c r="O39" i="82"/>
  <c r="E39" i="82"/>
  <c r="E38" i="82"/>
  <c r="O37" i="82"/>
  <c r="E37" i="82"/>
  <c r="O36" i="82"/>
  <c r="E36" i="82"/>
  <c r="O35" i="82"/>
  <c r="E35" i="82"/>
  <c r="O34" i="82"/>
  <c r="E34" i="82"/>
  <c r="O33" i="82"/>
  <c r="E33" i="82"/>
  <c r="O32" i="82"/>
  <c r="E32" i="82"/>
  <c r="E31" i="82"/>
  <c r="E30" i="82"/>
  <c r="E29" i="82"/>
  <c r="E28" i="82"/>
  <c r="E27" i="82"/>
  <c r="E26" i="82"/>
  <c r="E25" i="82"/>
  <c r="E24" i="82"/>
  <c r="E23" i="82"/>
  <c r="E22" i="82"/>
  <c r="O21" i="82"/>
  <c r="E21" i="82"/>
  <c r="O20" i="82"/>
  <c r="E20" i="82"/>
  <c r="O19" i="82"/>
  <c r="E19" i="82"/>
  <c r="O18" i="82"/>
  <c r="E18" i="82"/>
  <c r="O17" i="82"/>
  <c r="E17" i="82"/>
  <c r="O16" i="82"/>
  <c r="E16" i="82"/>
  <c r="E15" i="82"/>
  <c r="E14" i="82"/>
  <c r="E13" i="82"/>
  <c r="E12" i="82"/>
  <c r="E11" i="82"/>
  <c r="E10" i="82"/>
  <c r="O9" i="82"/>
  <c r="E9" i="82"/>
  <c r="O8" i="82"/>
  <c r="E8" i="82"/>
  <c r="E7" i="82"/>
  <c r="O6" i="82"/>
  <c r="E6" i="82"/>
  <c r="O5" i="82"/>
  <c r="E5" i="82"/>
  <c r="O4" i="82"/>
  <c r="E4" i="82"/>
  <c r="O3" i="82"/>
  <c r="E3" i="82"/>
  <c r="O2" i="82"/>
  <c r="E2" i="82"/>
  <c r="L52" i="80"/>
  <c r="K52" i="80"/>
  <c r="I52" i="80"/>
  <c r="H52" i="80"/>
  <c r="G52" i="80"/>
  <c r="F52" i="80"/>
  <c r="S42" i="80" s="1"/>
  <c r="S44" i="80" s="1"/>
  <c r="E52" i="80"/>
  <c r="D52" i="80"/>
  <c r="C52" i="80"/>
  <c r="S38" i="80" s="1"/>
  <c r="J51" i="80"/>
  <c r="B51" i="80" s="1"/>
  <c r="Q50" i="80"/>
  <c r="Q51" i="80" s="1"/>
  <c r="S51" i="80" s="1"/>
  <c r="N50" i="80"/>
  <c r="B50" i="80"/>
  <c r="R49" i="80"/>
  <c r="S49" i="80" s="1"/>
  <c r="N49" i="80"/>
  <c r="B49" i="80"/>
  <c r="N48" i="80"/>
  <c r="B48" i="80"/>
  <c r="R47" i="80"/>
  <c r="N47" i="80"/>
  <c r="B47" i="80"/>
  <c r="N46" i="80"/>
  <c r="B46" i="80"/>
  <c r="N45" i="80"/>
  <c r="B45" i="80"/>
  <c r="N44" i="80"/>
  <c r="B44" i="80"/>
  <c r="S43" i="80"/>
  <c r="N43" i="80"/>
  <c r="B43" i="80"/>
  <c r="T42" i="80"/>
  <c r="N42" i="80"/>
  <c r="B42" i="80"/>
  <c r="N41" i="80"/>
  <c r="B41" i="80"/>
  <c r="T40" i="80"/>
  <c r="R40" i="80"/>
  <c r="N40" i="80"/>
  <c r="B40" i="80"/>
  <c r="T39" i="80"/>
  <c r="T41" i="80" s="1"/>
  <c r="R39" i="80"/>
  <c r="N39" i="80"/>
  <c r="B39" i="80"/>
  <c r="N38" i="80"/>
  <c r="B38" i="80"/>
  <c r="N37" i="80"/>
  <c r="B37" i="80"/>
  <c r="L28" i="80"/>
  <c r="K28" i="80"/>
  <c r="J28" i="80"/>
  <c r="I28" i="80"/>
  <c r="H28" i="80"/>
  <c r="G28" i="80"/>
  <c r="Q27" i="80" s="1"/>
  <c r="F28" i="80"/>
  <c r="E28" i="80"/>
  <c r="D28" i="80"/>
  <c r="C28" i="80"/>
  <c r="S15" i="80" s="1"/>
  <c r="N27" i="80"/>
  <c r="L27" i="80"/>
  <c r="K27" i="80"/>
  <c r="B27" i="80"/>
  <c r="N26" i="80"/>
  <c r="B26" i="80"/>
  <c r="N25" i="80"/>
  <c r="B25" i="80"/>
  <c r="R24" i="80"/>
  <c r="N24" i="80"/>
  <c r="B24" i="80"/>
  <c r="N23" i="80"/>
  <c r="B23" i="80"/>
  <c r="N22" i="80"/>
  <c r="B22" i="80"/>
  <c r="N21" i="80"/>
  <c r="B21" i="80"/>
  <c r="T20" i="80"/>
  <c r="S20" i="80"/>
  <c r="R20" i="80" s="1"/>
  <c r="N20" i="80"/>
  <c r="B20" i="80"/>
  <c r="T19" i="80"/>
  <c r="T21" i="80" s="1"/>
  <c r="S19" i="80"/>
  <c r="N19" i="80"/>
  <c r="B19" i="80"/>
  <c r="N18" i="80"/>
  <c r="B18" i="80"/>
  <c r="N17" i="80"/>
  <c r="B17" i="80"/>
  <c r="T16" i="80"/>
  <c r="R16" i="80"/>
  <c r="N16" i="80"/>
  <c r="B16" i="80"/>
  <c r="N15" i="80"/>
  <c r="B15" i="80"/>
  <c r="N14" i="80"/>
  <c r="B14" i="80"/>
  <c r="N13" i="80"/>
  <c r="B13" i="80"/>
  <c r="B28" i="80" s="1"/>
  <c r="B29" i="80" s="1"/>
  <c r="F8" i="80"/>
  <c r="D8" i="80"/>
  <c r="D7" i="80"/>
  <c r="D6" i="80"/>
  <c r="D5" i="80"/>
  <c r="L2" i="80"/>
  <c r="K2" i="80"/>
  <c r="J2" i="80"/>
  <c r="G14" i="73"/>
  <c r="F14" i="73"/>
  <c r="E14" i="73"/>
  <c r="G15" i="73"/>
  <c r="F15" i="73"/>
  <c r="E15" i="73"/>
  <c r="R15" i="80" l="1"/>
  <c r="S18" i="80"/>
  <c r="Q28" i="80"/>
  <c r="S28" i="80" s="1"/>
  <c r="R26" i="80" s="1"/>
  <c r="B52" i="80"/>
  <c r="S41" i="80"/>
  <c r="S45" i="80" s="1"/>
  <c r="R38" i="80"/>
  <c r="R41" i="80" s="1"/>
  <c r="S21" i="80"/>
  <c r="T17" i="80"/>
  <c r="R17" i="80" s="1"/>
  <c r="R19" i="80"/>
  <c r="N51" i="80"/>
  <c r="J52" i="80"/>
  <c r="T43" i="80" s="1"/>
  <c r="T44" i="80" s="1"/>
  <c r="R42" i="80"/>
  <c r="S50" i="80"/>
  <c r="AB28" i="79"/>
  <c r="AA28" i="79"/>
  <c r="Z28" i="79"/>
  <c r="N28" i="79"/>
  <c r="M28" i="79"/>
  <c r="P28" i="79" s="1"/>
  <c r="L28" i="79"/>
  <c r="I28" i="79"/>
  <c r="AD28" i="79" s="1"/>
  <c r="AC5" i="79"/>
  <c r="AB5" i="79"/>
  <c r="AA5" i="79"/>
  <c r="AD5" i="79" s="1"/>
  <c r="Z5" i="79"/>
  <c r="Y5" i="79"/>
  <c r="O5" i="79"/>
  <c r="N5" i="79"/>
  <c r="M5" i="79"/>
  <c r="P5" i="79" s="1"/>
  <c r="L5" i="79"/>
  <c r="K5" i="79"/>
  <c r="I5" i="79"/>
  <c r="T45" i="80" l="1"/>
  <c r="R44" i="80"/>
  <c r="R45" i="80" s="1"/>
  <c r="B53" i="80"/>
  <c r="R18" i="80"/>
  <c r="T18" i="80"/>
  <c r="T22" i="80" s="1"/>
  <c r="R21" i="80"/>
  <c r="S22" i="80"/>
  <c r="R27" i="80"/>
  <c r="R43" i="80"/>
  <c r="I8" i="79"/>
  <c r="R22"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R17"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C35" i="71"/>
  <c r="C36"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D35"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L13" i="3" s="1"/>
  <c r="BQ14" i="3"/>
  <c r="BQ15" i="3"/>
  <c r="BQ16" i="3"/>
  <c r="BQ17" i="3"/>
  <c r="BS13" i="3"/>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5" i="3"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C8" i="12" s="1"/>
  <c r="BB12" i="3"/>
  <c r="F7" i="12"/>
  <c r="D7" i="12"/>
  <c r="D8" i="12" s="1"/>
  <c r="E7" i="12"/>
  <c r="E8" i="12" s="1"/>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A41" i="21"/>
  <c r="F45" i="39"/>
  <c r="S45" i="39" s="1"/>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J35" i="34"/>
  <c r="H39" i="33"/>
  <c r="AB39" i="33"/>
  <c r="U33" i="33"/>
  <c r="U35" i="33"/>
  <c r="S40" i="33"/>
  <c r="H39" i="37"/>
  <c r="AB39" i="37" s="1"/>
  <c r="F11" i="40"/>
  <c r="AA11" i="40"/>
  <c r="H11" i="40"/>
  <c r="AB11" i="40" s="1"/>
  <c r="W8" i="40"/>
  <c r="AB39" i="40"/>
  <c r="AA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W31" i="39" s="1"/>
  <c r="F100" i="39"/>
  <c r="G100" i="39" s="1"/>
  <c r="H27" i="39"/>
  <c r="U27" i="39" s="1"/>
  <c r="J19" i="39"/>
  <c r="AC19" i="39" s="1"/>
  <c r="J17" i="39"/>
  <c r="W17" i="39" s="1"/>
  <c r="J27" i="39"/>
  <c r="AC27" i="39" s="1"/>
  <c r="F27" i="39"/>
  <c r="S27" i="39" s="1"/>
  <c r="F11" i="21"/>
  <c r="S11" i="21" s="1"/>
  <c r="S40" i="21"/>
  <c r="U34" i="21"/>
  <c r="H11" i="39"/>
  <c r="U11" i="39" s="1"/>
  <c r="S40" i="39"/>
  <c r="C15"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F41" i="33"/>
  <c r="AA41" i="33"/>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s="1"/>
  <c r="F15" i="40"/>
  <c r="S15" i="40" s="1"/>
  <c r="H15" i="40"/>
  <c r="AB15" i="40" s="1"/>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J29" i="33"/>
  <c r="H29" i="33"/>
  <c r="U29" i="33"/>
  <c r="F29" i="33"/>
  <c r="S29" i="33" s="1"/>
  <c r="J31" i="33"/>
  <c r="W31" i="33"/>
  <c r="H31" i="33"/>
  <c r="F31" i="33"/>
  <c r="H45" i="33"/>
  <c r="U45" i="33"/>
  <c r="J45" i="33"/>
  <c r="W45" i="33" s="1"/>
  <c r="F45" i="33"/>
  <c r="AA45" i="33" s="1"/>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J27" i="37"/>
  <c r="AC27" i="37"/>
  <c r="AA44" i="33"/>
  <c r="AA14" i="33"/>
  <c r="J36" i="37"/>
  <c r="AC36" i="37" s="1"/>
  <c r="J10" i="36"/>
  <c r="AC10" i="36" s="1"/>
  <c r="AB26" i="33"/>
  <c r="AB30" i="21"/>
  <c r="AA14" i="37"/>
  <c r="W31" i="34"/>
  <c r="AB46" i="34"/>
  <c r="S45" i="33"/>
  <c r="AB45" i="33"/>
  <c r="AC28" i="21"/>
  <c r="S44" i="34"/>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31" i="33"/>
  <c r="AC45" i="33"/>
  <c r="W44" i="33"/>
  <c r="U19" i="21"/>
  <c r="W44" i="21"/>
  <c r="AB38" i="21"/>
  <c r="F43" i="33"/>
  <c r="AA43" i="33" s="1"/>
  <c r="W15" i="34"/>
  <c r="AC15" i="34"/>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AB33" i="40"/>
  <c r="W23" i="39"/>
  <c r="AC43" i="39"/>
  <c r="W43" i="39"/>
  <c r="AB44" i="39"/>
  <c r="U44" i="39"/>
  <c r="H37" i="39"/>
  <c r="AB37" i="39" s="1"/>
  <c r="AC37" i="39"/>
  <c r="W37" i="39"/>
  <c r="H25" i="39"/>
  <c r="AB25" i="39" s="1"/>
  <c r="J25" i="39"/>
  <c r="W25" i="39" s="1"/>
  <c r="F25" i="39"/>
  <c r="AA25" i="39" s="1"/>
  <c r="J15" i="39"/>
  <c r="W15" i="39" s="1"/>
  <c r="H41" i="39"/>
  <c r="AB41" i="39" s="1"/>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BL549" i="3"/>
  <c r="AZ549" i="3" s="1"/>
  <c r="AZ494" i="3"/>
  <c r="AZ51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AZ163" i="3"/>
  <c r="BL164" i="3"/>
  <c r="G165" i="3"/>
  <c r="BA167" i="3"/>
  <c r="AZ167" i="3"/>
  <c r="BL168" i="3"/>
  <c r="AZ168" i="3" s="1"/>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AZ391" i="3" s="1"/>
  <c r="BL392" i="3"/>
  <c r="G393" i="3"/>
  <c r="BM5" i="3"/>
  <c r="BJ5" i="3"/>
  <c r="BH5" i="3"/>
  <c r="BF5" i="3"/>
  <c r="BD5" i="3"/>
  <c r="AZ325" i="3"/>
  <c r="AZ341" i="3"/>
  <c r="AC5" i="3"/>
  <c r="AZ506" i="3"/>
  <c r="AZ496" i="3"/>
  <c r="G548" i="3"/>
  <c r="G538" i="3"/>
  <c r="G520" i="3"/>
  <c r="G502" i="3"/>
  <c r="BS5" i="3"/>
  <c r="BP5" i="3"/>
  <c r="BK5" i="3"/>
  <c r="BI5" i="3"/>
  <c r="BG5" i="3"/>
  <c r="BE5" i="3"/>
  <c r="BC5" i="3"/>
  <c r="G17" i="3"/>
  <c r="BA17" i="3"/>
  <c r="BT5" i="3"/>
  <c r="AZ368" i="3"/>
  <c r="BA15" i="3"/>
  <c r="AZ15" i="3" s="1"/>
  <c r="BB5" i="3"/>
  <c r="E5" i="6" s="1"/>
  <c r="BR5" i="3"/>
  <c r="AZ380" i="3"/>
  <c r="AZ392" i="3"/>
  <c r="AZ509" i="3"/>
  <c r="G509" i="3"/>
  <c r="BL493" i="3"/>
  <c r="AZ493" i="3" s="1"/>
  <c r="U36" i="40"/>
  <c r="F83" i="43"/>
  <c r="H85" i="43" s="1"/>
  <c r="F50" i="43"/>
  <c r="H54" i="43" s="1"/>
  <c r="F72" i="43"/>
  <c r="H75" i="43" s="1"/>
  <c r="U17" i="39"/>
  <c r="S14" i="35"/>
  <c r="U43" i="21"/>
  <c r="U35" i="21"/>
  <c r="AC35" i="21"/>
  <c r="G8" i="1"/>
  <c r="G10" i="1"/>
  <c r="AZ563" i="3"/>
  <c r="AZ501" i="3"/>
  <c r="W37" i="37"/>
  <c r="W44" i="34"/>
  <c r="AC44" i="34"/>
  <c r="S15" i="37"/>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271" i="3"/>
  <c r="AZ130" i="3"/>
  <c r="AZ82" i="3"/>
  <c r="F23" i="39"/>
  <c r="S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12" i="3"/>
  <c r="AZ433" i="3"/>
  <c r="AZ586" i="3"/>
  <c r="W12" i="33"/>
  <c r="AC12" i="33"/>
  <c r="AA32" i="36"/>
  <c r="S32" i="36"/>
  <c r="AZ437" i="3"/>
  <c r="BL14" i="3"/>
  <c r="U30" i="33"/>
  <c r="AC13" i="34"/>
  <c r="AA47" i="34"/>
  <c r="W28" i="37"/>
  <c r="S19" i="39"/>
  <c r="F12" i="33"/>
  <c r="H12" i="39"/>
  <c r="AB12" i="39" s="1"/>
  <c r="F39" i="40"/>
  <c r="AA39" i="40" s="1"/>
  <c r="BA14" i="3"/>
  <c r="AZ14" i="3" s="1"/>
  <c r="AZ250"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S43" i="39"/>
  <c r="S37" i="39"/>
  <c r="U35" i="39"/>
  <c r="F32" i="39"/>
  <c r="S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AA12" i="39"/>
  <c r="S9"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AA14" i="39"/>
  <c r="U43" i="39"/>
  <c r="AB43" i="39"/>
  <c r="AB1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AC32" i="39" s="1"/>
  <c r="H32" i="39"/>
  <c r="AB32" i="39" s="1"/>
  <c r="AA32" i="39"/>
  <c r="S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B15" i="21"/>
  <c r="J23" i="21"/>
  <c r="AC23" i="21" s="1"/>
  <c r="F85" i="21"/>
  <c r="G85" i="21" s="1"/>
  <c r="H23" i="21"/>
  <c r="AB23" i="21" s="1"/>
  <c r="AP7" i="1"/>
  <c r="AB45" i="21"/>
  <c r="AB9" i="21"/>
  <c r="U9" i="21"/>
  <c r="AA32" i="21"/>
  <c r="S32" i="21"/>
  <c r="AB32" i="21"/>
  <c r="U32" i="21"/>
  <c r="W32" i="39"/>
  <c r="AC23" i="37"/>
  <c r="J63" i="37"/>
  <c r="K63" i="37" s="1"/>
  <c r="L63" i="37" s="1"/>
  <c r="M63" i="37" s="1"/>
  <c r="J11" i="37"/>
  <c r="AC11" i="37" s="1"/>
  <c r="J11" i="34"/>
  <c r="W11" i="34" s="1"/>
  <c r="AB36" i="33"/>
  <c r="AC27" i="33"/>
  <c r="W25" i="33"/>
  <c r="AC25" i="33"/>
  <c r="AB19" i="33"/>
  <c r="U19" i="33"/>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F38" i="67"/>
  <c r="F13" i="67"/>
  <c r="F6" i="67"/>
  <c r="M9" i="67"/>
  <c r="F38" i="15"/>
  <c r="D6" i="73"/>
  <c r="F5" i="73"/>
  <c r="B9" i="76"/>
  <c r="F6" i="15"/>
  <c r="M29" i="67"/>
  <c r="E12" i="76"/>
  <c r="F42" i="67"/>
  <c r="F8" i="15"/>
  <c r="B10" i="76"/>
  <c r="E9" i="76"/>
  <c r="L47" i="67"/>
  <c r="M24" i="67"/>
  <c r="B13" i="76"/>
  <c r="AO13" i="1"/>
  <c r="F43" i="67"/>
  <c r="F16" i="67"/>
  <c r="F16" i="15"/>
  <c r="M26" i="67"/>
  <c r="F36" i="67"/>
  <c r="F3" i="73"/>
  <c r="F42" i="15"/>
  <c r="L48" i="67"/>
  <c r="F4" i="73"/>
  <c r="F36" i="15"/>
  <c r="E13" i="76"/>
  <c r="F37" i="15"/>
  <c r="M6" i="67"/>
  <c r="L47" i="15"/>
  <c r="M8" i="67"/>
  <c r="F26" i="67"/>
  <c r="F26" i="15"/>
  <c r="F43" i="15"/>
  <c r="B11" i="76"/>
  <c r="M9" i="15"/>
  <c r="M22" i="67"/>
  <c r="M23" i="15"/>
  <c r="E8" i="76"/>
  <c r="M26" i="15"/>
  <c r="J15" i="15"/>
  <c r="F40" i="15"/>
  <c r="M8" i="15"/>
  <c r="J15" i="67"/>
  <c r="F13" i="15"/>
  <c r="E10" i="76"/>
  <c r="C76" i="15"/>
  <c r="F40" i="67"/>
  <c r="M28" i="67"/>
  <c r="B12" i="76"/>
  <c r="F9" i="15"/>
  <c r="E7" i="76"/>
  <c r="F37" i="67"/>
  <c r="C76" i="67"/>
  <c r="E11" i="76"/>
  <c r="F8" i="67"/>
  <c r="M28" i="15"/>
  <c r="B8" i="76"/>
  <c r="F7" i="15"/>
  <c r="M24" i="15"/>
  <c r="F7" i="73"/>
  <c r="F20" i="31"/>
  <c r="F6" i="73"/>
  <c r="E2" i="69"/>
  <c r="M6" i="15"/>
  <c r="M29" i="15"/>
  <c r="M23" i="67"/>
  <c r="M22" i="15"/>
  <c r="B7" i="76"/>
  <c r="F7" i="67"/>
  <c r="F9" i="67"/>
  <c r="E2" i="68"/>
  <c r="U40" i="39" l="1"/>
  <c r="W27" i="39"/>
  <c r="AA27" i="39"/>
  <c r="F88" i="39"/>
  <c r="G88" i="39" s="1"/>
  <c r="F15" i="39"/>
  <c r="H15" i="39"/>
  <c r="U15" i="39" s="1"/>
  <c r="AC25" i="39"/>
  <c r="F11" i="39"/>
  <c r="S11" i="39" s="1"/>
  <c r="J11" i="39"/>
  <c r="AA23" i="39"/>
  <c r="S31" i="39"/>
  <c r="U32" i="39"/>
  <c r="W29" i="39"/>
  <c r="U29" i="39"/>
  <c r="S21" i="39"/>
  <c r="U21" i="39"/>
  <c r="AC17" i="39"/>
  <c r="AC41" i="39"/>
  <c r="AA41" i="39"/>
  <c r="U14" i="39"/>
  <c r="S42" i="39"/>
  <c r="U41" i="39"/>
  <c r="AA39" i="39"/>
  <c r="AB34" i="39"/>
  <c r="S34" i="39"/>
  <c r="AA11" i="39"/>
  <c r="G29" i="6"/>
  <c r="U23" i="21"/>
  <c r="AC15" i="21"/>
  <c r="AZ527" i="3"/>
  <c r="AZ571" i="3"/>
  <c r="AA14" i="40"/>
  <c r="S14" i="40"/>
  <c r="S14" i="34"/>
  <c r="AA14" i="34"/>
  <c r="AB11" i="33"/>
  <c r="U11" i="33"/>
  <c r="AA23" i="21"/>
  <c r="W23" i="21"/>
  <c r="AA17" i="33"/>
  <c r="U37" i="39"/>
  <c r="U12" i="40"/>
  <c r="AZ345" i="3"/>
  <c r="AZ334" i="3"/>
  <c r="AZ372" i="3"/>
  <c r="AZ320" i="3"/>
  <c r="AZ306" i="3"/>
  <c r="AZ512" i="3"/>
  <c r="U34" i="35"/>
  <c r="AB34" i="35"/>
  <c r="AC9" i="21"/>
  <c r="D6" i="52"/>
  <c r="AB27" i="33"/>
  <c r="AA23" i="37"/>
  <c r="S25" i="21"/>
  <c r="AA25" i="21"/>
  <c r="S13" i="33"/>
  <c r="AA13" i="33"/>
  <c r="W28" i="34"/>
  <c r="AC28" i="34"/>
  <c r="AA28" i="34"/>
  <c r="S28" i="34"/>
  <c r="AC31" i="40"/>
  <c r="W31" i="40"/>
  <c r="S13" i="21"/>
  <c r="AC17" i="37"/>
  <c r="W30" i="40"/>
  <c r="U32" i="37"/>
  <c r="F29" i="6"/>
  <c r="AZ318" i="3"/>
  <c r="AZ364" i="3"/>
  <c r="AZ376" i="3"/>
  <c r="AZ309" i="3"/>
  <c r="BL587" i="3"/>
  <c r="AZ587" i="3" s="1"/>
  <c r="AC22" i="35"/>
  <c r="W22" i="35"/>
  <c r="AZ351" i="3"/>
  <c r="AZ336" i="3"/>
  <c r="AZ305" i="3"/>
  <c r="AZ360" i="3"/>
  <c r="AA36" i="39"/>
  <c r="AZ539" i="3"/>
  <c r="AZ529" i="3"/>
  <c r="AZ537" i="3"/>
  <c r="AZ518" i="3"/>
  <c r="AZ526" i="3"/>
  <c r="AZ546" i="3"/>
  <c r="AZ564" i="3"/>
  <c r="AZ580" i="3"/>
  <c r="S11" i="36"/>
  <c r="W39" i="33"/>
  <c r="J36" i="35"/>
  <c r="AC36" i="35" s="1"/>
  <c r="J23" i="36"/>
  <c r="J24" i="36"/>
  <c r="H24" i="36"/>
  <c r="W31" i="35"/>
  <c r="AC31" i="35"/>
  <c r="W16" i="35"/>
  <c r="S21" i="40"/>
  <c r="AZ535" i="3"/>
  <c r="AZ577" i="3"/>
  <c r="AZ557" i="3"/>
  <c r="AZ513" i="3"/>
  <c r="AZ575" i="3"/>
  <c r="AZ566" i="3"/>
  <c r="AZ582" i="3"/>
  <c r="AZ540" i="3"/>
  <c r="AZ502" i="3"/>
  <c r="S35" i="39"/>
  <c r="U46" i="33"/>
  <c r="C25" i="39"/>
  <c r="U9" i="40"/>
  <c r="S27" i="35"/>
  <c r="W33" i="33"/>
  <c r="U34" i="34"/>
  <c r="AC27" i="35"/>
  <c r="W31" i="37"/>
  <c r="U9" i="39"/>
  <c r="AB41" i="21"/>
  <c r="G587" i="3"/>
  <c r="J9" i="33"/>
  <c r="J12" i="35"/>
  <c r="BA551" i="3"/>
  <c r="AZ551" i="3" s="1"/>
  <c r="BA550" i="3"/>
  <c r="BL548" i="3"/>
  <c r="AZ548" i="3" s="1"/>
  <c r="AZ458" i="3"/>
  <c r="AZ462" i="3"/>
  <c r="AZ568" i="3"/>
  <c r="F26" i="33"/>
  <c r="W9" i="34"/>
  <c r="B97" i="43"/>
  <c r="B75" i="43"/>
  <c r="AC28" i="36"/>
  <c r="W28" i="36"/>
  <c r="H45" i="39"/>
  <c r="J45" i="39"/>
  <c r="W45" i="39" s="1"/>
  <c r="AZ398" i="3"/>
  <c r="AZ451" i="3"/>
  <c r="AZ454" i="3"/>
  <c r="AZ469" i="3"/>
  <c r="AZ483"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L489" i="3"/>
  <c r="BL491" i="3"/>
  <c r="BL492" i="3"/>
  <c r="BL314" i="3"/>
  <c r="AZ314" i="3" s="1"/>
  <c r="BA332" i="3"/>
  <c r="AZ332" i="3" s="1"/>
  <c r="BL332" i="3"/>
  <c r="BA384" i="3"/>
  <c r="AZ384" i="3" s="1"/>
  <c r="BL585" i="3"/>
  <c r="AZ585" i="3" s="1"/>
  <c r="G558"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AZ459" i="3" s="1"/>
  <c r="G462" i="3"/>
  <c r="BA465" i="3"/>
  <c r="AZ465" i="3" s="1"/>
  <c r="BA467" i="3"/>
  <c r="BA468" i="3"/>
  <c r="BL471" i="3"/>
  <c r="BL475" i="3"/>
  <c r="BA477" i="3"/>
  <c r="BA478" i="3"/>
  <c r="BA481" i="3"/>
  <c r="BA303" i="3"/>
  <c r="AZ303" i="3" s="1"/>
  <c r="BA307" i="3"/>
  <c r="AZ307" i="3" s="1"/>
  <c r="BL350" i="3"/>
  <c r="BA353" i="3"/>
  <c r="AZ353" i="3" s="1"/>
  <c r="BL353" i="3"/>
  <c r="BA358" i="3"/>
  <c r="AZ358" i="3" s="1"/>
  <c r="BA395" i="3"/>
  <c r="AZ395" i="3" s="1"/>
  <c r="BL242" i="3"/>
  <c r="BA248" i="3"/>
  <c r="AZ248" i="3" s="1"/>
  <c r="BL550" i="3"/>
  <c r="BL398" i="3"/>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AZ471" i="3" s="1"/>
  <c r="BA486" i="3"/>
  <c r="BL308" i="3"/>
  <c r="AZ308" i="3" s="1"/>
  <c r="BL317" i="3"/>
  <c r="G318" i="3"/>
  <c r="BA349" i="3"/>
  <c r="AZ349" i="3" s="1"/>
  <c r="BL381" i="3"/>
  <c r="AZ381" i="3" s="1"/>
  <c r="BL386" i="3"/>
  <c r="BL222" i="3"/>
  <c r="BL237" i="3"/>
  <c r="BL262" i="3"/>
  <c r="BL280" i="3"/>
  <c r="BA286" i="3"/>
  <c r="AZ286"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123" i="3"/>
  <c r="AZ123" i="3" s="1"/>
  <c r="BA137" i="3"/>
  <c r="AZ137" i="3" s="1"/>
  <c r="BL138" i="3"/>
  <c r="BA140" i="3"/>
  <c r="AZ140" i="3" s="1"/>
  <c r="BA142" i="3"/>
  <c r="BA148" i="3"/>
  <c r="AZ148" i="3" s="1"/>
  <c r="BL161" i="3"/>
  <c r="BL169"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BL275" i="3"/>
  <c r="AZ275" i="3" s="1"/>
  <c r="BL285" i="3"/>
  <c r="BL291" i="3"/>
  <c r="AZ291" i="3" s="1"/>
  <c r="BA298" i="3"/>
  <c r="AZ298" i="3" s="1"/>
  <c r="BA301" i="3"/>
  <c r="AZ301" i="3" s="1"/>
  <c r="BA302" i="3"/>
  <c r="AZ302" i="3" s="1"/>
  <c r="BA120" i="3"/>
  <c r="AZ120" i="3" s="1"/>
  <c r="BA128" i="3"/>
  <c r="AZ128" i="3" s="1"/>
  <c r="BA134" i="3"/>
  <c r="BA146" i="3"/>
  <c r="AZ146" i="3" s="1"/>
  <c r="BL149" i="3"/>
  <c r="AZ149" i="3" s="1"/>
  <c r="BL150" i="3"/>
  <c r="AZ150" i="3" s="1"/>
  <c r="BA152" i="3"/>
  <c r="AZ152" i="3" s="1"/>
  <c r="BA154" i="3"/>
  <c r="AZ154" i="3" s="1"/>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A293" i="3"/>
  <c r="BA294" i="3"/>
  <c r="AZ294" i="3" s="1"/>
  <c r="BL295" i="3"/>
  <c r="BL300" i="3"/>
  <c r="BL122"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L54" i="3"/>
  <c r="BL55" i="3"/>
  <c r="AZ55" i="3" s="1"/>
  <c r="G57" i="3"/>
  <c r="G58" i="3"/>
  <c r="BA59" i="3"/>
  <c r="AZ59" i="3" s="1"/>
  <c r="G61" i="3"/>
  <c r="BL61" i="3"/>
  <c r="G64" i="3"/>
  <c r="BA64" i="3"/>
  <c r="AZ64" i="3" s="1"/>
  <c r="BA68" i="3"/>
  <c r="BL70" i="3"/>
  <c r="BL71" i="3"/>
  <c r="D31" i="71"/>
  <c r="C32" i="71"/>
  <c r="C55" i="71"/>
  <c r="D54" i="71"/>
  <c r="N67" i="71"/>
  <c r="B66" i="71"/>
  <c r="F66" i="71"/>
  <c r="Q67" i="7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BA27" i="3"/>
  <c r="BL30" i="3"/>
  <c r="BL31" i="3"/>
  <c r="BL40" i="3"/>
  <c r="BL41" i="3"/>
  <c r="BL45" i="3"/>
  <c r="BA48" i="3"/>
  <c r="BA49" i="3"/>
  <c r="BA51" i="3"/>
  <c r="BL56" i="3"/>
  <c r="BA58" i="3"/>
  <c r="BL59" i="3"/>
  <c r="BL60" i="3"/>
  <c r="BA61" i="3"/>
  <c r="AZ61" i="3" s="1"/>
  <c r="BL69" i="3"/>
  <c r="AZ69" i="3" s="1"/>
  <c r="BA72" i="3"/>
  <c r="AZ72" i="3" s="1"/>
  <c r="BA73" i="3"/>
  <c r="BA80" i="3"/>
  <c r="BL84" i="3"/>
  <c r="BA90" i="3"/>
  <c r="BL94" i="3"/>
  <c r="AZ94" i="3"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AZ29" i="3" s="1"/>
  <c r="G33" i="3"/>
  <c r="G34" i="3"/>
  <c r="BA37" i="3"/>
  <c r="G39" i="3"/>
  <c r="BL39" i="3"/>
  <c r="AZ39" i="3" s="1"/>
  <c r="G43" i="3"/>
  <c r="G44" i="3"/>
  <c r="BA45" i="3"/>
  <c r="BA46" i="3"/>
  <c r="BL49" i="3"/>
  <c r="BL50" i="3"/>
  <c r="AZ50" i="3" s="1"/>
  <c r="BL51" i="3"/>
  <c r="BL64" i="3"/>
  <c r="G65" i="3"/>
  <c r="BL65" i="3"/>
  <c r="AZ65" i="3" s="1"/>
  <c r="BL66" i="3"/>
  <c r="BL67" i="3"/>
  <c r="AZ67" i="3" s="1"/>
  <c r="G69" i="3"/>
  <c r="AZ70" i="3"/>
  <c r="BA103" i="3"/>
  <c r="AZ103" i="3" s="1"/>
  <c r="BA104" i="3"/>
  <c r="BA109" i="3"/>
  <c r="C44" i="71"/>
  <c r="D43" i="71"/>
  <c r="C52" i="71"/>
  <c r="D51" i="71"/>
  <c r="BA21" i="3"/>
  <c r="AZ21" i="3" s="1"/>
  <c r="BA25" i="3"/>
  <c r="AZ38" i="3"/>
  <c r="AZ52" i="3"/>
  <c r="BA98" i="3"/>
  <c r="BL100" i="3"/>
  <c r="AZ100" i="3" s="1"/>
  <c r="BL105" i="3"/>
  <c r="AZ105" i="3" s="1"/>
  <c r="BL107" i="3"/>
  <c r="BL110" i="3"/>
  <c r="BL111" i="3"/>
  <c r="AZ111" i="3" s="1"/>
  <c r="C47" i="71"/>
  <c r="D47" i="71" s="1"/>
  <c r="D46" i="7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X26" i="71"/>
  <c r="Y25" i="71"/>
  <c r="Z25" i="71" s="1"/>
  <c r="X38" i="71"/>
  <c r="N68" i="71"/>
  <c r="E38" i="71"/>
  <c r="E39" i="71" s="1"/>
  <c r="E40" i="71" s="1"/>
  <c r="U40" i="71" s="1"/>
  <c r="B34" i="71"/>
  <c r="B35" i="71" s="1"/>
  <c r="B36" i="71" s="1"/>
  <c r="S36" i="71" s="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E23" i="71"/>
  <c r="E22" i="71" s="1"/>
  <c r="E21" i="71" s="1"/>
  <c r="E20" i="71"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E29" i="6"/>
  <c r="K15" i="1" s="1"/>
  <c r="G30" i="6"/>
  <c r="G31"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C16" i="67"/>
  <c r="D5" i="73"/>
  <c r="D3" i="73"/>
  <c r="D4" i="73"/>
  <c r="D7" i="73"/>
  <c r="C16" i="15"/>
  <c r="L19" i="6" l="1"/>
  <c r="L27" i="6" s="1"/>
  <c r="AA15" i="39"/>
  <c r="S15" i="39"/>
  <c r="W11" i="39"/>
  <c r="AC11" i="39"/>
  <c r="P6" i="1"/>
  <c r="C13" i="12" s="1"/>
  <c r="Q16" i="1"/>
  <c r="F27" i="69" s="1"/>
  <c r="C47" i="69" s="1"/>
  <c r="D45" i="69" s="1"/>
  <c r="E59" i="40"/>
  <c r="K16" i="1"/>
  <c r="H16" i="1"/>
  <c r="G16" i="1"/>
  <c r="F10" i="39" s="1"/>
  <c r="S10" i="39" s="1"/>
  <c r="J7" i="37"/>
  <c r="G5" i="3"/>
  <c r="B3" i="3" s="1"/>
  <c r="T28" i="71"/>
  <c r="D28" i="71"/>
  <c r="U28" i="71" s="1"/>
  <c r="C27" i="71"/>
  <c r="D79" i="71"/>
  <c r="C78" i="71"/>
  <c r="D78" i="71" s="1"/>
  <c r="AZ25" i="3"/>
  <c r="AZ51" i="3"/>
  <c r="AZ41" i="3"/>
  <c r="AZ31" i="3"/>
  <c r="AZ282" i="3"/>
  <c r="AZ210" i="3"/>
  <c r="AZ251" i="3"/>
  <c r="AZ247" i="3"/>
  <c r="AZ229" i="3"/>
  <c r="AZ422" i="3"/>
  <c r="AZ550" i="3"/>
  <c r="AB24" i="36"/>
  <c r="U24" i="36"/>
  <c r="D83" i="71"/>
  <c r="C82" i="71"/>
  <c r="D82" i="71" s="1"/>
  <c r="O65" i="71"/>
  <c r="D66" i="71"/>
  <c r="O66" i="71"/>
  <c r="D44" i="71"/>
  <c r="T44" i="71"/>
  <c r="AZ45" i="3"/>
  <c r="AZ49" i="3"/>
  <c r="C56" i="71"/>
  <c r="D55" i="71"/>
  <c r="AZ241" i="3"/>
  <c r="U45" i="39"/>
  <c r="AB45" i="39"/>
  <c r="AC24" i="36"/>
  <c r="W24" i="36"/>
  <c r="C40" i="71"/>
  <c r="D39" i="71"/>
  <c r="AZ58" i="3"/>
  <c r="N65" i="71"/>
  <c r="N66" i="71"/>
  <c r="T32" i="71"/>
  <c r="D32" i="71"/>
  <c r="AZ27" i="3"/>
  <c r="AZ169" i="3"/>
  <c r="AZ273" i="3"/>
  <c r="AZ429" i="3"/>
  <c r="AZ403" i="3"/>
  <c r="W12" i="35"/>
  <c r="AC12" i="35"/>
  <c r="AC23" i="36"/>
  <c r="W23" i="36"/>
  <c r="J7" i="36"/>
  <c r="W7" i="36" s="1"/>
  <c r="C70" i="71"/>
  <c r="D70" i="71" s="1"/>
  <c r="D71" i="71"/>
  <c r="T52" i="71"/>
  <c r="D52" i="71"/>
  <c r="S26" i="33"/>
  <c r="AA26" i="33"/>
  <c r="AC9" i="33"/>
  <c r="W9" i="33"/>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AC7" i="37"/>
  <c r="W7" i="37"/>
  <c r="AB7" i="36"/>
  <c r="T36" i="36" s="1"/>
  <c r="G36" i="36" s="1"/>
  <c r="F7" i="33"/>
  <c r="E58" i="21"/>
  <c r="AC7" i="36"/>
  <c r="V36" i="36" s="1"/>
  <c r="I36" i="36" s="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G1" i="73"/>
  <c r="F27" i="68" l="1"/>
  <c r="F45" i="68" s="1"/>
  <c r="AA10" i="39"/>
  <c r="H10" i="39"/>
  <c r="U10" i="39" s="1"/>
  <c r="F10" i="40"/>
  <c r="S10" i="40" s="1"/>
  <c r="F28" i="12"/>
  <c r="J10" i="39"/>
  <c r="W10" i="39" s="1"/>
  <c r="F27" i="11"/>
  <c r="F45" i="69"/>
  <c r="H10" i="40"/>
  <c r="AB10" i="40" s="1"/>
  <c r="J10" i="40"/>
  <c r="AC10" i="40" s="1"/>
  <c r="C29" i="69"/>
  <c r="D27" i="69" s="1"/>
  <c r="E3" i="6"/>
  <c r="D3" i="21" s="1"/>
  <c r="D56" i="71"/>
  <c r="T56" i="71"/>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39" i="43"/>
  <c r="C42" i="43"/>
  <c r="E42" i="43" s="1"/>
  <c r="C38" i="43"/>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L18" i="9" l="1"/>
  <c r="D14" i="12"/>
  <c r="D19" i="11"/>
  <c r="C19" i="11" s="1"/>
  <c r="C20" i="11" s="1"/>
  <c r="D3" i="37"/>
  <c r="D37" i="11"/>
  <c r="D3" i="34"/>
  <c r="E6" i="6"/>
  <c r="D20" i="12" s="1"/>
  <c r="C20" i="12" s="1"/>
  <c r="C18" i="12" s="1"/>
  <c r="D3" i="33"/>
  <c r="C17" i="4"/>
  <c r="B4" i="52" s="1"/>
  <c r="B43" i="72" s="1"/>
  <c r="M18" i="9"/>
  <c r="B118" i="9" s="1"/>
  <c r="X43" i="80"/>
  <c r="B14" i="74"/>
  <c r="B1" i="74" s="1"/>
  <c r="B6" i="80"/>
  <c r="A3" i="3" s="1"/>
  <c r="W44" i="80"/>
  <c r="X44" i="80" s="1"/>
  <c r="W21" i="80"/>
  <c r="X21" i="80" s="1"/>
  <c r="C47" i="68"/>
  <c r="D45" i="68" s="1"/>
  <c r="AB10" i="39"/>
  <c r="AA10" i="40"/>
  <c r="F22" i="68"/>
  <c r="F22" i="11"/>
  <c r="F24" i="67"/>
  <c r="C24" i="67" s="1"/>
  <c r="F25" i="12"/>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D10" i="68"/>
  <c r="C17" i="67"/>
  <c r="C17" i="15"/>
  <c r="C14" i="67"/>
  <c r="D10" i="69" l="1"/>
  <c r="I4" i="6"/>
  <c r="G3" i="43" s="1"/>
  <c r="E510" i="3"/>
  <c r="E240" i="3"/>
  <c r="E579" i="3"/>
  <c r="E530" i="3"/>
  <c r="E537" i="3"/>
  <c r="E263" i="3"/>
  <c r="AK6" i="3"/>
  <c r="E295" i="3"/>
  <c r="E131" i="3"/>
  <c r="E211" i="3"/>
  <c r="E476" i="3"/>
  <c r="E374" i="3"/>
  <c r="E219" i="3"/>
  <c r="E489" i="3"/>
  <c r="E567" i="3"/>
  <c r="E110" i="3"/>
  <c r="E246" i="3"/>
  <c r="E431" i="3"/>
  <c r="E465" i="3"/>
  <c r="E305" i="3"/>
  <c r="E358" i="3"/>
  <c r="E145" i="3"/>
  <c r="E275" i="3"/>
  <c r="E189" i="3"/>
  <c r="E327" i="3"/>
  <c r="E185" i="3"/>
  <c r="E519" i="3"/>
  <c r="E303" i="3"/>
  <c r="E108" i="3"/>
  <c r="E423" i="3"/>
  <c r="E311" i="3"/>
  <c r="E89" i="3"/>
  <c r="E350" i="3"/>
  <c r="E384" i="3"/>
  <c r="E130" i="3"/>
  <c r="E17" i="3"/>
  <c r="E284" i="3"/>
  <c r="E335" i="3"/>
  <c r="E217" i="3"/>
  <c r="Z6" i="3"/>
  <c r="E587" i="3"/>
  <c r="E124" i="3"/>
  <c r="E380" i="3"/>
  <c r="E175" i="3"/>
  <c r="E318" i="3"/>
  <c r="E117" i="3"/>
  <c r="E121" i="3"/>
  <c r="E353" i="3"/>
  <c r="E548" i="3"/>
  <c r="E584" i="3"/>
  <c r="E115" i="3"/>
  <c r="E182" i="3"/>
  <c r="E74" i="3"/>
  <c r="E133" i="3"/>
  <c r="E91" i="3"/>
  <c r="E270" i="3"/>
  <c r="E186" i="3"/>
  <c r="E458" i="3"/>
  <c r="E551" i="3"/>
  <c r="E32" i="3"/>
  <c r="E338" i="3"/>
  <c r="E474" i="3"/>
  <c r="E416" i="3"/>
  <c r="AS6" i="3"/>
  <c r="E150" i="3"/>
  <c r="E314" i="3"/>
  <c r="E395" i="3"/>
  <c r="E516" i="3"/>
  <c r="E444" i="3"/>
  <c r="E429" i="3"/>
  <c r="E159" i="3"/>
  <c r="O6" i="3"/>
  <c r="E207" i="3"/>
  <c r="E127" i="3"/>
  <c r="E436" i="3"/>
  <c r="E101" i="3"/>
  <c r="E173" i="3"/>
  <c r="E585" i="3"/>
  <c r="E562" i="3"/>
  <c r="E293" i="3"/>
  <c r="E320" i="3"/>
  <c r="E125" i="3"/>
  <c r="E164" i="3"/>
  <c r="E177" i="3"/>
  <c r="E237" i="3"/>
  <c r="E483" i="3"/>
  <c r="AO6" i="3"/>
  <c r="E457" i="3"/>
  <c r="E165" i="3"/>
  <c r="E142" i="3"/>
  <c r="E215" i="3"/>
  <c r="E231" i="3"/>
  <c r="E298" i="3"/>
  <c r="E148" i="3"/>
  <c r="E214" i="3"/>
  <c r="E61" i="3"/>
  <c r="E378" i="3"/>
  <c r="E100" i="3"/>
  <c r="E577" i="3"/>
  <c r="E407" i="3"/>
  <c r="E118" i="3"/>
  <c r="E191" i="3"/>
  <c r="E109" i="3"/>
  <c r="E77" i="3"/>
  <c r="E162" i="3"/>
  <c r="E404" i="3"/>
  <c r="E179" i="3"/>
  <c r="E200" i="3"/>
  <c r="E514" i="3"/>
  <c r="E454" i="3"/>
  <c r="E143" i="3"/>
  <c r="E260" i="3"/>
  <c r="E317" i="3"/>
  <c r="E242" i="3"/>
  <c r="E161" i="3"/>
  <c r="E509" i="3"/>
  <c r="E146" i="3"/>
  <c r="E528" i="3"/>
  <c r="E414" i="3"/>
  <c r="E282" i="3"/>
  <c r="E501" i="3"/>
  <c r="E392" i="3"/>
  <c r="E570" i="3"/>
  <c r="E273" i="3"/>
  <c r="E368" i="3"/>
  <c r="E560" i="3"/>
  <c r="E301" i="3"/>
  <c r="AR6" i="3"/>
  <c r="E331" i="3"/>
  <c r="E571" i="3"/>
  <c r="E294" i="3"/>
  <c r="AG6" i="3"/>
  <c r="E304" i="3"/>
  <c r="E54" i="3"/>
  <c r="E354" i="3"/>
  <c r="E292" i="3"/>
  <c r="E531" i="3"/>
  <c r="E171" i="3"/>
  <c r="E545" i="3"/>
  <c r="E183" i="3"/>
  <c r="E555" i="3"/>
  <c r="E505" i="3"/>
  <c r="E85" i="3"/>
  <c r="E239" i="3"/>
  <c r="AE6" i="3"/>
  <c r="E328" i="3"/>
  <c r="E504" i="3"/>
  <c r="E62" i="3"/>
  <c r="E478" i="3"/>
  <c r="E450" i="3"/>
  <c r="E583" i="3"/>
  <c r="E230" i="3"/>
  <c r="E553" i="3"/>
  <c r="E448" i="3"/>
  <c r="E437" i="3"/>
  <c r="E565" i="3"/>
  <c r="E319" i="3"/>
  <c r="E208" i="3"/>
  <c r="E87" i="3"/>
  <c r="E48" i="3"/>
  <c r="E234" i="3"/>
  <c r="E249" i="3"/>
  <c r="E549" i="3"/>
  <c r="E573" i="3"/>
  <c r="E245" i="3"/>
  <c r="E559" i="3"/>
  <c r="E316" i="3"/>
  <c r="E580" i="3"/>
  <c r="E238" i="3"/>
  <c r="E506" i="3"/>
  <c r="E69" i="3"/>
  <c r="AA6" i="3"/>
  <c r="AY6" i="3"/>
  <c r="E210" i="3"/>
  <c r="E135" i="3"/>
  <c r="E252" i="3"/>
  <c r="E445" i="3"/>
  <c r="E496" i="3"/>
  <c r="E172" i="3"/>
  <c r="E180" i="3"/>
  <c r="E120" i="3"/>
  <c r="AI6" i="3"/>
  <c r="E277" i="3"/>
  <c r="E480" i="3"/>
  <c r="E119" i="3"/>
  <c r="E377" i="3"/>
  <c r="E561" i="3"/>
  <c r="P6" i="3"/>
  <c r="E81" i="3"/>
  <c r="E28" i="3"/>
  <c r="E228" i="3"/>
  <c r="E337" i="3"/>
  <c r="E45" i="3"/>
  <c r="E203" i="3"/>
  <c r="E352" i="3"/>
  <c r="E268" i="3"/>
  <c r="E468" i="3"/>
  <c r="E216" i="3"/>
  <c r="E269" i="3"/>
  <c r="E334" i="3"/>
  <c r="E92" i="3"/>
  <c r="E543" i="3"/>
  <c r="E527" i="3"/>
  <c r="V6" i="3"/>
  <c r="E236" i="3"/>
  <c r="E321" i="3"/>
  <c r="E438" i="3"/>
  <c r="E520" i="3"/>
  <c r="E447" i="3"/>
  <c r="E99" i="3"/>
  <c r="E396" i="3"/>
  <c r="E73" i="3"/>
  <c r="E285" i="3"/>
  <c r="E411" i="3"/>
  <c r="E461" i="3"/>
  <c r="E266" i="3"/>
  <c r="E460" i="3"/>
  <c r="E408" i="3"/>
  <c r="E576" i="3"/>
  <c r="E344" i="3"/>
  <c r="AN6" i="3"/>
  <c r="E418" i="3"/>
  <c r="E29" i="3"/>
  <c r="E93" i="3"/>
  <c r="E136" i="3"/>
  <c r="E462" i="3"/>
  <c r="E138" i="3"/>
  <c r="E50" i="3"/>
  <c r="E420" i="3"/>
  <c r="E272" i="3"/>
  <c r="E397" i="3"/>
  <c r="E532" i="3"/>
  <c r="E167" i="3"/>
  <c r="E373" i="3"/>
  <c r="E209" i="3"/>
  <c r="E566" i="3"/>
  <c r="E401" i="3"/>
  <c r="E287" i="3"/>
  <c r="E244" i="3"/>
  <c r="E218" i="3"/>
  <c r="E333" i="3"/>
  <c r="E83" i="3"/>
  <c r="E469" i="3"/>
  <c r="E355" i="3"/>
  <c r="E52" i="3"/>
  <c r="E498" i="3"/>
  <c r="E78" i="3"/>
  <c r="E102" i="3"/>
  <c r="E544" i="3"/>
  <c r="E312" i="3"/>
  <c r="E552" i="3"/>
  <c r="E123" i="3"/>
  <c r="E15" i="3"/>
  <c r="E463" i="3"/>
  <c r="E393" i="3"/>
  <c r="E324" i="3"/>
  <c r="E13" i="3"/>
  <c r="E22" i="3"/>
  <c r="E139" i="3"/>
  <c r="K6" i="3"/>
  <c r="E296" i="3"/>
  <c r="E511" i="3"/>
  <c r="M6" i="3"/>
  <c r="E359" i="3"/>
  <c r="E201" i="3"/>
  <c r="E403" i="3"/>
  <c r="AB6" i="3"/>
  <c r="E439" i="3"/>
  <c r="E523" i="3"/>
  <c r="E535" i="3"/>
  <c r="E495" i="3"/>
  <c r="E394" i="3"/>
  <c r="X6" i="3"/>
  <c r="E557" i="3"/>
  <c r="E388" i="3"/>
  <c r="E481" i="3"/>
  <c r="E278" i="3"/>
  <c r="E345" i="3"/>
  <c r="E568" i="3"/>
  <c r="E508" i="3"/>
  <c r="E336" i="3"/>
  <c r="E330" i="3"/>
  <c r="E195" i="3"/>
  <c r="E572" i="3"/>
  <c r="E406" i="3"/>
  <c r="E538" i="3"/>
  <c r="E111" i="3"/>
  <c r="E581" i="3"/>
  <c r="E196" i="3"/>
  <c r="E235" i="3"/>
  <c r="E193" i="3"/>
  <c r="E151" i="3"/>
  <c r="E256" i="3"/>
  <c r="S6" i="3"/>
  <c r="E157" i="3"/>
  <c r="E58" i="3"/>
  <c r="E477" i="3"/>
  <c r="E453" i="3"/>
  <c r="N6" i="3"/>
  <c r="E424" i="3"/>
  <c r="E426" i="3"/>
  <c r="E14" i="3"/>
  <c r="E187" i="3"/>
  <c r="E149" i="3"/>
  <c r="E340" i="3"/>
  <c r="E75" i="3"/>
  <c r="I6" i="3"/>
  <c r="Q6" i="3"/>
  <c r="E254" i="3"/>
  <c r="E390" i="3"/>
  <c r="E126" i="3"/>
  <c r="E168" i="3"/>
  <c r="E307" i="3"/>
  <c r="E341" i="3"/>
  <c r="E500" i="3"/>
  <c r="E38" i="3"/>
  <c r="E206" i="3"/>
  <c r="E546" i="3"/>
  <c r="E257" i="3"/>
  <c r="E306" i="3"/>
  <c r="E488" i="3"/>
  <c r="E47" i="3"/>
  <c r="E57" i="3"/>
  <c r="E365" i="3"/>
  <c r="E105" i="3"/>
  <c r="E281" i="3"/>
  <c r="E386" i="3"/>
  <c r="E147" i="3"/>
  <c r="E40" i="3"/>
  <c r="E342" i="3"/>
  <c r="E205" i="3"/>
  <c r="E46" i="3"/>
  <c r="E137" i="3"/>
  <c r="E486" i="3"/>
  <c r="E104" i="3"/>
  <c r="E96" i="3"/>
  <c r="E517" i="3"/>
  <c r="E250" i="3"/>
  <c r="E524" i="3"/>
  <c r="AQ6" i="3"/>
  <c r="E60" i="3"/>
  <c r="J6" i="3"/>
  <c r="E369" i="3"/>
  <c r="E227" i="3"/>
  <c r="E533" i="3"/>
  <c r="E410" i="3"/>
  <c r="E362" i="3"/>
  <c r="E405" i="3"/>
  <c r="E107" i="3"/>
  <c r="E387" i="3"/>
  <c r="E253" i="3"/>
  <c r="AJ6" i="3"/>
  <c r="E261" i="3"/>
  <c r="E366" i="3"/>
  <c r="L6" i="3"/>
  <c r="E586" i="3"/>
  <c r="E415" i="3"/>
  <c r="E464" i="3"/>
  <c r="E290" i="3"/>
  <c r="E280" i="3"/>
  <c r="E542" i="3"/>
  <c r="E72" i="3"/>
  <c r="E558" i="3"/>
  <c r="E71" i="3"/>
  <c r="E39" i="3"/>
  <c r="E16" i="3"/>
  <c r="E55" i="3"/>
  <c r="E169" i="3"/>
  <c r="U6" i="3"/>
  <c r="AD6" i="3"/>
  <c r="E398" i="3"/>
  <c r="E255" i="3"/>
  <c r="E288" i="3"/>
  <c r="E259" i="3"/>
  <c r="E65" i="3"/>
  <c r="E497" i="3"/>
  <c r="E141" i="3"/>
  <c r="E493" i="3"/>
  <c r="AL6" i="3"/>
  <c r="E202" i="3"/>
  <c r="E534" i="3"/>
  <c r="E364" i="3"/>
  <c r="E178" i="3"/>
  <c r="E326" i="3"/>
  <c r="E26" i="3"/>
  <c r="E251" i="3"/>
  <c r="E309" i="3"/>
  <c r="E389" i="3"/>
  <c r="E536" i="3"/>
  <c r="E36" i="3"/>
  <c r="E540" i="3"/>
  <c r="E419" i="3"/>
  <c r="E116" i="3"/>
  <c r="E190" i="3"/>
  <c r="E556" i="3"/>
  <c r="E113" i="3"/>
  <c r="E198" i="3"/>
  <c r="E409" i="3"/>
  <c r="E575" i="3"/>
  <c r="E86" i="3"/>
  <c r="E494" i="3"/>
  <c r="E84" i="3"/>
  <c r="E59" i="3"/>
  <c r="E491" i="3"/>
  <c r="E286" i="3"/>
  <c r="E381" i="3"/>
  <c r="E103" i="3"/>
  <c r="E192" i="3"/>
  <c r="E541" i="3"/>
  <c r="E385" i="3"/>
  <c r="E82" i="3"/>
  <c r="E248" i="3"/>
  <c r="E487" i="3"/>
  <c r="E279" i="3"/>
  <c r="E322" i="3"/>
  <c r="E224" i="3"/>
  <c r="E472" i="3"/>
  <c r="E357" i="3"/>
  <c r="E315" i="3"/>
  <c r="E27" i="3"/>
  <c r="E97" i="3"/>
  <c r="E485" i="3"/>
  <c r="E343" i="3"/>
  <c r="E434" i="3"/>
  <c r="E271" i="3"/>
  <c r="E30" i="3"/>
  <c r="E291" i="3"/>
  <c r="E422" i="3"/>
  <c r="E550" i="3"/>
  <c r="E402" i="3"/>
  <c r="E471" i="3"/>
  <c r="E446" i="3"/>
  <c r="E479" i="3"/>
  <c r="E262" i="3"/>
  <c r="E574" i="3"/>
  <c r="W6" i="3"/>
  <c r="E297" i="3"/>
  <c r="AH6" i="3"/>
  <c r="E432" i="3"/>
  <c r="E122" i="3"/>
  <c r="E582" i="3"/>
  <c r="E112" i="3"/>
  <c r="E484" i="3"/>
  <c r="E339" i="3"/>
  <c r="E243" i="3"/>
  <c r="E152" i="3"/>
  <c r="E223" i="3"/>
  <c r="E513" i="3"/>
  <c r="E521" i="3"/>
  <c r="E299" i="3"/>
  <c r="E440" i="3"/>
  <c r="E232" i="3"/>
  <c r="E451" i="3"/>
  <c r="E383" i="3"/>
  <c r="E233" i="3"/>
  <c r="E95" i="3"/>
  <c r="E265" i="3"/>
  <c r="E325" i="3"/>
  <c r="E372" i="3"/>
  <c r="E376" i="3"/>
  <c r="E329" i="3"/>
  <c r="E356" i="3"/>
  <c r="E512" i="3"/>
  <c r="E34" i="3"/>
  <c r="E63" i="3"/>
  <c r="E241" i="3"/>
  <c r="E197" i="3"/>
  <c r="E174" i="3"/>
  <c r="E283" i="3"/>
  <c r="E371" i="3"/>
  <c r="E349" i="3"/>
  <c r="AP6" i="3"/>
  <c r="E539" i="3"/>
  <c r="E144" i="3"/>
  <c r="E425" i="3"/>
  <c r="E56" i="3"/>
  <c r="R6" i="3"/>
  <c r="E361" i="3"/>
  <c r="E94" i="3"/>
  <c r="E518" i="3"/>
  <c r="E375" i="3"/>
  <c r="E413" i="3"/>
  <c r="E515" i="3"/>
  <c r="E204" i="3"/>
  <c r="E221" i="3"/>
  <c r="E166" i="3"/>
  <c r="E428" i="3"/>
  <c r="E302" i="3"/>
  <c r="E222" i="3"/>
  <c r="E156" i="3"/>
  <c r="E313" i="3"/>
  <c r="E158" i="3"/>
  <c r="E98" i="3"/>
  <c r="E473" i="3"/>
  <c r="E455" i="3"/>
  <c r="E466" i="3"/>
  <c r="E492" i="3"/>
  <c r="E176" i="3"/>
  <c r="E188" i="3"/>
  <c r="E525" i="3"/>
  <c r="E64" i="3"/>
  <c r="E289" i="3"/>
  <c r="E25" i="3"/>
  <c r="E35" i="3"/>
  <c r="E140" i="3"/>
  <c r="E267" i="3"/>
  <c r="AF6" i="3"/>
  <c r="E184" i="3"/>
  <c r="E37" i="3"/>
  <c r="E264" i="3"/>
  <c r="E363" i="3"/>
  <c r="E153" i="3"/>
  <c r="E19" i="3"/>
  <c r="E370" i="3"/>
  <c r="E225" i="3"/>
  <c r="E442" i="3"/>
  <c r="E564" i="3"/>
  <c r="E42" i="3"/>
  <c r="E391" i="3"/>
  <c r="E502" i="3"/>
  <c r="I3" i="6"/>
  <c r="E569" i="3"/>
  <c r="E526" i="3"/>
  <c r="E134" i="3"/>
  <c r="E51" i="3"/>
  <c r="E563" i="3"/>
  <c r="E247" i="3"/>
  <c r="E229" i="3"/>
  <c r="E347" i="3"/>
  <c r="E163" i="3"/>
  <c r="E128" i="3"/>
  <c r="E351" i="3"/>
  <c r="AM6" i="3"/>
  <c r="E276" i="3"/>
  <c r="E213" i="3"/>
  <c r="E154" i="3"/>
  <c r="E33" i="3"/>
  <c r="Y6" i="3"/>
  <c r="E220" i="3"/>
  <c r="E490" i="3"/>
  <c r="E43" i="3"/>
  <c r="E212" i="3"/>
  <c r="E170" i="3"/>
  <c r="E412" i="3"/>
  <c r="E18" i="3"/>
  <c r="E554" i="3"/>
  <c r="E194" i="3"/>
  <c r="E507" i="3"/>
  <c r="E41" i="3"/>
  <c r="E129" i="3"/>
  <c r="E417" i="3"/>
  <c r="E482" i="3"/>
  <c r="E160" i="3"/>
  <c r="E430" i="3"/>
  <c r="E23" i="3"/>
  <c r="E435" i="3"/>
  <c r="E49" i="3"/>
  <c r="E132" i="3"/>
  <c r="E70" i="3"/>
  <c r="E181" i="3"/>
  <c r="E106" i="3"/>
  <c r="E53" i="3"/>
  <c r="E44" i="3"/>
  <c r="E31" i="3"/>
  <c r="E367" i="3"/>
  <c r="E114" i="3"/>
  <c r="E529" i="3"/>
  <c r="E443" i="3"/>
  <c r="E323" i="3"/>
  <c r="E379" i="3"/>
  <c r="E499" i="3"/>
  <c r="E452" i="3"/>
  <c r="E346" i="3"/>
  <c r="E332" i="3"/>
  <c r="E79" i="3"/>
  <c r="E470" i="3"/>
  <c r="E449" i="3"/>
  <c r="E467" i="3"/>
  <c r="E300" i="3"/>
  <c r="E400" i="3"/>
  <c r="E348" i="3"/>
  <c r="E88" i="3"/>
  <c r="E24" i="3"/>
  <c r="E522" i="3"/>
  <c r="E427" i="3"/>
  <c r="E226" i="3"/>
  <c r="E308" i="3"/>
  <c r="E76" i="3"/>
  <c r="E503" i="3"/>
  <c r="E547" i="3"/>
  <c r="E90" i="3"/>
  <c r="E67" i="3"/>
  <c r="E441" i="3"/>
  <c r="E382" i="3"/>
  <c r="E459" i="3"/>
  <c r="E475" i="3"/>
  <c r="E360" i="3"/>
  <c r="E456" i="3"/>
  <c r="E80" i="3"/>
  <c r="E68" i="3"/>
  <c r="E199" i="3"/>
  <c r="E433" i="3"/>
  <c r="E578" i="3"/>
  <c r="E274" i="3"/>
  <c r="E421" i="3"/>
  <c r="E310" i="3"/>
  <c r="T6" i="3"/>
  <c r="E258" i="3"/>
  <c r="E399" i="3"/>
  <c r="E66" i="3"/>
  <c r="E155" i="3"/>
  <c r="E20" i="3"/>
  <c r="E21" i="3"/>
  <c r="C28" i="11"/>
  <c r="C27" i="11" s="1"/>
  <c r="C44" i="68"/>
  <c r="D41" i="68" s="1"/>
  <c r="B23" i="1"/>
  <c r="C26" i="68" s="1"/>
  <c r="D22" i="68" s="1"/>
  <c r="B24" i="1"/>
  <c r="F34" i="11" s="1"/>
  <c r="C44" i="11"/>
  <c r="D41" i="11" s="1"/>
  <c r="C29" i="68"/>
  <c r="D27" i="68" s="1"/>
  <c r="C29" i="11"/>
  <c r="D27" i="11" s="1"/>
  <c r="C26" i="69"/>
  <c r="D22" i="69" s="1"/>
  <c r="F41" i="68"/>
  <c r="C24" i="11"/>
  <c r="C23" i="11"/>
  <c r="C44" i="69"/>
  <c r="D41" i="69" s="1"/>
  <c r="C16" i="71"/>
  <c r="D17" i="71"/>
  <c r="C18" i="67"/>
  <c r="C15" i="67"/>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F50" i="11" l="1"/>
  <c r="C25" i="11"/>
  <c r="C22" i="11" s="1"/>
  <c r="C26" i="11"/>
  <c r="D22" i="11" s="1"/>
  <c r="F50" i="68"/>
  <c r="H6" i="3"/>
  <c r="E2" i="7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100" i="3"/>
  <c r="AY193" i="3"/>
  <c r="AY291" i="3"/>
  <c r="AY227" i="3"/>
  <c r="AY88" i="3"/>
  <c r="AY121" i="3"/>
  <c r="AY341" i="3"/>
  <c r="AY438" i="3"/>
  <c r="AY572" i="3"/>
  <c r="AY584" i="3"/>
  <c r="AY96" i="3"/>
  <c r="AY194" i="3"/>
  <c r="AY129" i="3"/>
  <c r="AY223" i="3"/>
  <c r="AY329" i="3"/>
  <c r="AY487" i="3"/>
  <c r="AY442" i="3"/>
  <c r="AY407" i="3"/>
  <c r="D3" i="6"/>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84" i="3"/>
  <c r="AY162" i="3"/>
  <c r="AY286" i="3"/>
  <c r="AY373" i="3"/>
  <c r="AY72" i="3"/>
  <c r="AY275" i="3"/>
  <c r="AY324" i="3"/>
  <c r="AY406" i="3"/>
  <c r="AY536" i="3"/>
  <c r="AY514" i="3"/>
  <c r="AY65" i="3"/>
  <c r="AY189" i="3"/>
  <c r="AY282" i="3"/>
  <c r="AY380" i="3"/>
  <c r="AY313" i="3"/>
  <c r="AY484" i="3"/>
  <c r="AY426" i="3"/>
  <c r="AY57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07" i="3"/>
  <c r="AY42" i="3"/>
  <c r="AY168" i="3"/>
  <c r="AY176" i="3"/>
  <c r="AY335" i="3"/>
  <c r="AY209" i="3"/>
  <c r="AY260" i="3"/>
  <c r="AY549" i="3"/>
  <c r="AY44" i="3"/>
  <c r="AY283" i="3"/>
  <c r="AY360" i="3"/>
  <c r="AY295" i="3"/>
  <c r="AY475" i="3"/>
  <c r="AY534" i="3"/>
  <c r="AY387" i="3"/>
  <c r="AY562" i="3"/>
  <c r="AY302" i="3"/>
  <c r="AY279" i="3"/>
  <c r="BN6" i="3"/>
  <c r="AY31" i="3"/>
  <c r="AY478" i="3"/>
  <c r="AY20" i="3"/>
  <c r="AY238" i="3"/>
  <c r="AY161" i="3"/>
  <c r="AY480" i="3"/>
  <c r="AY543" i="3"/>
  <c r="AY37" i="3"/>
  <c r="AY266" i="3"/>
  <c r="AY312" i="3"/>
  <c r="AY423"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297" i="3"/>
  <c r="AY310" i="3"/>
  <c r="AY230" i="3"/>
  <c r="AY353" i="3"/>
  <c r="AY501" i="3"/>
  <c r="BS6" i="3"/>
  <c r="AY577" i="3"/>
  <c r="AY105" i="3"/>
  <c r="AY507" i="3"/>
  <c r="AY580" i="3"/>
  <c r="AY137" i="3"/>
  <c r="AY453" i="3"/>
  <c r="AY531" i="3"/>
  <c r="AY35" i="3"/>
  <c r="AY331" i="3"/>
  <c r="AY86" i="3"/>
  <c r="AY159" i="3"/>
  <c r="AY459" i="3"/>
  <c r="AY235" i="3"/>
  <c r="AY537" i="3"/>
  <c r="AY482" i="3"/>
  <c r="AY339" i="3"/>
  <c r="AY361" i="3"/>
  <c r="BP6" i="3"/>
  <c r="AY500" i="3"/>
  <c r="AY443" i="3"/>
  <c r="AY245" i="3"/>
  <c r="AY299" i="3"/>
  <c r="AY114" i="3"/>
  <c r="AY491" i="3"/>
  <c r="AY237" i="3"/>
  <c r="AY130" i="3"/>
  <c r="AY132" i="3"/>
  <c r="AY52" i="3"/>
  <c r="AY29" i="3"/>
  <c r="AY552" i="3"/>
  <c r="AY251" i="3"/>
  <c r="AY410" i="3"/>
  <c r="AY99" i="3"/>
  <c r="AY232" i="3"/>
  <c r="AY560" i="3"/>
  <c r="AY277" i="3"/>
  <c r="AY429" i="3"/>
  <c r="AY352" i="3"/>
  <c r="AY563" i="3"/>
  <c r="AY13" i="3"/>
  <c r="AY432" i="3"/>
  <c r="AY320" i="3"/>
  <c r="AY62" i="3"/>
  <c r="AY107" i="3"/>
  <c r="AY566" i="3"/>
  <c r="AY188" i="3"/>
  <c r="AY139" i="3"/>
  <c r="AY428" i="3"/>
  <c r="AY342" i="3"/>
  <c r="AY553" i="3"/>
  <c r="AY170" i="3"/>
  <c r="AY246" i="3"/>
  <c r="AY41" i="3"/>
  <c r="AY377" i="3"/>
  <c r="AY414" i="3"/>
  <c r="AY16" i="3"/>
  <c r="AY269" i="3"/>
  <c r="AY68" i="3"/>
  <c r="AY365" i="3"/>
  <c r="AY308" i="3"/>
  <c r="AY496" i="3"/>
  <c r="AY412" i="3"/>
  <c r="AY539" i="3"/>
  <c r="AY173" i="3"/>
  <c r="AY368" i="3"/>
  <c r="AY215" i="3"/>
  <c r="AY419" i="3"/>
  <c r="AY582" i="3"/>
  <c r="AY169" i="3"/>
  <c r="AY369" i="3"/>
  <c r="AY468" i="3"/>
  <c r="AY499"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89" i="3"/>
  <c r="AY441" i="3"/>
  <c r="AY97" i="3"/>
  <c r="AY154" i="3"/>
  <c r="AY56" i="3"/>
  <c r="AY398" i="3"/>
  <c r="AY244" i="3"/>
  <c r="AY36" i="3"/>
  <c r="AY467" i="3"/>
  <c r="AY497" i="3"/>
  <c r="AY134" i="3"/>
  <c r="AY370" i="3"/>
  <c r="AY519" i="3"/>
  <c r="AY345" i="3"/>
  <c r="AY14" i="3"/>
  <c r="AY280" i="3"/>
  <c r="AY405" i="3"/>
  <c r="AY213" i="3"/>
  <c r="AY504" i="3"/>
  <c r="AY461" i="3"/>
  <c r="AY140" i="3"/>
  <c r="AY22" i="3"/>
  <c r="AY64" i="3"/>
  <c r="AY402" i="3"/>
  <c r="AY265" i="3"/>
  <c r="AY143" i="3"/>
  <c r="AY366" i="3"/>
  <c r="AY252" i="3"/>
  <c r="AY513" i="3"/>
  <c r="AY60" i="3"/>
  <c r="AY357" i="3"/>
  <c r="AY561" i="3"/>
  <c r="AY535" i="3"/>
  <c r="AY117" i="3"/>
  <c r="AY516" i="3"/>
  <c r="AY326" i="3"/>
  <c r="AY270" i="3"/>
  <c r="AY483" i="3"/>
  <c r="AY80" i="3"/>
  <c r="AY328" i="3"/>
  <c r="AY565" i="3"/>
  <c r="AY156" i="3"/>
  <c r="AY469" i="3"/>
  <c r="AY38" i="3"/>
  <c r="AY354" i="3"/>
  <c r="AY32" i="3"/>
  <c r="AY431" i="3"/>
  <c r="AY233" i="3"/>
  <c r="AY136" i="3"/>
  <c r="AY153" i="3"/>
  <c r="AY538" i="3"/>
  <c r="AY359" i="3"/>
  <c r="AY240" i="3"/>
  <c r="AC6" i="3"/>
  <c r="G26" i="43"/>
  <c r="N370" i="46"/>
  <c r="H26" i="43"/>
  <c r="B116" i="43"/>
  <c r="N94" i="46"/>
  <c r="J26" i="43"/>
  <c r="Z7" i="43"/>
  <c r="F26" i="43"/>
  <c r="E26" i="43"/>
  <c r="C26" i="12"/>
  <c r="D25" i="12" s="1"/>
  <c r="F11" i="12"/>
  <c r="C14" i="12" s="1"/>
  <c r="C16" i="12" s="1"/>
  <c r="C21" i="12" s="1"/>
  <c r="C22" i="12" s="1"/>
  <c r="F50" i="69"/>
  <c r="F34" i="68"/>
  <c r="M59" i="67"/>
  <c r="M59" i="15"/>
  <c r="C29" i="12"/>
  <c r="D28" i="12" s="1"/>
  <c r="C15" i="71"/>
  <c r="T16" i="71"/>
  <c r="D16" i="71"/>
  <c r="U16" i="71" s="1"/>
  <c r="C19" i="67"/>
  <c r="C20" i="67" s="1"/>
  <c r="C26" i="67" s="1"/>
  <c r="T16" i="1"/>
  <c r="C18" i="15"/>
  <c r="C15" i="15"/>
  <c r="C36" i="11"/>
  <c r="C37" i="11"/>
  <c r="C34" i="11"/>
  <c r="H19" i="6"/>
  <c r="S19" i="6"/>
  <c r="S27" i="6" s="1"/>
  <c r="I27" i="6"/>
  <c r="C19" i="68"/>
  <c r="D37" i="68"/>
  <c r="C19" i="69"/>
  <c r="C24" i="69" s="1"/>
  <c r="D37" i="69"/>
  <c r="C37" i="69" s="1"/>
  <c r="C33" i="69" s="1"/>
  <c r="C23" i="69"/>
  <c r="I69" i="39"/>
  <c r="J67" i="39"/>
  <c r="I63" i="40"/>
  <c r="H65" i="40"/>
  <c r="I58" i="21"/>
  <c r="J58" i="21" s="1"/>
  <c r="K58" i="21" s="1"/>
  <c r="L58" i="21" s="1"/>
  <c r="M58" i="21" s="1"/>
  <c r="N58" i="21" s="1"/>
  <c r="O58" i="21" s="1"/>
  <c r="H7" i="21" s="1"/>
  <c r="J48" i="35"/>
  <c r="C31" i="11" l="1"/>
  <c r="E6" i="3"/>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D118" i="43"/>
  <c r="E118" i="43" s="1"/>
  <c r="F118" i="43" s="1"/>
  <c r="G118" i="43" s="1"/>
  <c r="H118" i="43" s="1"/>
  <c r="I118" i="43"/>
  <c r="J118" i="43" s="1"/>
  <c r="K118" i="43" s="1"/>
  <c r="L118" i="43" s="1"/>
  <c r="M118" i="43" s="1"/>
  <c r="D120" i="43"/>
  <c r="E120" i="43" s="1"/>
  <c r="F120" i="43" s="1"/>
  <c r="G120" i="43" s="1"/>
  <c r="H120" i="43" s="1"/>
  <c r="B118" i="43"/>
  <c r="I121" i="43"/>
  <c r="J121" i="43" s="1"/>
  <c r="K121" i="43" s="1"/>
  <c r="L121" i="43" s="1"/>
  <c r="M121" i="43" s="1"/>
  <c r="D119" i="43"/>
  <c r="E119" i="43" s="1"/>
  <c r="F119" i="43" s="1"/>
  <c r="G119" i="43" s="1"/>
  <c r="H119" i="43" s="1"/>
  <c r="D121" i="43"/>
  <c r="E121" i="43" s="1"/>
  <c r="F121" i="43" s="1"/>
  <c r="C33" i="43"/>
  <c r="C14" i="74"/>
  <c r="D21" i="6"/>
  <c r="D26" i="6"/>
  <c r="D9" i="6"/>
  <c r="H21" i="6"/>
  <c r="D5" i="6"/>
  <c r="D28" i="6"/>
  <c r="D15" i="6"/>
  <c r="D20" i="6"/>
  <c r="D14" i="6"/>
  <c r="L19" i="9"/>
  <c r="C18" i="4"/>
  <c r="D11" i="6"/>
  <c r="H26" i="6"/>
  <c r="D22" i="6"/>
  <c r="D6" i="6"/>
  <c r="D23" i="6"/>
  <c r="D25" i="6"/>
  <c r="D24" i="6"/>
  <c r="D8" i="6"/>
  <c r="D10" i="6"/>
  <c r="D19" i="6"/>
  <c r="R19" i="6" s="1"/>
  <c r="D12" i="6"/>
  <c r="E61" i="40"/>
  <c r="M19" i="9"/>
  <c r="C118" i="9" s="1"/>
  <c r="B2" i="74" s="1"/>
  <c r="D29" i="6"/>
  <c r="D13" i="6"/>
  <c r="H25" i="6"/>
  <c r="H20" i="6"/>
  <c r="R20" i="6" s="1"/>
  <c r="R7" i="1" s="1"/>
  <c r="H24" i="6"/>
  <c r="H22" i="6"/>
  <c r="H23" i="6"/>
  <c r="C23" i="12"/>
  <c r="C27" i="12" s="1"/>
  <c r="C25" i="12" s="1"/>
  <c r="C37" i="68"/>
  <c r="C36" i="68"/>
  <c r="C34" i="68"/>
  <c r="C14" i="71"/>
  <c r="D15" i="71"/>
  <c r="F7" i="21"/>
  <c r="S7" i="21" s="1"/>
  <c r="J7" i="21"/>
  <c r="AC7" i="21" s="1"/>
  <c r="V48" i="21" s="1"/>
  <c r="I48" i="21" s="1"/>
  <c r="C23" i="67"/>
  <c r="C29" i="67" s="1"/>
  <c r="J59" i="67" s="1"/>
  <c r="J60" i="67" s="1"/>
  <c r="Q48" i="67" s="1"/>
  <c r="C19" i="15"/>
  <c r="C20" i="15" s="1"/>
  <c r="C26" i="15" s="1"/>
  <c r="C38" i="11"/>
  <c r="C35" i="11"/>
  <c r="C20" i="69"/>
  <c r="C28" i="69" s="1"/>
  <c r="C27" i="69" s="1"/>
  <c r="C24" i="68"/>
  <c r="C39" i="69"/>
  <c r="C43" i="69" s="1"/>
  <c r="C42" i="69"/>
  <c r="J69" i="39"/>
  <c r="K67" i="39"/>
  <c r="U7" i="21"/>
  <c r="AB7" i="21"/>
  <c r="T48" i="21" s="1"/>
  <c r="G48" i="21" s="1"/>
  <c r="J63" i="40"/>
  <c r="I65" i="40"/>
  <c r="K48" i="35"/>
  <c r="L48" i="35" s="1"/>
  <c r="M48" i="35" s="1"/>
  <c r="N48" i="35" s="1"/>
  <c r="O48" i="35" s="1"/>
  <c r="H7" i="35" s="1"/>
  <c r="R25" i="6" l="1"/>
  <c r="R12" i="1" s="1"/>
  <c r="R21" i="6"/>
  <c r="R8" i="1" s="1"/>
  <c r="R23" i="6"/>
  <c r="R10" i="1" s="1"/>
  <c r="H27" i="6"/>
  <c r="D30" i="6"/>
  <c r="R26" i="6"/>
  <c r="D7" i="74"/>
  <c r="D8" i="74"/>
  <c r="R22" i="6"/>
  <c r="R9" i="1" s="1"/>
  <c r="R24" i="6"/>
  <c r="R11" i="1" s="1"/>
  <c r="D27" i="6"/>
  <c r="D31" i="6" s="1"/>
  <c r="D16" i="6"/>
  <c r="C4" i="52"/>
  <c r="B45" i="72" s="1"/>
  <c r="A10" i="51"/>
  <c r="B9" i="72" s="1"/>
  <c r="A7" i="51"/>
  <c r="B7" i="72" s="1"/>
  <c r="C34" i="43"/>
  <c r="E34" i="43" s="1"/>
  <c r="C31" i="43" s="1"/>
  <c r="E33" i="43"/>
  <c r="C30" i="43" s="1"/>
  <c r="C118" i="43"/>
  <c r="D116" i="43" s="1"/>
  <c r="C30" i="12"/>
  <c r="C28" i="12" s="1"/>
  <c r="C32" i="12" s="1"/>
  <c r="B2" i="12" s="1"/>
  <c r="C38" i="68"/>
  <c r="C35" i="68"/>
  <c r="D14" i="71"/>
  <c r="C13" i="71"/>
  <c r="W7" i="21"/>
  <c r="AA7" i="21"/>
  <c r="R48" i="21" s="1"/>
  <c r="J7" i="35"/>
  <c r="W7" i="35" s="1"/>
  <c r="Q49" i="67"/>
  <c r="J14" i="67"/>
  <c r="J13" i="67" s="1"/>
  <c r="J23" i="67" s="1"/>
  <c r="C36" i="67"/>
  <c r="C57" i="67"/>
  <c r="C64" i="67" s="1"/>
  <c r="C13" i="67"/>
  <c r="Q70" i="67" s="1"/>
  <c r="C33" i="11"/>
  <c r="C39" i="11" s="1"/>
  <c r="C61" i="67"/>
  <c r="C23" i="15"/>
  <c r="C29" i="15" s="1"/>
  <c r="C41" i="69"/>
  <c r="R6" i="1"/>
  <c r="C46" i="69"/>
  <c r="C45" i="69" s="1"/>
  <c r="C25" i="69"/>
  <c r="C22" i="69" s="1"/>
  <c r="C31" i="69" s="1"/>
  <c r="L67" i="39"/>
  <c r="K69" i="39"/>
  <c r="J65" i="40"/>
  <c r="K63" i="40"/>
  <c r="I52" i="21"/>
  <c r="J52" i="21" s="1"/>
  <c r="U7" i="35"/>
  <c r="AB7" i="35"/>
  <c r="T38" i="35" s="1"/>
  <c r="G38" i="35" s="1"/>
  <c r="R49" i="21"/>
  <c r="E48" i="21"/>
  <c r="G52" i="21"/>
  <c r="H52" i="21" s="1"/>
  <c r="G53" i="21"/>
  <c r="H53" i="21" s="1"/>
  <c r="F7" i="35"/>
  <c r="E6" i="76"/>
  <c r="F35" i="15"/>
  <c r="F35" i="67"/>
  <c r="M21" i="67"/>
  <c r="D19" i="9"/>
  <c r="M21" i="15"/>
  <c r="E2" i="76" l="1"/>
  <c r="R27" i="6"/>
  <c r="B2" i="43"/>
  <c r="I5" i="6"/>
  <c r="I6" i="6"/>
  <c r="C33" i="68"/>
  <c r="C39" i="68" s="1"/>
  <c r="C43" i="68" s="1"/>
  <c r="D102" i="9"/>
  <c r="D21" i="9"/>
  <c r="B3" i="12"/>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6" i="76"/>
  <c r="D20" i="9"/>
  <c r="B2" i="76" l="1"/>
  <c r="B3" i="76" s="1"/>
  <c r="B3" i="43"/>
  <c r="C42" i="68"/>
  <c r="C41" i="68" s="1"/>
  <c r="C46" i="68"/>
  <c r="C45" i="68" s="1"/>
  <c r="D103"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9" i="68" l="1"/>
  <c r="C51"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8" i="1"/>
  <c r="AO11" i="1"/>
  <c r="AO9" i="1"/>
  <c r="AO10" i="1"/>
  <c r="AO6" i="1"/>
  <c r="AO12" i="1"/>
  <c r="R48" i="39" l="1"/>
  <c r="C47"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D7" i="71"/>
  <c r="C6" i="71"/>
  <c r="B2" i="70"/>
  <c r="B3" i="70" s="1"/>
  <c r="I46" i="40"/>
  <c r="J46" i="40" s="1"/>
  <c r="R43" i="40"/>
  <c r="E42" i="40"/>
  <c r="G47" i="40"/>
  <c r="H47" i="40" s="1"/>
  <c r="G46" i="40"/>
  <c r="H46" i="40" s="1"/>
  <c r="B61" i="39" l="1"/>
  <c r="F61" i="39" s="1"/>
  <c r="B59" i="39"/>
  <c r="F59" i="39" s="1"/>
  <c r="B56" i="39"/>
  <c r="F56" i="39" s="1"/>
  <c r="B64" i="39"/>
  <c r="F64" i="39" s="1"/>
  <c r="B62" i="39"/>
  <c r="F62" i="39" s="1"/>
  <c r="B60" i="39"/>
  <c r="F60" i="39" s="1"/>
  <c r="B58" i="39"/>
  <c r="F58" i="39" s="1"/>
  <c r="B57" i="39"/>
  <c r="F57" i="39" s="1"/>
  <c r="D6" i="71"/>
  <c r="C5" i="71"/>
  <c r="D5" i="71" s="1"/>
  <c r="M24" i="43" s="1"/>
  <c r="C42" i="40"/>
  <c r="C43" i="40"/>
  <c r="E47" i="40"/>
  <c r="F47" i="40" s="1"/>
  <c r="E46" i="40"/>
  <c r="F46" i="40" s="1"/>
  <c r="I47" i="40"/>
  <c r="J47" i="40" s="1"/>
  <c r="F65" i="39" l="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s="1"/>
  <c r="C5" i="68" s="1"/>
  <c r="C23" i="68" l="1"/>
  <c r="C20" i="68"/>
  <c r="C28" i="68" l="1"/>
  <c r="C27" i="68" s="1"/>
  <c r="C25" i="68"/>
  <c r="C22" i="68" s="1"/>
  <c r="C31" i="68" l="1"/>
  <c r="C52" i="68" s="1"/>
  <c r="C57" i="68" s="1"/>
  <c r="C56" i="68" s="1"/>
  <c r="B2" i="68" l="1"/>
  <c r="C19" i="9"/>
  <c r="B3" i="68" l="1"/>
  <c r="C21" i="9"/>
  <c r="D22" i="9"/>
  <c r="G19" i="9"/>
  <c r="G21" i="9" s="1"/>
  <c r="C102" i="9"/>
  <c r="C20" i="9"/>
  <c r="D34" i="9"/>
  <c r="D35" i="9"/>
  <c r="G20" i="9" l="1"/>
  <c r="C103" i="9"/>
  <c r="C32" i="9"/>
  <c r="C35" i="9" l="1"/>
  <c r="H118" i="9"/>
  <c r="H4" i="52" l="1"/>
  <c r="H119" i="9"/>
  <c r="H5" i="52" s="1"/>
  <c r="H101" i="9"/>
  <c r="D14" i="74" s="1"/>
  <c r="I118" i="9"/>
  <c r="C104" i="9"/>
  <c r="C34" i="9"/>
  <c r="D118" i="9" s="1"/>
  <c r="F118" i="9"/>
  <c r="B5" i="74" l="1"/>
  <c r="D5" i="74" s="1"/>
  <c r="E14" i="74"/>
  <c r="F14" i="74"/>
  <c r="I4" i="52"/>
  <c r="H102" i="9"/>
  <c r="C105" i="9"/>
  <c r="F119" i="9"/>
  <c r="F5" i="52" s="1"/>
  <c r="B53" i="72" s="1"/>
  <c r="F4" i="52"/>
  <c r="B51" i="72" s="1"/>
  <c r="G118" i="9"/>
  <c r="G4" i="52" s="1"/>
  <c r="B52" i="72" s="1"/>
  <c r="D5" i="53"/>
  <c r="H107" i="9"/>
  <c r="G14" i="74" s="1"/>
  <c r="B6" i="74" s="1"/>
  <c r="D6" i="74" s="1"/>
  <c r="M48" i="9"/>
  <c r="D45" i="9"/>
  <c r="D4" i="52"/>
  <c r="B47" i="72" s="1"/>
  <c r="D119" i="9"/>
  <c r="D5" i="52" s="1"/>
  <c r="B49" i="72" s="1"/>
  <c r="D6" i="53" l="1"/>
  <c r="B22" i="72" s="1"/>
  <c r="B20" i="72"/>
  <c r="C78" i="9"/>
  <c r="C73" i="9" s="1"/>
  <c r="D53" i="9"/>
  <c r="C64" i="9"/>
  <c r="C63" i="9" s="1"/>
  <c r="C67" i="9" s="1"/>
  <c r="C93" i="9"/>
  <c r="C86" i="9" s="1"/>
  <c r="D55" i="9"/>
  <c r="M53" i="9" s="1"/>
  <c r="C85" i="9"/>
  <c r="D52" i="9"/>
  <c r="C72" i="9"/>
  <c r="D7" i="53"/>
  <c r="B21" i="72" s="1"/>
  <c r="C5" i="74"/>
  <c r="M49" i="9"/>
  <c r="D122" i="9"/>
  <c r="D13" i="53"/>
  <c r="H108" i="9"/>
  <c r="E118" i="9"/>
  <c r="E4" i="52" s="1"/>
  <c r="B48" i="72" s="1"/>
  <c r="C79" i="9" l="1"/>
  <c r="C95" i="9"/>
  <c r="C96" i="9" s="1"/>
  <c r="E96" i="9" s="1"/>
  <c r="E97" i="9" s="1"/>
  <c r="D15" i="53"/>
  <c r="B31" i="72" s="1"/>
  <c r="C6" i="74"/>
  <c r="B30" i="72"/>
  <c r="D14" i="53"/>
  <c r="B32" i="72" s="1"/>
  <c r="D8" i="52"/>
  <c r="D123" i="9"/>
  <c r="D9" i="52" s="1"/>
  <c r="C80" i="9"/>
  <c r="E80" i="9" s="1"/>
  <c r="E81" i="9" s="1"/>
  <c r="C81" i="9"/>
  <c r="L64" i="9"/>
  <c r="M64" i="9" s="1"/>
  <c r="L65" i="9"/>
  <c r="M65" i="9" s="1"/>
  <c r="L66" i="9"/>
  <c r="M66" i="9" s="1"/>
  <c r="L68" i="9"/>
  <c r="M68" i="9" s="1"/>
  <c r="L67" i="9"/>
  <c r="M67" i="9" s="1"/>
  <c r="L63" i="9"/>
  <c r="M63" i="9" s="1"/>
  <c r="C68" i="9"/>
  <c r="D54" i="9" s="1"/>
  <c r="D59" i="9"/>
  <c r="M55" i="9" s="1"/>
  <c r="C97" i="9" l="1"/>
  <c r="D58" i="9" s="1"/>
  <c r="D56" i="9" s="1"/>
  <c r="M54" i="9" s="1"/>
  <c r="N57" i="9" s="1"/>
  <c r="N58" i="9" s="1"/>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<sst xmlns="http://schemas.openxmlformats.org/spreadsheetml/2006/main" count="10841" uniqueCount="3987">
  <si>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</si>
  <si>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</si>
  <si>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</si>
  <si>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</si>
  <si>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</si>
  <si>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</si>
  <si>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</si>
  <si>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</si>
  <si>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</si>
  <si>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</si>
  <si>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</si>
  <si>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</si>
  <si>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</si>
  <si>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</si>
  <si>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</si>
  <si>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</si>
  <si>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</si>
  <si>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</si>
  <si>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</si>
  <si>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</si>
  <si>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</si>
  <si>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</si>
  <si>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</si>
  <si>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</si>
  <si>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</si>
  <si>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</si>
  <si>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</si>
  <si>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</si>
  <si>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</si>
  <si>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</si>
  <si>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</si>
  <si>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</si>
  <si>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</si>
  <si>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</si>
  <si>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</si>
  <si>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</si>
  <si>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</si>
  <si>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</si>
  <si>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</si>
  <si>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</si>
  <si>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</si>
  <si>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</si>
  <si>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</si>
  <si>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</si>
  <si>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</si>
  <si>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</si>
  <si>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</si>
  <si>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</si>
  <si>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</si>
  <si>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</si>
  <si>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</si>
  <si>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</si>
  <si>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</si>
  <si>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</si>
  <si>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</si>
  <si>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</si>
  <si>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</si>
  <si>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</si>
  <si>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</si>
  <si>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</si>
  <si>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</si>
  <si>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</si>
  <si>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</si>
  <si>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</si>
  <si>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</si>
  <si>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</si>
  <si>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</si>
  <si>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</si>
  <si>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</si>
  <si>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</si>
  <si>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</si>
  <si>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</si>
  <si>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</si>
  <si>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</si>
  <si>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</si>
  <si>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</si>
  <si>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</si>
  <si>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</si>
  <si>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</si>
  <si>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</si>
  <si>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</si>
  <si>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</si>
  <si>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</si>
  <si>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</si>
  <si>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</si>
  <si>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</si>
  <si>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</si>
  <si>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</si>
  <si>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</si>
  <si>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</si>
  <si>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</si>
  <si>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</si>
  <si>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</si>
  <si>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</si>
  <si>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</si>
  <si>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</si>
  <si>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</si>
  <si>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</si>
  <si>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</si>
  <si>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</si>
  <si>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</si>
  <si>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</si>
  <si>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</si>
  <si>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</si>
  <si>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</si>
  <si>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</si>
  <si>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</si>
  <si>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</si>
  <si>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</si>
  <si>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</si>
  <si>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</si>
  <si>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</si>
  <si>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</si>
  <si>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</si>
  <si>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</si>
  <si>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</si>
  <si>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</si>
  <si>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</si>
  <si>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</si>
  <si>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</si>
  <si>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</si>
  <si>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</si>
  <si>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</si>
  <si>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</si>
  <si>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</si>
  <si>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</si>
  <si>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</si>
  <si>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</si>
  <si>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</si>
  <si>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</si>
  <si>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</si>
  <si>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</si>
  <si>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</si>
  <si>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</si>
  <si>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</si>
  <si>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</si>
  <si>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</si>
  <si>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</si>
  <si>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</si>
  <si>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</si>
  <si>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</si>
  <si>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</si>
  <si>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</si>
  <si>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</si>
  <si>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</si>
  <si>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</si>
  <si>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</si>
  <si>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</si>
  <si>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</si>
  <si>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</si>
  <si>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</si>
  <si>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</si>
  <si>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</si>
  <si>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</si>
  <si>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</si>
  <si>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</si>
  <si>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</si>
  <si>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</si>
  <si>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</si>
  <si>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</si>
  <si>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</si>
  <si>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</si>
  <si>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</si>
  <si>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</si>
  <si>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</si>
  <si>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</si>
  <si>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</si>
  <si>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</si>
  <si>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</si>
  <si>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</si>
  <si>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</si>
  <si>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</si>
  <si>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</si>
  <si>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</si>
  <si>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</si>
  <si>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</si>
  <si>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</si>
  <si>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</si>
  <si>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</si>
  <si>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</si>
  <si>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</si>
  <si>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</si>
  <si>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</si>
  <si>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</si>
  <si>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</si>
  <si>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</si>
  <si>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</si>
  <si>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</si>
  <si>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</si>
  <si>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</si>
  <si>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</si>
  <si>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</si>
  <si>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</si>
  <si>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</si>
  <si>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</si>
  <si>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</si>
  <si>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</si>
  <si>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</si>
  <si>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</si>
  <si>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</si>
  <si>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</si>
  <si>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</si>
  <si>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</si>
  <si>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</si>
  <si>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</si>
  <si>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</si>
  <si>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</si>
  <si>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</si>
  <si>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</si>
  <si>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</si>
  <si>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</si>
  <si>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</si>
  <si>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</si>
  <si>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</si>
  <si>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</si>
  <si>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</si>
  <si>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</si>
  <si>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</si>
  <si>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</si>
  <si>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</si>
  <si>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</si>
  <si>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</si>
  <si>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</si>
  <si>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</si>
  <si>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</si>
  <si>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</si>
  <si>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</si>
  <si>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</si>
  <si>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</si>
  <si>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</si>
  <si>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</si>
  <si>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</si>
  <si>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</si>
  <si>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</si>
  <si>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</si>
  <si>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</si>
  <si>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</si>
  <si>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</si>
  <si>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</si>
  <si>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</si>
  <si>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</si>
  <si>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</si>
  <si>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</si>
  <si>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</si>
  <si>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</si>
  <si>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</si>
  <si>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</si>
  <si>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</si>
  <si>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</si>
  <si>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</si>
  <si>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</si>
  <si>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</si>
  <si>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</si>
  <si>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</si>
  <si>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</si>
  <si>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</si>
  <si>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</si>
  <si>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</si>
  <si>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</si>
  <si>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</si>
  <si>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</si>
  <si>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</si>
  <si>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</si>
  <si>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</si>
  <si>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</si>
  <si>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</si>
  <si>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</si>
  <si>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</si>
  <si>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</si>
  <si>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</si>
  <si>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</si>
  <si>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</si>
  <si>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</si>
  <si>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</si>
  <si>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</si>
  <si>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</si>
  <si>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</si>
  <si>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</si>
  <si>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</si>
  <si>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</si>
  <si>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</si>
  <si>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</si>
  <si>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</si>
  <si>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</si>
  <si>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</si>
  <si>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</si>
  <si>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</si>
  <si>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</si>
  <si>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</si>
  <si>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</si>
  <si>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</si>
  <si>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</si>
  <si>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</si>
  <si>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</si>
  <si>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</si>
  <si>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</si>
  <si>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</si>
  <si>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</si>
  <si>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</si>
  <si>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</si>
  <si>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</si>
  <si>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</si>
  <si>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</si>
  <si>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</si>
  <si>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</si>
  <si>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</si>
  <si>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</si>
  <si>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</si>
  <si>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</si>
  <si>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</si>
  <si>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</si>
  <si>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</si>
  <si>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</si>
  <si>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</si>
  <si>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</si>
  <si>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</si>
  <si>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</si>
  <si>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</si>
  <si>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</si>
  <si>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</si>
  <si>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</si>
  <si>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</si>
  <si>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</si>
  <si>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</si>
  <si>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</si>
  <si>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</si>
  <si>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</si>
  <si>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</si>
  <si>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</si>
  <si>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</si>
  <si>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</si>
  <si>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</si>
  <si>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</si>
  <si>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</si>
  <si>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</si>
  <si>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</si>
  <si>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</si>
  <si>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</si>
  <si>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</si>
  <si>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</si>
  <si>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</si>
  <si>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</si>
  <si>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</si>
  <si>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</si>
  <si>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</si>
  <si>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</si>
  <si>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</si>
  <si>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</si>
  <si>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</si>
  <si>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</si>
  <si>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</si>
  <si>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</si>
  <si>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</si>
  <si>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</si>
  <si>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</si>
  <si>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</si>
  <si>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</si>
  <si>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</si>
  <si>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</si>
  <si>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</si>
  <si>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</si>
  <si>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</si>
  <si>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</si>
  <si>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</si>
  <si>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</si>
  <si>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</si>
  <si>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</si>
  <si>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</si>
  <si>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</si>
  <si>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</si>
  <si>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</si>
  <si>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</si>
  <si>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</si>
  <si>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</si>
  <si>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</si>
  <si>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</si>
  <si>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</si>
  <si>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</si>
  <si>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</si>
  <si>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</si>
  <si>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</si>
  <si>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</si>
  <si>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</si>
  <si>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</si>
  <si>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</si>
  <si>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</si>
  <si>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</si>
  <si>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</si>
  <si>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</si>
  <si>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</si>
  <si>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</si>
  <si>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</si>
  <si>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</si>
  <si>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</si>
  <si>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</si>
  <si>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</si>
  <si>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</si>
  <si>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</si>
  <si>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</si>
  <si>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</si>
  <si>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</si>
  <si>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</si>
  <si>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</si>
  <si>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</si>
  <si>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</si>
  <si>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</si>
  <si>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</si>
  <si>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</si>
  <si>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</si>
  <si>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</si>
  <si>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</si>
  <si>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</si>
  <si>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</si>
  <si>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</si>
  <si>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</si>
  <si>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</si>
  <si>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</si>
  <si>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</si>
  <si>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</si>
  <si>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</si>
  <si>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</si>
  <si>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</si>
  <si>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</si>
  <si>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</si>
  <si>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</si>
  <si>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</si>
  <si>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</si>
  <si>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</si>
  <si>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</si>
  <si>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</si>
  <si>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</si>
  <si>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</si>
  <si>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</si>
  <si>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</si>
  <si>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</si>
  <si>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</si>
  <si>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</si>
  <si>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</si>
  <si>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</si>
  <si>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</si>
  <si>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</si>
  <si>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</si>
  <si>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</si>
  <si>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</si>
  <si>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</si>
  <si>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</si>
  <si>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</si>
  <si>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</si>
  <si>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</si>
  <si>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</si>
  <si>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</si>
  <si>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</si>
  <si>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</si>
  <si>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</si>
  <si>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</si>
  <si>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</si>
  <si>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</si>
  <si>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</si>
  <si>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</si>
  <si>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</si>
  <si>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</si>
  <si>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</si>
  <si>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</si>
  <si>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</si>
  <si>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</si>
  <si>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</si>
  <si>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</si>
  <si>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</si>
  <si>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</si>
  <si>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</si>
  <si>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</si>
  <si>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</si>
  <si>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</si>
  <si>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</si>
  <si>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</si>
  <si>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</si>
  <si>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</si>
  <si>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</si>
  <si>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</si>
  <si>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</si>
  <si>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</si>
  <si>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</si>
  <si>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</si>
  <si>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</si>
  <si>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</si>
  <si>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</si>
  <si>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</si>
  <si>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</si>
  <si>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</si>
  <si>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</si>
  <si>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</si>
  <si>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</si>
  <si>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</si>
  <si>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</si>
  <si>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</si>
  <si>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</si>
  <si>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</si>
  <si>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</si>
  <si>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</si>
  <si>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</si>
  <si>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</si>
  <si>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</si>
  <si>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</si>
  <si>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</si>
  <si>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</si>
  <si>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</si>
  <si>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</si>
  <si>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</si>
  <si>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</si>
  <si>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</si>
  <si>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</si>
  <si>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</si>
  <si>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</si>
  <si>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</si>
  <si>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</si>
  <si>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</si>
  <si>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</si>
  <si>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</si>
  <si>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</si>
  <si>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</si>
  <si>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</si>
  <si>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</si>
  <si>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</si>
  <si>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</si>
  <si>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</si>
  <si>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</si>
  <si>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</si>
  <si>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</si>
  <si>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</si>
  <si>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</si>
  <si>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</si>
  <si>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</si>
  <si>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</si>
  <si>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</si>
  <si>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</si>
  <si>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</si>
  <si>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</si>
  <si>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</si>
  <si>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</si>
  <si>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</si>
  <si>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</si>
  <si>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</si>
  <si>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</si>
  <si>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</si>
  <si>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</si>
  <si>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</si>
  <si>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</si>
  <si>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</si>
  <si>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</si>
  <si>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</si>
  <si>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</si>
  <si>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</si>
  <si>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</si>
  <si>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</si>
  <si>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</si>
  <si>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</si>
  <si>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</si>
  <si>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</si>
  <si>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</si>
  <si>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</si>
  <si>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</si>
  <si>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</si>
  <si>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</si>
  <si>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</si>
  <si>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</si>
  <si>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</si>
  <si>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</si>
  <si>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</si>
  <si>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</si>
  <si>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</si>
  <si>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</si>
  <si>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</si>
  <si>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</si>
  <si>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</si>
  <si>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</si>
  <si>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</si>
  <si>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</si>
  <si>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</si>
  <si>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</si>
  <si>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</si>
  <si>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</si>
  <si>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</si>
  <si>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</si>
  <si>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</si>
  <si>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</si>
  <si>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</si>
  <si>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</si>
  <si>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</si>
  <si>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</si>
  <si>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</si>
  <si>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</si>
  <si>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</si>
  <si>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</si>
  <si>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</si>
  <si>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</si>
  <si>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</si>
  <si>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</si>
  <si>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</si>
  <si>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</si>
  <si>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</si>
  <si>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</si>
  <si>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</si>
  <si>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</si>
  <si>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</si>
  <si>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</si>
  <si>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</si>
  <si>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</si>
  <si>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</si>
  <si>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</si>
  <si>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</si>
  <si>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</si>
  <si>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</si>
  <si>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</si>
  <si>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</si>
  <si>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</si>
  <si>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</si>
  <si>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</si>
  <si>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</si>
  <si>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</si>
  <si>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</si>
  <si>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</si>
  <si>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</si>
  <si>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</si>
  <si>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</si>
  <si>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</si>
  <si>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</si>
  <si>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</si>
  <si>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</si>
  <si>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</si>
  <si>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</si>
  <si>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</si>
  <si>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</si>
  <si>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</si>
  <si>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</si>
  <si>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</si>
  <si>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</si>
  <si>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</si>
  <si>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</si>
  <si>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</si>
  <si>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</si>
  <si>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</si>
  <si>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</si>
  <si>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</si>
  <si>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</si>
  <si>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</si>
  <si>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</si>
  <si>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</si>
  <si>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</si>
  <si>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</si>
  <si>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</si>
  <si>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</si>
  <si>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</si>
  <si>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</si>
  <si>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</si>
  <si>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</si>
  <si>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</si>
  <si>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</si>
  <si>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</si>
  <si>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</si>
  <si>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</si>
  <si>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</si>
  <si>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</si>
  <si>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</si>
  <si>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</si>
  <si>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</si>
  <si>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</si>
  <si>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</si>
  <si>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</si>
  <si>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</si>
  <si>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</si>
  <si>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</si>
  <si>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</si>
  <si>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</si>
  <si>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</si>
  <si>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</si>
  <si>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</si>
  <si>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</si>
  <si>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</si>
  <si>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</si>
  <si>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</si>
  <si>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</si>
  <si>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</si>
  <si>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</si>
  <si>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</si>
  <si>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</si>
  <si>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</si>
  <si>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</si>
  <si>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</si>
  <si>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</si>
  <si>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</si>
  <si>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</si>
  <si>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</si>
  <si>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</si>
  <si>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</si>
  <si>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</si>
  <si>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</si>
  <si>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</si>
  <si>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</si>
  <si>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</si>
  <si>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</si>
  <si>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</si>
  <si>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</si>
  <si>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</si>
  <si>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</si>
  <si>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</si>
  <si>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</si>
  <si>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</si>
  <si>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</si>
  <si>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</si>
  <si>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</si>
  <si>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</si>
  <si>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</si>
  <si>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</si>
  <si>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</si>
  <si>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</si>
  <si>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</si>
  <si>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</si>
  <si>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</si>
  <si>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</si>
  <si>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</si>
  <si>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</si>
  <si>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</si>
  <si>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</si>
  <si>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</si>
  <si>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</si>
  <si>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</si>
  <si>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</si>
  <si>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</si>
  <si>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</si>
  <si>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</si>
  <si>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</si>
  <si>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</si>
  <si>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</si>
  <si>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</si>
  <si>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</si>
  <si>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</si>
  <si>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</si>
  <si>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</si>
  <si>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</si>
  <si>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</si>
  <si>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</si>
  <si>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</si>
  <si>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</si>
  <si>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</si>
  <si>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</si>
  <si>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</si>
  <si>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</si>
  <si>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</si>
  <si>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</si>
  <si>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</si>
  <si>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</si>
  <si>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</si>
  <si>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</si>
  <si>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</si>
  <si>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</si>
  <si>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</si>
  <si>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</si>
  <si>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</si>
  <si>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</si>
  <si>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</si>
  <si>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</si>
  <si>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</si>
  <si>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</si>
  <si>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</si>
  <si>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</si>
  <si>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</si>
  <si>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</si>
  <si>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</si>
  <si>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</si>
  <si>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</si>
  <si>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</si>
  <si>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</si>
  <si>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</si>
  <si>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</si>
  <si>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</si>
  <si>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</si>
  <si>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</si>
  <si>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</si>
  <si>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</si>
  <si>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</si>
  <si>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</si>
  <si>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</si>
  <si>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</si>
  <si>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</si>
  <si>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</si>
  <si>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</si>
  <si>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</si>
  <si>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</si>
  <si>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</si>
  <si>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</si>
  <si>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</si>
  <si>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</si>
  <si>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</si>
  <si>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</si>
  <si>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</si>
  <si>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</si>
  <si>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</si>
  <si>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</si>
  <si>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</si>
  <si>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</si>
  <si>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</si>
  <si>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</si>
  <si>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</si>
  <si>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</si>
  <si>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</si>
  <si>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</si>
  <si>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</si>
  <si>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</si>
  <si>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</si>
  <si>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</si>
  <si>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</si>
  <si>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</si>
  <si>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</si>
  <si>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</si>
  <si>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</si>
  <si>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</si>
  <si>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</si>
  <si>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</si>
  <si>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</si>
  <si>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</si>
  <si>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</si>
  <si>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</si>
  <si>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</si>
  <si>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</si>
  <si>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</si>
  <si>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</si>
  <si>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</si>
  <si>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</si>
  <si>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</si>
  <si>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</si>
  <si>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</si>
  <si>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</si>
  <si>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</si>
  <si>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</si>
  <si>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</si>
  <si>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</si>
  <si>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</si>
  <si>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</si>
  <si>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</si>
  <si>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</si>
  <si>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</si>
  <si>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</si>
  <si>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</si>
  <si>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</si>
  <si>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</si>
  <si>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</si>
  <si>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</si>
  <si>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</si>
  <si>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</si>
  <si>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</si>
  <si>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</si>
  <si>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</si>
  <si>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</si>
  <si>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</si>
  <si>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</si>
  <si>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</si>
  <si>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</si>
  <si>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</si>
  <si>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</si>
  <si>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</si>
  <si>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</si>
  <si>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</si>
  <si>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</si>
  <si>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</si>
  <si>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</si>
  <si>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</si>
  <si>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</si>
  <si>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</si>
  <si>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</si>
  <si>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</si>
  <si>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</si>
  <si>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</si>
  <si>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</si>
  <si>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</si>
  <si>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</si>
  <si>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</si>
  <si>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</si>
  <si>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</si>
  <si>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</si>
  <si>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</si>
  <si>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</si>
  <si>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</si>
  <si>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</si>
  <si>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</si>
  <si>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</si>
  <si>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</si>
  <si>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</si>
  <si>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</si>
  <si>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</si>
  <si>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</si>
  <si>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</si>
  <si>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</si>
  <si>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</si>
  <si>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</si>
  <si>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</si>
  <si>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</si>
  <si>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</si>
  <si>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</si>
  <si>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</si>
  <si>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</si>
  <si>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</si>
  <si>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</si>
  <si>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</si>
  <si>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</si>
  <si>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</si>
  <si>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</si>
  <si>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</si>
  <si>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</si>
  <si>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</si>
  <si>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</si>
  <si>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</si>
  <si>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</si>
  <si>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</si>
  <si>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</si>
  <si>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</si>
  <si>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</si>
  <si>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</si>
  <si>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</si>
  <si>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</si>
  <si>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</si>
  <si>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</si>
  <si>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</si>
  <si>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</si>
  <si>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</si>
  <si>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</si>
  <si>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</si>
  <si>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</si>
  <si>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</si>
  <si>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</si>
  <si>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</si>
  <si>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</si>
  <si>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</si>
  <si>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</si>
  <si>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</si>
  <si>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</si>
  <si>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</si>
  <si>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</si>
  <si>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</si>
  <si>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</si>
  <si>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</si>
  <si>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</si>
  <si>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</si>
  <si>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</si>
  <si>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</si>
  <si>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</si>
  <si>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</si>
  <si>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</si>
  <si>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</si>
  <si>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</si>
  <si>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</si>
  <si>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</si>
  <si>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</si>
  <si>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</si>
  <si>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</si>
  <si>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</si>
  <si>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</si>
  <si>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</si>
  <si>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</si>
  <si>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</si>
  <si>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</si>
  <si>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</si>
  <si>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</si>
  <si>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</si>
  <si>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</si>
  <si>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</si>
  <si>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</si>
  <si>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</si>
  <si>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</si>
  <si>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</si>
  <si>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</si>
  <si>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</si>
  <si>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</si>
  <si>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</si>
  <si>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</si>
  <si>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</si>
  <si>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</si>
  <si>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</si>
  <si>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</si>
  <si>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</si>
  <si>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</si>
  <si>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</si>
  <si>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</si>
  <si>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</si>
  <si>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</si>
  <si>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</si>
  <si>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</si>
  <si>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</si>
  <si>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</si>
  <si>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</si>
  <si>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</si>
  <si>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</si>
  <si>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</si>
  <si>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</si>
  <si>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</si>
  <si>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</si>
  <si>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</si>
  <si>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</si>
  <si>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</si>
  <si>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</si>
  <si>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</si>
  <si>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</si>
  <si>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</si>
  <si>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</si>
  <si>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</si>
  <si>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</si>
  <si>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</si>
  <si>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</si>
  <si>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</si>
  <si>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</si>
  <si>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</si>
  <si>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</si>
  <si>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</si>
  <si>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</si>
  <si>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</si>
  <si>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</si>
  <si>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</si>
  <si>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</si>
  <si>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</si>
  <si>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</si>
  <si>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</si>
  <si>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</si>
  <si>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</si>
  <si>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</si>
  <si>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</si>
  <si>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</si>
  <si>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</si>
  <si>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</si>
  <si>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</si>
  <si>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</si>
  <si>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</si>
  <si>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</si>
  <si>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</si>
  <si>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</si>
  <si>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</si>
  <si>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</si>
  <si>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</si>
  <si>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</si>
  <si>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</si>
  <si>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</si>
  <si>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</si>
  <si>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</si>
  <si>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</si>
  <si>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</si>
  <si>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</si>
  <si>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</si>
  <si>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</si>
  <si>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</si>
  <si>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</si>
  <si>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</si>
  <si>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</si>
  <si>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</si>
  <si>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</si>
  <si>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</si>
  <si>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</si>
  <si>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</si>
  <si>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</si>
  <si>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</si>
  <si>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</si>
  <si>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</si>
  <si>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</si>
  <si>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</si>
  <si>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</si>
  <si>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</si>
  <si>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</si>
  <si>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</si>
  <si>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</si>
  <si>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</si>
  <si>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</si>
  <si>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</si>
  <si>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</si>
  <si>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</si>
  <si>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</si>
  <si>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</si>
  <si>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</si>
  <si>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</si>
  <si>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</si>
  <si>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</si>
  <si>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</si>
  <si>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</si>
  <si>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</si>
  <si>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</si>
  <si>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</si>
  <si>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</si>
  <si>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</si>
  <si>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</si>
  <si>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</si>
  <si>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</si>
  <si>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</si>
  <si>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</si>
  <si>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</si>
  <si>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</si>
  <si>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</si>
  <si>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</si>
  <si>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</si>
  <si>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</si>
  <si>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</si>
  <si>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</si>
  <si>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</si>
  <si>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</si>
  <si>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</si>
  <si>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</si>
  <si>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</si>
  <si>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</si>
  <si>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</si>
  <si>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</si>
  <si>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</si>
  <si>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</si>
  <si>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</si>
  <si>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</si>
  <si>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</si>
  <si>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</si>
  <si>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</si>
  <si>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</si>
  <si>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</si>
  <si>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</si>
  <si>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</si>
  <si>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</si>
  <si>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</si>
  <si>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</si>
  <si>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</si>
  <si>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</si>
  <si>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</si>
  <si>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</si>
  <si>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</si>
  <si>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</si>
  <si>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</si>
  <si>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</si>
  <si>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</si>
  <si>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</si>
  <si>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</si>
  <si>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</si>
  <si>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</si>
  <si>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</si>
  <si>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</si>
  <si>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</si>
  <si>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</si>
  <si>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</si>
  <si>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</si>
  <si>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</si>
  <si>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</si>
  <si>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</si>
  <si>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</si>
  <si>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</si>
  <si>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</si>
  <si>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</si>
  <si>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</si>
  <si>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</si>
  <si>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</si>
  <si>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</si>
  <si>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</si>
  <si>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</si>
  <si>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</si>
  <si>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</si>
  <si>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</si>
  <si>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</si>
  <si>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</si>
  <si>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</si>
  <si>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</si>
  <si>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</si>
  <si>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</si>
  <si>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</si>
  <si>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</si>
  <si>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</si>
  <si>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</si>
  <si>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</si>
  <si>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</si>
  <si>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</si>
  <si>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</si>
  <si>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</si>
  <si>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</si>
  <si>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</si>
  <si>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</si>
  <si>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</si>
  <si>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</si>
  <si>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</si>
  <si>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</si>
  <si>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</si>
  <si>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</si>
  <si>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</si>
  <si>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</si>
  <si>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</si>
  <si>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</si>
  <si>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</si>
  <si>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</si>
  <si>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</si>
  <si>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</si>
  <si>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</si>
  <si>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</si>
  <si>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</si>
  <si>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</si>
  <si>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</si>
  <si>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</si>
  <si>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</si>
  <si>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</si>
  <si>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</si>
  <si>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</si>
  <si>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</si>
  <si>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</si>
  <si>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</si>
  <si>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</si>
  <si>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</si>
  <si>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</si>
  <si>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</si>
  <si>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</si>
  <si>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</si>
  <si>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</si>
  <si>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</si>
  <si>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</si>
  <si>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</si>
  <si>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</si>
  <si>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</si>
  <si>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</si>
  <si>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</si>
  <si>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</si>
  <si>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</si>
  <si>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</si>
  <si>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</si>
  <si>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</si>
  <si>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</si>
  <si>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</si>
  <si>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</si>
  <si>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</si>
  <si>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</si>
  <si>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</si>
  <si>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</si>
  <si>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</si>
  <si>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</si>
  <si>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</si>
  <si>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</si>
  <si>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</si>
  <si>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</si>
  <si>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</si>
  <si>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</si>
  <si>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</si>
  <si>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</si>
  <si>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</si>
  <si>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</si>
  <si>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</si>
  <si>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</si>
  <si>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</si>
  <si>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</si>
  <si>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</si>
  <si>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</si>
  <si>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</si>
  <si>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</si>
  <si>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</si>
  <si>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</si>
  <si>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</si>
  <si>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</si>
  <si>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</si>
  <si>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</si>
  <si>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</si>
  <si>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</si>
  <si>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</si>
  <si>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</si>
  <si>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</si>
  <si>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</si>
  <si>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</si>
  <si>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</si>
  <si>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</si>
  <si>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</si>
  <si>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</si>
  <si>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</si>
  <si>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</si>
  <si>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</si>
  <si>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</si>
  <si>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</si>
  <si>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</si>
  <si>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</si>
  <si>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</si>
  <si>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</si>
  <si>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</si>
  <si>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</si>
  <si>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</si>
  <si>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</si>
  <si>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</si>
  <si>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</si>
  <si>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</si>
  <si>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</si>
  <si>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</si>
  <si>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</si>
  <si>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</si>
  <si>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</si>
  <si>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</si>
  <si>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</si>
  <si>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</si>
  <si>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</si>
  <si>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</si>
  <si>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</si>
  <si>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</si>
  <si>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</si>
  <si>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</si>
  <si>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</si>
  <si>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</si>
  <si>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</si>
  <si>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</si>
  <si>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</si>
  <si>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</si>
  <si>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</si>
  <si>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</si>
  <si>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</si>
  <si>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</si>
  <si>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</si>
  <si>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</si>
  <si>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</si>
  <si>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</si>
  <si>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</si>
  <si>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</si>
  <si>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</si>
  <si>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</si>
  <si>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</si>
  <si>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</si>
  <si>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</si>
  <si>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</si>
  <si>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</si>
  <si>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</si>
  <si>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</si>
  <si>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</si>
  <si>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</si>
  <si>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</si>
  <si>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</si>
  <si>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</si>
  <si>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</si>
  <si>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</si>
  <si>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</si>
  <si>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</si>
  <si>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</si>
  <si>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</si>
  <si>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</si>
  <si>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</si>
  <si>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</si>
  <si>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</si>
  <si>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</si>
  <si>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</si>
  <si>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</si>
  <si>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</si>
  <si>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</si>
  <si>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</si>
  <si>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</si>
  <si>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</si>
  <si>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</si>
  <si>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</si>
  <si>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</si>
  <si>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</si>
  <si>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</si>
  <si>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</si>
  <si>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</si>
  <si>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</si>
  <si>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</si>
  <si>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</si>
  <si>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</si>
  <si>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</si>
  <si>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</si>
  <si>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</si>
  <si>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</si>
  <si>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</si>
  <si>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</si>
  <si>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</si>
  <si>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</si>
  <si>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</si>
  <si>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</si>
  <si>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</si>
  <si>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</si>
  <si>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</si>
  <si>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</si>
  <si>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</si>
  <si>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</si>
  <si>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</si>
  <si>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</si>
  <si>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</si>
  <si>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</si>
  <si>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</si>
  <si>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</si>
  <si>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</si>
  <si>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</si>
  <si>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</si>
  <si>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</si>
  <si>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</si>
  <si>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</si>
  <si>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</si>
  <si>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</si>
  <si>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</si>
  <si>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</si>
  <si>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</si>
  <si>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</si>
  <si>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</si>
  <si>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</si>
  <si>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</si>
  <si>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</si>
  <si>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</si>
  <si>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</si>
  <si>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</si>
  <si>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</si>
  <si>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</si>
  <si>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</si>
  <si>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</si>
  <si>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</si>
  <si>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</si>
  <si>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</si>
  <si>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</si>
  <si>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</si>
  <si>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</si>
  <si>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</si>
  <si>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</si>
  <si>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</si>
  <si>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</si>
  <si>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</si>
  <si>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</si>
  <si>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</si>
  <si>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</si>
  <si>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</si>
  <si>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</si>
  <si>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</si>
  <si>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</si>
  <si>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</si>
  <si>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</si>
  <si>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</si>
  <si>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</si>
  <si>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</si>
  <si>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</si>
  <si>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</si>
  <si>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</si>
  <si>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</si>
  <si>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</si>
  <si>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</si>
  <si>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</si>
  <si>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</si>
  <si>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</si>
  <si>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</si>
  <si>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</si>
  <si>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</si>
  <si>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</si>
  <si>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</si>
  <si>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</si>
  <si>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</si>
  <si>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</si>
  <si>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</si>
  <si>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</si>
  <si>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</si>
  <si>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</si>
  <si>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</si>
  <si>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</si>
  <si>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</si>
  <si>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</si>
  <si>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</si>
  <si>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</si>
  <si>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</si>
  <si>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</si>
  <si>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</si>
  <si>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</si>
  <si>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</si>
  <si>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</si>
  <si>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</si>
  <si>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</si>
  <si>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</si>
  <si>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</si>
  <si>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</si>
  <si>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</si>
  <si>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</si>
  <si>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</si>
  <si>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</si>
  <si>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</si>
  <si>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</si>
  <si>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</si>
  <si>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</si>
  <si>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</si>
  <si>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</si>
  <si>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</si>
  <si>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</si>
  <si>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</si>
  <si>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</si>
  <si>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</si>
  <si>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</si>
  <si>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</si>
  <si>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</si>
  <si>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</si>
  <si>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</si>
  <si>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</si>
  <si>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</si>
  <si>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</si>
  <si>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</si>
  <si>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</si>
  <si>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</si>
  <si>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</si>
  <si>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</si>
  <si>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</si>
  <si>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</si>
  <si>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</si>
  <si>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</si>
  <si>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</si>
  <si>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</si>
  <si>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</si>
  <si>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</si>
  <si>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</si>
  <si>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</si>
  <si>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</si>
  <si>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</si>
  <si>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</si>
  <si>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</si>
  <si>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</si>
  <si>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</si>
  <si>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</si>
  <si>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</si>
  <si>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</si>
  <si>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</si>
  <si>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</si>
  <si>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</si>
  <si>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</si>
  <si>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</si>
  <si>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</si>
  <si>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</si>
  <si>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</si>
  <si>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</si>
  <si>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</si>
  <si>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</si>
  <si>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</si>
  <si>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</si>
  <si>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</si>
  <si>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</si>
  <si>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</si>
  <si>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</si>
  <si>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</si>
  <si>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</si>
  <si>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</si>
  <si>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</si>
  <si>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</si>
  <si>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</si>
  <si>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</si>
  <si>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</si>
  <si>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</si>
  <si>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</si>
  <si>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</si>
  <si>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</si>
  <si>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</si>
  <si>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</si>
  <si>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</si>
  <si>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</si>
  <si>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</si>
  <si>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</si>
  <si>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</si>
  <si>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</si>
  <si>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</si>
  <si>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</si>
  <si>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</si>
  <si>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</si>
  <si>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</si>
  <si>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</si>
  <si>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</si>
  <si>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</si>
  <si>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</si>
  <si>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</si>
  <si>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</si>
  <si>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</si>
  <si>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</si>
  <si>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</si>
  <si>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</si>
  <si>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</si>
  <si>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</si>
  <si>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</si>
  <si>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</si>
  <si>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</si>
  <si>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</si>
  <si>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</si>
  <si>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</si>
  <si>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</si>
  <si>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</si>
  <si>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</si>
  <si>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</si>
  <si>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</si>
  <si>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</si>
  <si>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</si>
  <si>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</si>
  <si>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</si>
  <si>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</si>
  <si>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</si>
  <si>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</si>
  <si>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</si>
  <si>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</si>
  <si>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</si>
  <si>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</si>
  <si>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</si>
  <si>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</si>
  <si>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</si>
  <si>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</si>
  <si>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</si>
  <si>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</si>
  <si>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</si>
  <si>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</si>
  <si>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</si>
  <si>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</si>
  <si>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</si>
  <si>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</si>
  <si>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</si>
  <si>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</si>
  <si>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</si>
  <si>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</si>
  <si>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</si>
  <si>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</si>
  <si>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</si>
  <si>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</si>
  <si>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</si>
  <si>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</si>
  <si>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</si>
  <si>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</si>
  <si>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</si>
  <si>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</si>
  <si>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</si>
  <si>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</si>
  <si>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</si>
  <si>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</si>
  <si>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</si>
  <si>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</si>
  <si>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</si>
  <si>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</si>
  <si>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</si>
  <si>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</si>
  <si>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</si>
  <si>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</si>
  <si>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</si>
  <si>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</si>
  <si>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</si>
  <si>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</si>
  <si>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</si>
  <si>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</si>
  <si>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</si>
  <si>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</si>
  <si>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</si>
  <si>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</si>
  <si>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</si>
  <si>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</si>
  <si>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</si>
  <si>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</si>
  <si>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</si>
  <si>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</si>
  <si>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</si>
  <si>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</si>
  <si>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</si>
  <si>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</si>
  <si>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</si>
  <si>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</si>
  <si>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</si>
  <si>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</si>
  <si>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</si>
  <si>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</si>
  <si>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</si>
  <si>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</si>
  <si>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</si>
  <si>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</si>
  <si>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</si>
  <si>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</si>
  <si>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</si>
  <si>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</si>
  <si>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</si>
  <si>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</si>
  <si>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</si>
  <si>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</si>
  <si>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</si>
  <si>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</si>
  <si>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</si>
  <si>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</si>
  <si>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</si>
  <si>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</si>
  <si>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</si>
  <si>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</si>
  <si>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</si>
  <si>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</si>
  <si>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</si>
  <si>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</si>
  <si>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</si>
  <si>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</si>
  <si>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</si>
  <si>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</si>
  <si>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</si>
  <si>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</si>
  <si>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</si>
  <si>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</si>
  <si>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</si>
  <si>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</si>
  <si>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</si>
  <si>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</si>
  <si>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</si>
  <si>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</si>
  <si>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</si>
  <si>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</si>
  <si>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</si>
  <si>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</si>
  <si>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</si>
  <si>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</si>
  <si>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</si>
  <si>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</si>
  <si>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</si>
  <si>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</si>
  <si>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</si>
  <si>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</si>
  <si>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</si>
  <si>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</si>
  <si>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</si>
  <si>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</si>
  <si>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</si>
  <si>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</si>
  <si>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</si>
  <si>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</si>
  <si>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</si>
  <si>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</si>
  <si>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</si>
  <si>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</si>
  <si>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</si>
  <si>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</si>
  <si>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</si>
  <si>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</si>
  <si>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</si>
  <si>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</si>
  <si>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</si>
  <si>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</si>
  <si>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</si>
  <si>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</si>
  <si>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</si>
  <si>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</si>
  <si>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</si>
  <si>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</si>
  <si>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</si>
  <si>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</si>
  <si>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</si>
  <si>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</si>
  <si>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</si>
  <si>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</si>
  <si>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</si>
  <si>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</si>
  <si>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</si>
  <si>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</si>
  <si>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</si>
  <si>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</si>
  <si>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</si>
  <si>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</si>
  <si>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</si>
  <si>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</si>
  <si>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</si>
  <si>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</si>
  <si>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</si>
  <si>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</si>
  <si>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</si>
  <si>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</si>
  <si>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</si>
  <si>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</si>
  <si>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</si>
  <si>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</si>
  <si>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</si>
  <si>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</si>
  <si>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</si>
  <si>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</si>
  <si>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</si>
  <si>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</si>
  <si>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</si>
  <si>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</si>
  <si>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</si>
  <si>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</si>
  <si>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</si>
  <si>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</si>
  <si>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</si>
  <si>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</si>
  <si>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</si>
  <si>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</si>
  <si>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</si>
  <si>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</si>
  <si>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</si>
  <si>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</si>
  <si>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</si>
  <si>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</si>
  <si>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</si>
  <si>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</si>
  <si>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</si>
  <si>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</si>
  <si>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</si>
  <si>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</si>
  <si>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</si>
  <si>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</si>
  <si>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</si>
  <si>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</si>
  <si>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</si>
  <si>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</si>
  <si>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</si>
  <si>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</si>
  <si>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</si>
  <si>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</si>
  <si>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</si>
  <si>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</si>
  <si>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</si>
  <si>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</si>
  <si>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</si>
  <si>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</si>
  <si>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</si>
  <si>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</si>
  <si>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</si>
  <si>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</si>
  <si>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</si>
  <si>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</si>
  <si>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</si>
  <si>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</si>
  <si>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</si>
  <si>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</si>
  <si>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</si>
  <si>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</si>
  <si>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</si>
  <si>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</si>
  <si>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</si>
  <si>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</si>
  <si>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</si>
  <si>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</si>
  <si>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</si>
  <si>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</si>
  <si>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</si>
  <si>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</si>
  <si>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</si>
  <si>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</si>
  <si>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</si>
  <si>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</si>
  <si>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</si>
  <si>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</si>
  <si>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</si>
  <si>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</si>
  <si>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</si>
  <si>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</si>
  <si>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</si>
  <si>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</si>
  <si>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</si>
  <si>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</si>
  <si>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</si>
  <si>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</si>
  <si>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</si>
  <si>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</si>
  <si>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</si>
  <si>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</si>
  <si>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</si>
  <si>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</si>
  <si>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</si>
  <si>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</si>
  <si>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</si>
  <si>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</si>
  <si>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</si>
  <si>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</si>
  <si>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</si>
  <si>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</si>
  <si>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</si>
  <si>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</si>
  <si>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</si>
  <si>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</si>
  <si>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</si>
  <si>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</si>
  <si>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</si>
  <si>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</si>
  <si>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</si>
  <si>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</si>
  <si>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</si>
  <si>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</si>
  <si>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</si>
  <si>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</si>
  <si>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</si>
  <si>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</si>
  <si>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</si>
  <si>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</si>
  <si>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</si>
  <si>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</si>
  <si>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</si>
  <si>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</si>
  <si>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</si>
  <si>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</si>
  <si>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</si>
  <si>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</si>
  <si>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</si>
  <si>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</si>
  <si>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</si>
  <si>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</si>
  <si>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</si>
  <si>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</si>
  <si>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</si>
  <si>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</si>
  <si>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</si>
  <si>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</si>
  <si>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</si>
  <si>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</si>
  <si>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</si>
  <si>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</si>
  <si>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</si>
  <si>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</si>
  <si>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</si>
  <si>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</si>
  <si>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</si>
  <si>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</si>
  <si>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</si>
  <si>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</si>
  <si>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</si>
  <si>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</si>
  <si>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</si>
  <si>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</si>
  <si>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</si>
  <si>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</si>
  <si>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</si>
  <si>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</si>
  <si>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</si>
  <si>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</si>
  <si>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</si>
  <si>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</si>
  <si>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</si>
  <si>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</si>
  <si>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</si>
  <si>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</si>
  <si>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</si>
  <si>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</si>
  <si>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</si>
  <si>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</si>
  <si>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</si>
  <si>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</si>
  <si>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</si>
  <si>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</si>
  <si>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</si>
  <si>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</si>
  <si>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</si>
  <si>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</si>
  <si>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</si>
  <si>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</si>
  <si>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</si>
  <si>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</si>
  <si>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</si>
  <si>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</si>
  <si>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</si>
  <si>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</si>
  <si>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</si>
  <si>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</si>
  <si>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</si>
  <si>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</si>
  <si>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</si>
  <si>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</si>
  <si>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</si>
  <si>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</si>
  <si>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</si>
  <si>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</si>
  <si>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</si>
  <si>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</si>
  <si>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</si>
  <si>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</si>
  <si>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</si>
  <si>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</si>
  <si>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</si>
  <si>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</si>
  <si>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</si>
  <si>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</si>
  <si>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</si>
  <si>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</si>
  <si>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</si>
  <si>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</si>
  <si>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</si>
  <si>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</si>
  <si>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</si>
  <si>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</si>
  <si>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</si>
  <si>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</si>
  <si>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</si>
  <si>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</si>
  <si>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</si>
  <si>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</si>
  <si>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</si>
  <si>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</si>
  <si>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</si>
  <si>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</si>
  <si>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</si>
  <si>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</si>
  <si>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</si>
  <si>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</si>
  <si>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</si>
  <si>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</si>
  <si>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</si>
  <si>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</si>
  <si>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</si>
  <si>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</si>
  <si>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</si>
  <si>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</si>
  <si>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</si>
  <si>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</si>
  <si>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</si>
  <si>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</si>
  <si>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</si>
  <si>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</si>
  <si>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</si>
  <si>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</si>
  <si>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</si>
  <si>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</si>
  <si>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</si>
  <si>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</si>
  <si>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</si>
  <si>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</si>
  <si>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</si>
  <si>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</si>
  <si>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</si>
  <si>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</si>
  <si>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</si>
  <si>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</si>
  <si>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</si>
  <si>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</si>
  <si>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</si>
  <si>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</si>
  <si>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</si>
  <si>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</si>
  <si>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</si>
  <si>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</si>
  <si>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</si>
  <si>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</si>
  <si>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</si>
  <si>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</si>
  <si>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</si>
  <si>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</si>
  <si>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</si>
  <si>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</si>
  <si>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</si>
  <si>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</si>
  <si>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</si>
  <si>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</si>
  <si>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</si>
  <si>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</si>
  <si>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</si>
  <si>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</si>
  <si>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</si>
  <si>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</si>
  <si>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</si>
  <si>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</si>
  <si>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</si>
  <si>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</si>
  <si>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</si>
  <si>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</si>
  <si>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</si>
  <si>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</si>
  <si>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</si>
  <si>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</si>
  <si>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</si>
  <si>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</si>
  <si>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</si>
  <si>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</si>
  <si>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</si>
  <si>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</si>
  <si>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</si>
  <si>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</si>
  <si>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</si>
  <si>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</si>
  <si>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</si>
  <si>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</si>
  <si>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</si>
  <si>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</si>
  <si>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</si>
  <si>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</si>
  <si>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</si>
  <si>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</si>
  <si>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</si>
  <si>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</si>
  <si>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</si>
  <si>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</si>
  <si>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</si>
  <si>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</si>
  <si>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</si>
  <si>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</si>
  <si>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</si>
  <si>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</si>
  <si>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</si>
  <si>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</si>
  <si>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</si>
  <si>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</si>
  <si>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</si>
  <si>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</si>
  <si>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</si>
  <si>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</si>
  <si>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</si>
  <si>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</si>
  <si>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</si>
  <si>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</si>
  <si>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</si>
  <si>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</si>
  <si>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</si>
  <si>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</si>
  <si>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</si>
  <si>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</si>
  <si>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</si>
  <si>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</si>
  <si>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</si>
  <si>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</si>
  <si>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</si>
  <si>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</si>
  <si>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</si>
  <si>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</si>
  <si>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</si>
  <si>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</si>
  <si>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</si>
  <si>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</si>
  <si>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</si>
  <si>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</si>
  <si>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</si>
  <si>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</si>
  <si>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</si>
  <si>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</si>
  <si>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</si>
  <si>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</si>
  <si>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</si>
  <si>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</si>
  <si>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</si>
  <si>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</si>
  <si>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</si>
  <si>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</si>
  <si>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</si>
  <si>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</si>
  <si>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</si>
  <si>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</si>
  <si>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</si>
  <si>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</si>
  <si>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</si>
  <si>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</si>
  <si>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</si>
  <si>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</si>
  <si>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</si>
  <si>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</si>
  <si>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</si>
  <si>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</si>
  <si>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</si>
  <si>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</si>
  <si>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</si>
  <si>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</si>
  <si>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</si>
  <si>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</si>
  <si>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</si>
  <si>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</si>
  <si>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</si>
  <si>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</si>
  <si>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</si>
  <si>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</si>
  <si>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</si>
  <si>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</si>
  <si>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</si>
  <si>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</si>
  <si>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</si>
  <si>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</si>
  <si>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</si>
  <si>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</si>
  <si>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</si>
  <si>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</si>
  <si>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</si>
  <si>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</si>
  <si>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</si>
  <si>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</si>
  <si>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</si>
  <si>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</si>
  <si>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</si>
  <si>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</si>
  <si>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</si>
  <si>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</si>
  <si>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</si>
  <si>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</si>
  <si>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</si>
  <si>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</si>
  <si>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</si>
  <si>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</si>
  <si>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</si>
  <si>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</si>
  <si>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</si>
  <si>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</si>
  <si>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</si>
  <si>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</si>
  <si>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</si>
  <si>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</si>
  <si>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</si>
  <si>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</si>
  <si>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</si>
  <si>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</si>
  <si>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</si>
  <si>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</si>
  <si>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</si>
  <si>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</si>
  <si>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</si>
  <si>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</si>
  <si>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</si>
  <si>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</si>
  <si>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</si>
  <si>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</si>
  <si>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</si>
  <si>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</si>
  <si>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</si>
  <si>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</si>
  <si>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</si>
  <si>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</si>
  <si>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</si>
  <si>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</si>
  <si>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</si>
  <si>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</si>
  <si>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</si>
  <si>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</si>
  <si>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</si>
  <si>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</si>
  <si>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</si>
  <si>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</si>
  <si>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</si>
  <si>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</si>
  <si>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</si>
  <si>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</si>
  <si>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</si>
  <si>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</si>
  <si>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</si>
  <si>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</si>
  <si>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</si>
  <si>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</si>
  <si>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</si>
  <si>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</si>
  <si>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</si>
  <si>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</si>
  <si>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</si>
  <si>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</si>
  <si>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</si>
  <si>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</si>
  <si>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</si>
  <si>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</si>
  <si>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</si>
  <si>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</si>
  <si>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</si>
  <si>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</si>
  <si>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</si>
  <si>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</si>
  <si>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</si>
  <si>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</si>
  <si>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</si>
  <si>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</si>
  <si>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</si>
  <si>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</si>
  <si>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</si>
  <si>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</si>
  <si>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</si>
  <si>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</si>
  <si>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</si>
  <si>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</si>
  <si>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</si>
  <si>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</si>
  <si>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</si>
  <si>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</si>
  <si>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</si>
  <si>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</si>
  <si>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</si>
  <si>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</si>
  <si>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</si>
  <si>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</si>
  <si>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</si>
  <si>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</si>
  <si>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</si>
  <si>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</si>
  <si>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</si>
  <si>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</si>
  <si>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</si>
  <si>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</si>
  <si>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</si>
  <si>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</si>
  <si>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</si>
  <si>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</si>
  <si>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</si>
  <si>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</si>
  <si>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</si>
  <si>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</si>
  <si>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</si>
  <si>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</si>
  <si>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</si>
  <si>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</si>
  <si>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</si>
  <si>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</si>
  <si>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</si>
  <si>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</si>
  <si>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</si>
  <si>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</si>
  <si>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</si>
  <si>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</si>
  <si>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</si>
  <si>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</si>
  <si>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</si>
  <si>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</si>
  <si>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</si>
  <si>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</si>
  <si>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</si>
  <si>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</si>
  <si>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</si>
  <si>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</si>
  <si>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</si>
  <si>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</si>
  <si>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</si>
  <si>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</si>
  <si>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</si>
  <si>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</si>
  <si>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</si>
  <si>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</si>
  <si>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</si>
  <si>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</si>
  <si>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</si>
  <si>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</si>
  <si>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</si>
  <si>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</si>
  <si>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</si>
  <si>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</si>
  <si>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</si>
  <si>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</si>
  <si>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</si>
  <si>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</si>
  <si>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</si>
  <si>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</si>
  <si>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</si>
  <si>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</si>
  <si>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</si>
  <si>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</si>
  <si>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</si>
  <si>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</si>
  <si>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</si>
  <si>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</si>
  <si>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</si>
  <si>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</si>
  <si>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</si>
  <si>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</si>
  <si>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</si>
  <si>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</si>
  <si>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</si>
  <si>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</si>
  <si>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</si>
  <si>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</si>
  <si>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</si>
  <si>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</si>
  <si>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</si>
  <si>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</si>
  <si>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</si>
  <si>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</si>
  <si>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</si>
  <si>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</si>
  <si>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</si>
  <si>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</si>
  <si>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</si>
  <si>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</si>
  <si>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</si>
  <si>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</si>
  <si>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</si>
  <si>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</si>
  <si>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</si>
  <si>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</si>
  <si>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</si>
  <si>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</si>
  <si>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</si>
  <si>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</si>
  <si>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</si>
  <si>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</si>
  <si>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</si>
  <si>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</si>
  <si>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</si>
  <si>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</si>
  <si>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</si>
  <si>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</si>
  <si>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</si>
  <si>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</si>
  <si>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</si>
  <si>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</si>
  <si>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</si>
  <si>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</si>
  <si>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</si>
  <si>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</si>
  <si>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</si>
  <si>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</si>
  <si>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</si>
  <si>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</si>
  <si>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</si>
  <si>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</si>
  <si>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</si>
  <si>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</si>
  <si>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</si>
  <si>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</si>
  <si>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</si>
  <si>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</si>
  <si>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</si>
  <si>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</si>
  <si>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</si>
  <si>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</si>
  <si>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</si>
  <si>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</si>
  <si>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</si>
  <si>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</si>
  <si>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</si>
  <si>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</si>
  <si>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</si>
  <si>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</si>
  <si>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</si>
  <si>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</si>
  <si>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</si>
  <si>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</si>
  <si>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</si>
  <si>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</si>
  <si>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</si>
  <si>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</si>
  <si>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</si>
  <si>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</si>
  <si>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</si>
  <si>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</si>
  <si>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</si>
  <si>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</si>
  <si>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</si>
  <si>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</si>
  <si>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</si>
  <si>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</si>
  <si>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</si>
  <si>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</si>
  <si>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</si>
  <si>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</si>
  <si>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</si>
  <si>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</si>
  <si>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</si>
  <si>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</si>
  <si>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</si>
  <si>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</si>
  <si>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</si>
  <si>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</si>
  <si>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</si>
  <si>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</si>
  <si>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</si>
  <si>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</si>
  <si>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</si>
  <si>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</si>
  <si>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</si>
  <si>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</si>
  <si>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</si>
  <si>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</si>
  <si>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</si>
  <si>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</si>
  <si>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</si>
  <si>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</si>
  <si>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</si>
  <si>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</si>
  <si>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</si>
  <si>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</si>
  <si>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</si>
  <si>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</si>
  <si>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</si>
  <si>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</si>
  <si>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</si>
  <si>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</si>
  <si>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</si>
  <si>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</si>
  <si>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</si>
  <si>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</si>
  <si>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</si>
  <si>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</si>
  <si>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</si>
  <si>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</si>
  <si>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</si>
  <si>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</si>
  <si>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</si>
  <si>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</si>
  <si>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</si>
  <si>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</si>
  <si>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</si>
  <si>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</si>
  <si>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</si>
  <si>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</si>
  <si>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</si>
  <si>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</si>
  <si>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</si>
  <si>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</si>
  <si>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</si>
  <si>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</si>
  <si>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</si>
  <si>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</si>
  <si>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</si>
  <si>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</si>
  <si>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</si>
  <si>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</si>
  <si>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</si>
  <si>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</si>
  <si>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</si>
  <si>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</si>
  <si>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</si>
  <si>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</si>
  <si>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</si>
  <si>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</si>
  <si>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</si>
  <si>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</si>
  <si>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</si>
  <si>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</si>
  <si>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</si>
  <si>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</si>
  <si>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</si>
  <si>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</si>
  <si>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</si>
  <si>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</si>
  <si>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</si>
  <si>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</si>
  <si>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</si>
  <si>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</si>
  <si>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</si>
  <si>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</si>
  <si>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</si>
  <si>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</si>
  <si>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</si>
  <si>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</si>
  <si>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</si>
  <si>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</si>
  <si>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</si>
  <si>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</si>
  <si>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</si>
  <si>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</si>
  <si>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</si>
  <si>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</si>
  <si>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</si>
  <si>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</si>
  <si>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</si>
  <si>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</si>
  <si>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</si>
  <si>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</si>
  <si>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</si>
  <si>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</si>
  <si>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</si>
  <si>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</si>
  <si>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</si>
  <si>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</si>
  <si>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</si>
  <si>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</si>
  <si>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</si>
  <si>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</si>
  <si>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</si>
  <si>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</si>
  <si>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</si>
  <si>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</si>
  <si>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</si>
  <si>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</si>
  <si>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</si>
  <si>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</si>
  <si>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</si>
  <si>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</si>
  <si>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</si>
  <si>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</si>
  <si>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</si>
  <si>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</si>
  <si>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</si>
  <si>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</si>
  <si>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</si>
  <si>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</si>
  <si>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</si>
  <si>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</si>
  <si>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</si>
  <si>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</si>
  <si>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</si>
  <si>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</si>
  <si>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</si>
  <si>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</si>
  <si>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</si>
  <si>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</si>
  <si>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</si>
  <si>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</si>
  <si>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</si>
  <si>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</si>
  <si>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</si>
  <si>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</si>
  <si>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</si>
  <si>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</si>
  <si>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</si>
  <si>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</si>
  <si>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</si>
  <si>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</si>
  <si>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</si>
  <si>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</si>
  <si>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</si>
  <si>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</si>
  <si>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</si>
  <si>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</si>
  <si>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</si>
  <si>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</si>
  <si>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</si>
  <si>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</si>
  <si>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</si>
  <si>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</si>
  <si>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</si>
  <si>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</si>
  <si>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</si>
  <si>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</si>
  <si>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</si>
  <si>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</si>
  <si>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</si>
  <si>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</si>
  <si>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</si>
  <si>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</si>
  <si>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</si>
  <si>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</si>
  <si>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</si>
  <si>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</si>
  <si>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</si>
  <si>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</si>
  <si>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</si>
  <si>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</si>
  <si>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</si>
  <si>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</si>
  <si>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</si>
  <si>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</si>
  <si>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</si>
  <si>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</si>
  <si>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</si>
  <si>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</si>
  <si>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</si>
  <si>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</si>
  <si>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</si>
  <si>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</si>
  <si>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</si>
  <si>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</si>
  <si>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</si>
  <si>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</si>
  <si>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</si>
  <si>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</si>
  <si>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</si>
  <si>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</si>
  <si>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</si>
  <si>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</si>
  <si>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</si>
  <si>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</si>
  <si>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</si>
  <si>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</si>
  <si>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</si>
  <si>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</si>
  <si>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</si>
  <si>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</si>
  <si>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</si>
  <si>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</si>
  <si>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</si>
  <si>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</si>
  <si>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</si>
  <si>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</si>
  <si>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</si>
  <si>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</si>
  <si>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</si>
  <si>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</si>
  <si>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</si>
  <si>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</si>
  <si>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</si>
  <si>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</si>
  <si>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</si>
  <si>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</si>
  <si>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</si>
  <si>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</si>
  <si>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</si>
  <si>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</si>
  <si>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</si>
  <si>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</si>
  <si>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</si>
  <si>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</si>
  <si>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</si>
  <si>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</si>
  <si>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</si>
  <si>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</si>
  <si>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</si>
  <si>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</si>
  <si>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</si>
  <si>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</si>
  <si>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</si>
  <si>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</si>
  <si>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</si>
  <si>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</si>
  <si>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</si>
  <si>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</si>
  <si>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</si>
  <si>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</si>
  <si>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</si>
  <si>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</si>
  <si>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</si>
  <si>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</si>
  <si>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</si>
  <si>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</si>
  <si>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</si>
  <si>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</si>
  <si>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</si>
  <si>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</si>
  <si>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</si>
  <si>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</si>
  <si>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</si>
  <si>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</si>
  <si>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</si>
  <si>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</si>
  <si>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</si>
  <si>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</si>
  <si>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</si>
  <si>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</si>
  <si>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</si>
  <si>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</si>
  <si>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</si>
  <si>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</si>
  <si>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</si>
  <si>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</si>
  <si>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</si>
  <si>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</si>
  <si>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</si>
  <si>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</si>
  <si>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</si>
  <si>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</si>
  <si>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</si>
  <si>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</si>
  <si>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</si>
  <si>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</si>
  <si>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</si>
  <si>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</si>
  <si>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</si>
  <si>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</si>
  <si>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</si>
  <si>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</si>
  <si>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</si>
  <si>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</si>
  <si>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</si>
  <si>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</si>
  <si>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</si>
  <si>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</si>
  <si>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</si>
  <si>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</si>
  <si>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</si>
  <si>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</si>
  <si>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</si>
  <si>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</si>
  <si>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</si>
  <si>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</si>
  <si>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</si>
  <si>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</si>
  <si>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</si>
  <si>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</si>
  <si>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</si>
  <si>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</si>
  <si>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</si>
  <si>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</si>
  <si>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</si>
  <si>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</si>
  <si>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</si>
  <si>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</si>
  <si>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</si>
  <si>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</si>
  <si>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</si>
  <si>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</si>
  <si>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</si>
  <si>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</si>
  <si>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</si>
  <si>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</si>
  <si>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</si>
  <si>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</si>
  <si>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</si>
  <si>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</si>
  <si>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</si>
  <si>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</si>
  <si>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</si>
  <si>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</si>
  <si>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</si>
  <si>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</si>
  <si>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</si>
  <si>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</si>
  <si>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</si>
  <si>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</si>
  <si>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</si>
  <si>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</si>
  <si>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</si>
  <si>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</si>
  <si>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</si>
  <si>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</si>
  <si>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</si>
  <si>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</si>
  <si>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</si>
  <si>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</si>
  <si>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</si>
  <si>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</si>
  <si>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</si>
  <si>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</si>
  <si>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</si>
  <si>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</si>
  <si>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</si>
  <si>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</si>
  <si>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</si>
  <si>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</si>
  <si>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</si>
  <si>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</si>
  <si>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</si>
  <si>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</si>
  <si>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</si>
  <si>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</si>
  <si>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</si>
  <si>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</si>
  <si>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</si>
  <si>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</si>
  <si>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</si>
  <si>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</si>
  <si>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</si>
  <si>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</si>
  <si>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</si>
  <si>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</si>
  <si>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</si>
  <si>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</si>
  <si>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</si>
  <si>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</si>
  <si>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</si>
  <si>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</si>
  <si>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</si>
  <si>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</si>
  <si>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</si>
  <si>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</si>
  <si>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</si>
  <si>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</si>
  <si>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</si>
  <si>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</si>
  <si>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</si>
  <si>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</si>
  <si>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</si>
  <si>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</si>
  <si>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</si>
  <si>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</si>
  <si>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</si>
  <si>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</si>
  <si>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</si>
  <si>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</si>
  <si>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</si>
  <si>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</si>
  <si>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</si>
  <si>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</si>
  <si>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</si>
  <si>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</si>
  <si>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</si>
  <si>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</si>
  <si>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</si>
  <si>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</si>
  <si>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</si>
  <si>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</si>
  <si>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</si>
  <si>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</si>
  <si>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</si>
  <si>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</si>
  <si>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</si>
  <si>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</si>
  <si>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</si>
  <si>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</si>
  <si>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</si>
  <si>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</si>
  <si>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</si>
  <si>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</si>
  <si>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</si>
  <si>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</si>
  <si>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</si>
  <si>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</si>
  <si>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</si>
  <si>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</si>
  <si>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</si>
  <si>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</si>
  <si>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</si>
  <si>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</si>
  <si>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</si>
  <si>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</si>
  <si>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</si>
  <si>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</si>
  <si>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</si>
  <si>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</si>
  <si>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</si>
  <si>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</si>
  <si>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</si>
  <si>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</si>
  <si>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</si>
  <si>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</si>
  <si>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</si>
  <si>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</si>
  <si>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</si>
  <si>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</si>
  <si>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</si>
  <si>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</si>
  <si>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</si>
  <si>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</si>
  <si>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</si>
  <si>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</si>
  <si>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</si>
  <si>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</si>
  <si>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</si>
  <si>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</si>
  <si>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</si>
  <si>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</si>
  <si>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</si>
  <si>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</si>
  <si>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</si>
  <si>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</si>
  <si>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</si>
  <si>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</si>
  <si>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</si>
  <si>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</si>
  <si>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</si>
  <si>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</si>
  <si>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</si>
  <si>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</si>
  <si>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</si>
  <si>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</si>
  <si>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</si>
  <si>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</si>
  <si>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</si>
  <si>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</si>
  <si>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</si>
  <si>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</si>
  <si>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</si>
  <si>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</si>
  <si>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</si>
  <si>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</si>
  <si>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</si>
  <si>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</si>
  <si>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</si>
  <si>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</si>
  <si>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</si>
  <si>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</si>
  <si>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</si>
  <si>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</si>
  <si>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</si>
  <si>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</si>
  <si>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</si>
  <si>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</si>
  <si>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</si>
  <si>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</si>
  <si>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</si>
  <si>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</si>
  <si>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</si>
  <si>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</si>
  <si>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</si>
  <si>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</si>
  <si>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</si>
  <si>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</si>
  <si>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</si>
  <si>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</si>
  <si>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</si>
  <si>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</si>
  <si>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</si>
  <si>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</si>
  <si>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</si>
  <si>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</si>
  <si>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</si>
  <si>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</si>
  <si>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</si>
  <si>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</si>
  <si>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</si>
  <si>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</si>
  <si>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</si>
  <si>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</si>
  <si>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</si>
  <si>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</si>
  <si>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</si>
  <si>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</si>
  <si>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</si>
  <si>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</si>
  <si>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</si>
  <si>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</si>
  <si>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</si>
  <si>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</si>
  <si>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</si>
  <si>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</si>
  <si>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</si>
  <si>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</si>
  <si>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</si>
  <si>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</si>
  <si>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</si>
  <si>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</si>
  <si>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</si>
  <si>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</si>
  <si>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</si>
  <si>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</si>
  <si>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</si>
  <si>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</si>
  <si>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</si>
  <si>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</si>
  <si>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</si>
  <si>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</si>
  <si>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</si>
  <si>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</si>
  <si>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</si>
  <si>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</si>
  <si>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</si>
  <si>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</si>
  <si>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</si>
  <si>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</si>
  <si>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</si>
  <si>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</si>
  <si>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</si>
  <si>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</si>
  <si>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</si>
  <si>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</si>
  <si>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</si>
  <si>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</si>
  <si>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</si>
  <si>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</si>
  <si>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</si>
  <si>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</si>
  <si>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</si>
  <si>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</si>
  <si>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</si>
  <si>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</si>
  <si>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</si>
  <si>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</si>
  <si>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</si>
  <si>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</si>
  <si>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</si>
  <si>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</si>
  <si>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</si>
  <si>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</si>
  <si>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</si>
  <si>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</si>
  <si>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</si>
  <si>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</si>
  <si>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</si>
  <si>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</si>
  <si>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</si>
  <si>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</si>
  <si>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</si>
  <si>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</si>
  <si>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</si>
  <si>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</si>
  <si>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</si>
  <si>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</si>
  <si>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</si>
  <si>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</si>
  <si>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</si>
  <si>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</si>
  <si>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</si>
  <si>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</si>
  <si>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</si>
  <si>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</si>
  <si>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</si>
  <si>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</si>
  <si>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</si>
  <si>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</si>
  <si>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</si>
  <si>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</si>
  <si>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</si>
  <si>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</si>
  <si>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</si>
  <si>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</si>
  <si>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</si>
  <si>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</si>
  <si>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</si>
  <si>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</si>
  <si>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</si>
  <si>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</si>
  <si>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</si>
  <si>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</si>
  <si>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</si>
  <si>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</si>
  <si>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</si>
  <si>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</si>
  <si>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</si>
  <si>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</si>
  <si>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</si>
  <si>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</si>
  <si>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</si>
  <si>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</si>
  <si>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</si>
  <si>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</si>
  <si>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</si>
  <si>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</si>
  <si>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</si>
  <si>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</si>
  <si>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</si>
  <si>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</si>
  <si>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</si>
  <si>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</si>
  <si>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</si>
  <si>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</si>
  <si>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</si>
  <si>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</si>
  <si>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</si>
  <si>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</si>
  <si>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</si>
  <si>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</si>
  <si>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</si>
  <si>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</si>
  <si>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</si>
  <si>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</si>
  <si>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</si>
  <si>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</si>
  <si>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</si>
  <si>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</si>
  <si>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</si>
  <si>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</si>
  <si>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</si>
  <si>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</si>
  <si>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</si>
  <si>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</si>
  <si>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</si>
  <si>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</si>
  <si>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</si>
  <si>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</si>
  <si>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</si>
  <si>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</si>
  <si>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</si>
  <si>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</si>
  <si>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</si>
  <si>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</si>
  <si>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</si>
  <si>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</si>
  <si>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</si>
  <si>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</si>
  <si>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</si>
  <si>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</si>
  <si>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</si>
  <si>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</si>
  <si>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</si>
  <si>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</si>
  <si>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</si>
  <si>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</si>
  <si>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</si>
  <si>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</si>
  <si>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</si>
  <si>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</si>
  <si>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</si>
  <si>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</si>
  <si>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</si>
  <si>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</si>
  <si>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</si>
  <si>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</si>
  <si>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</si>
  <si>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</si>
  <si>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</si>
  <si>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</si>
  <si>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</si>
  <si>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</si>
  <si>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</si>
  <si>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</si>
  <si>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</si>
  <si>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</si>
  <si>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</si>
  <si>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</si>
  <si>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</si>
  <si>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</si>
  <si>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</si>
  <si>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</si>
  <si>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</si>
  <si>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</si>
  <si>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</si>
  <si>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</si>
  <si>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</si>
  <si>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</si>
  <si>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</si>
  <si>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</si>
  <si>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</si>
  <si>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</si>
  <si>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</si>
  <si>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</si>
  <si>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</si>
  <si>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</si>
  <si>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</si>
  <si>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</si>
  <si>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</si>
  <si>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</si>
  <si>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</si>
  <si>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</si>
  <si>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</si>
  <si>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</si>
  <si>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</si>
  <si>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</si>
  <si>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</si>
  <si>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</si>
  <si>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</si>
  <si>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</si>
  <si>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</si>
  <si>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</si>
  <si>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</si>
  <si>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</si>
  <si>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</si>
  <si>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</si>
  <si>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</si>
  <si>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</si>
  <si>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</si>
  <si>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</si>
  <si>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</si>
  <si>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</si>
  <si>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</si>
  <si>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</si>
  <si>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</si>
  <si>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</si>
  <si>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</si>
  <si>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</si>
  <si>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</si>
  <si>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</si>
  <si>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</si>
  <si>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</si>
  <si>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</si>
  <si>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</si>
  <si>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</si>
  <si>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</si>
  <si>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</si>
  <si>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</si>
  <si>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</si>
  <si>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</si>
  <si>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</si>
  <si>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</si>
  <si>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</si>
  <si>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</si>
  <si>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</si>
  <si>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</si>
  <si>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</si>
  <si>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</si>
  <si>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</si>
  <si>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</si>
  <si>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</si>
  <si>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</si>
  <si>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</si>
  <si>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</si>
  <si>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</si>
  <si>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</si>
  <si>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</si>
  <si>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</si>
  <si>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</si>
  <si>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</si>
  <si>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</si>
  <si>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</si>
  <si>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</si>
  <si>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</si>
  <si>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</si>
  <si>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</si>
  <si>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</si>
  <si>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</si>
  <si>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</si>
  <si>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</si>
  <si>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</si>
  <si>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</si>
  <si>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</si>
  <si>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</si>
  <si>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</si>
  <si>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</si>
  <si>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</si>
  <si>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</si>
  <si>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</si>
  <si>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</si>
  <si>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</si>
  <si>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</si>
  <si>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</si>
  <si>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</si>
  <si>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</si>
  <si>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</si>
  <si>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</si>
  <si>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</si>
  <si>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</si>
  <si>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</si>
  <si>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</si>
  <si>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</si>
  <si>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</si>
  <si>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</si>
  <si>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</si>
  <si>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</si>
  <si>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</si>
  <si>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</si>
  <si>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</si>
  <si>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</si>
  <si>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</si>
  <si>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</si>
  <si>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</si>
  <si>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</si>
  <si>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</si>
  <si>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</si>
  <si>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</si>
  <si>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</si>
  <si>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</si>
  <si>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</si>
  <si>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</si>
  <si>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</si>
  <si>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</si>
  <si>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</si>
  <si>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</si>
  <si>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</si>
  <si>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</si>
  <si>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</si>
  <si>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</si>
  <si>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</si>
  <si>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</si>
  <si>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</si>
  <si>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</si>
  <si>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</si>
  <si>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</si>
  <si>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</si>
  <si>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</si>
  <si>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</si>
  <si>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</si>
  <si>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</si>
  <si>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</si>
  <si>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</si>
  <si>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</si>
  <si>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</si>
  <si>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</si>
  <si>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</si>
  <si>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</si>
  <si>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</si>
  <si>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</si>
  <si>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</si>
  <si>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</si>
  <si>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</si>
  <si>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</si>
  <si>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</si>
  <si>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</si>
  <si>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</si>
  <si>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</si>
  <si>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</si>
  <si>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</si>
  <si>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</si>
  <si>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</si>
  <si>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</si>
  <si>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</si>
  <si>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</si>
  <si>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</si>
  <si>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</si>
  <si>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</si>
  <si>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</si>
  <si>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</si>
  <si>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</si>
  <si>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</si>
  <si>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</si>
  <si>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</si>
  <si>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</si>
  <si>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</si>
  <si>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</si>
  <si>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</si>
  <si>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</si>
  <si>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</si>
  <si>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</si>
  <si>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</si>
  <si>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</si>
  <si>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</si>
  <si>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</si>
  <si>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</si>
  <si>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</si>
  <si>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</si>
  <si>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</si>
  <si>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</si>
  <si>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</si>
  <si>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</si>
  <si>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</si>
  <si>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</si>
  <si>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</si>
  <si>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</si>
  <si>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</si>
  <si>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</si>
  <si>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</si>
  <si>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</si>
  <si>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</si>
  <si>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</si>
  <si>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</si>
  <si>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</si>
  <si>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</si>
  <si>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</si>
  <si>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</si>
  <si>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</si>
  <si>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</si>
  <si>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</si>
  <si>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</si>
  <si>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</si>
  <si>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</si>
  <si>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</si>
  <si>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</si>
  <si>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</si>
  <si>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</si>
  <si>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</si>
  <si>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</si>
  <si>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</si>
  <si>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</si>
  <si>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</si>
  <si>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</si>
  <si>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</si>
  <si>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</si>
  <si>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</si>
  <si>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</si>
  <si>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</si>
  <si>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</si>
  <si>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</si>
  <si>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</si>
  <si>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</si>
  <si>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</si>
  <si>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</si>
  <si>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</si>
  <si>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</si>
  <si>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</si>
  <si>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</si>
  <si>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</si>
  <si>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</si>
  <si>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</si>
  <si>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</si>
  <si>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</si>
  <si>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</si>
  <si>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</si>
  <si>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</si>
  <si>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</si>
  <si>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</si>
  <si>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</si>
  <si>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</si>
  <si>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</si>
  <si>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</si>
  <si>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</si>
  <si>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</si>
  <si>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名称</t>
  </si>
  <si>
    <t>受让人</t>
  </si>
  <si>
    <t>土地面积</t>
  </si>
  <si>
    <t>地价款</t>
  </si>
  <si>
    <t>已缴纳地价款</t>
  </si>
  <si>
    <t>建筑面积</t>
  </si>
  <si>
    <t>签订日期</t>
  </si>
  <si>
    <t>七级地价</t>
    <phoneticPr fontId="134" type="noConversion"/>
  </si>
  <si>
    <t>现房销售面积</t>
  </si>
  <si>
    <t>已缴纳契税</t>
  </si>
  <si>
    <t>拿地楼面单价</t>
    <phoneticPr fontId="134" type="noConversion"/>
  </si>
  <si>
    <t>附件5补充协议建面合计</t>
    <phoneticPr fontId="134" type="noConversion"/>
  </si>
  <si>
    <t>附件5补充协议地上建面</t>
    <phoneticPr fontId="134" type="noConversion"/>
  </si>
  <si>
    <t>附件5补充协议地下建面</t>
    <phoneticPr fontId="134" type="noConversion"/>
  </si>
  <si>
    <r>
      <t>国有建设用地使用权合同[电子监管号：1101002023B00</t>
    </r>
    <r>
      <rPr>
        <sz val="10"/>
        <color theme="1"/>
        <rFont val="宋体"/>
        <family val="3"/>
        <charset val="134"/>
        <scheme val="minor"/>
      </rPr>
      <t>0197]</t>
    </r>
    <phoneticPr fontId="134" type="noConversion"/>
  </si>
  <si>
    <t>北京住总房地产开发有限责任公司</t>
    <phoneticPr fontId="134" type="noConversion"/>
  </si>
  <si>
    <r>
      <t>《不动产权证书》</t>
    </r>
    <r>
      <rPr>
        <sz val="10"/>
        <color theme="1"/>
        <rFont val="Arial"/>
        <family val="2"/>
      </rPr>
      <t>[</t>
    </r>
    <r>
      <rPr>
        <sz val="10"/>
        <color theme="1"/>
        <rFont val="宋体"/>
        <family val="3"/>
        <charset val="134"/>
        <scheme val="minor"/>
      </rPr>
      <t>京（</t>
    </r>
    <r>
      <rPr>
        <sz val="10"/>
        <color theme="1"/>
        <rFont val="Arial"/>
        <family val="2"/>
      </rPr>
      <t>2023</t>
    </r>
    <r>
      <rPr>
        <sz val="10"/>
        <color theme="1"/>
        <rFont val="宋体"/>
        <family val="3"/>
        <charset val="134"/>
        <scheme val="minor"/>
      </rPr>
      <t>）延不动产权第</t>
    </r>
    <r>
      <rPr>
        <sz val="10"/>
        <color theme="1"/>
        <rFont val="Arial"/>
        <family val="2"/>
      </rPr>
      <t>0006112</t>
    </r>
    <r>
      <rPr>
        <sz val="10"/>
        <color theme="1"/>
        <rFont val="宋体"/>
        <family val="3"/>
        <charset val="134"/>
        <scheme val="minor"/>
      </rPr>
      <t>号</t>
    </r>
    <r>
      <rPr>
        <sz val="10"/>
        <color theme="1"/>
        <rFont val="Arial"/>
        <family val="2"/>
      </rPr>
      <t>]</t>
    </r>
    <phoneticPr fontId="134" type="noConversion"/>
  </si>
  <si>
    <t>已缴纳</t>
    <phoneticPr fontId="134" type="noConversion"/>
  </si>
  <si>
    <t>分摊土地面积</t>
    <phoneticPr fontId="134" type="noConversion"/>
  </si>
  <si>
    <t>补缴</t>
    <phoneticPr fontId="134" type="noConversion"/>
  </si>
  <si>
    <t>未缴纳</t>
    <phoneticPr fontId="134" type="noConversion"/>
  </si>
  <si>
    <t>契税</t>
    <phoneticPr fontId="134" type="noConversion"/>
  </si>
  <si>
    <t>《建设工程规划许可证》[2023规自（延）建字0011号]</t>
    <phoneticPr fontId="134" type="noConversion"/>
  </si>
  <si>
    <t>地上面积</t>
  </si>
  <si>
    <t>地下面积</t>
  </si>
  <si>
    <t>楼号</t>
    <phoneticPr fontId="134" type="noConversion"/>
  </si>
  <si>
    <t>小计</t>
  </si>
  <si>
    <t>物业用房</t>
    <phoneticPr fontId="134" type="noConversion"/>
  </si>
  <si>
    <t>配套</t>
    <phoneticPr fontId="134" type="noConversion"/>
  </si>
  <si>
    <t>设备用房</t>
    <phoneticPr fontId="134" type="noConversion"/>
  </si>
  <si>
    <t>地下车库</t>
    <phoneticPr fontId="134" type="noConversion"/>
  </si>
  <si>
    <t>地下仓储</t>
    <phoneticPr fontId="134" type="noConversion"/>
  </si>
  <si>
    <t>地下物业用房</t>
    <phoneticPr fontId="134" type="noConversion"/>
  </si>
  <si>
    <t>地下公共配套</t>
    <phoneticPr fontId="134" type="noConversion"/>
  </si>
  <si>
    <t>地下设备用房</t>
    <phoneticPr fontId="134" type="noConversion"/>
  </si>
  <si>
    <t>人防</t>
    <phoneticPr fontId="134" type="noConversion"/>
  </si>
  <si>
    <t>地上楼层</t>
    <phoneticPr fontId="134" type="noConversion"/>
  </si>
  <si>
    <t>地下小计</t>
    <phoneticPr fontId="134" type="noConversion"/>
  </si>
  <si>
    <t>1#住宅楼</t>
    <phoneticPr fontId="134" type="noConversion"/>
  </si>
  <si>
    <t>类别</t>
  </si>
  <si>
    <t>项目类型</t>
  </si>
  <si>
    <t>规划建筑面积（㎡）</t>
    <phoneticPr fontId="134" type="noConversion"/>
  </si>
  <si>
    <t>2#住宅楼</t>
    <phoneticPr fontId="134" type="noConversion"/>
  </si>
  <si>
    <t>合计</t>
  </si>
  <si>
    <t>地上</t>
  </si>
  <si>
    <t>地下</t>
  </si>
  <si>
    <t>3#住宅楼</t>
  </si>
  <si>
    <t>经营性</t>
  </si>
  <si>
    <t>洋房住宅</t>
    <phoneticPr fontId="134" type="noConversion"/>
  </si>
  <si>
    <t>4#住宅楼</t>
  </si>
  <si>
    <t>5#住宅楼</t>
  </si>
  <si>
    <t>6#住宅楼</t>
  </si>
  <si>
    <t>7#住宅楼</t>
  </si>
  <si>
    <t>非经营性</t>
  </si>
  <si>
    <t>设备及其他</t>
  </si>
  <si>
    <t>8#住宅楼</t>
  </si>
  <si>
    <t>公共配套及物业</t>
    <phoneticPr fontId="134" type="noConversion"/>
  </si>
  <si>
    <t>9#住宅楼</t>
  </si>
  <si>
    <t>10#住宅楼</t>
  </si>
  <si>
    <t>11#住宅楼</t>
  </si>
  <si>
    <t>12#住宅楼</t>
  </si>
  <si>
    <t>人防工程</t>
    <phoneticPr fontId="134" type="noConversion"/>
  </si>
  <si>
    <t>13#住宅楼</t>
  </si>
  <si>
    <t>面积</t>
    <phoneticPr fontId="134" type="noConversion"/>
  </si>
  <si>
    <t>个数</t>
    <phoneticPr fontId="134" type="noConversion"/>
  </si>
  <si>
    <t>单个面积</t>
    <phoneticPr fontId="134" type="noConversion"/>
  </si>
  <si>
    <t>14#配套楼</t>
    <phoneticPr fontId="134" type="noConversion"/>
  </si>
  <si>
    <t>人防车位</t>
    <phoneticPr fontId="134" type="noConversion"/>
  </si>
  <si>
    <r>
      <t>C</t>
    </r>
    <r>
      <rPr>
        <sz val="10"/>
        <rFont val="宋体"/>
        <family val="3"/>
        <charset val="134"/>
        <scheme val="minor"/>
      </rPr>
      <t>K01</t>
    </r>
    <r>
      <rPr>
        <sz val="10"/>
        <rFont val="宋体"/>
        <family val="3"/>
        <charset val="134"/>
        <scheme val="minor"/>
      </rPr>
      <t>#地下车库</t>
    </r>
    <phoneticPr fontId="134" type="noConversion"/>
  </si>
  <si>
    <t>非人防车位</t>
    <phoneticPr fontId="134" type="noConversion"/>
  </si>
  <si>
    <t>不含人防合计</t>
    <phoneticPr fontId="134" type="noConversion"/>
  </si>
  <si>
    <t>房屋面积测算技术报告书</t>
    <phoneticPr fontId="134" type="noConversion"/>
  </si>
  <si>
    <t>序号</t>
  </si>
  <si>
    <t>楼号</t>
  </si>
  <si>
    <t>单元</t>
  </si>
  <si>
    <t>房号</t>
  </si>
  <si>
    <t>合并房号</t>
  </si>
  <si>
    <t>套内面积</t>
  </si>
  <si>
    <t>户型</t>
  </si>
  <si>
    <t>类型</t>
  </si>
  <si>
    <t>报建总价</t>
  </si>
  <si>
    <t>报建单价</t>
  </si>
  <si>
    <t>现场报价</t>
  </si>
  <si>
    <t>现场单价</t>
  </si>
  <si>
    <t>房源状态</t>
  </si>
  <si>
    <t>预计/已售成交价</t>
  </si>
  <si>
    <t>B1</t>
  </si>
  <si>
    <t>住宅</t>
  </si>
  <si>
    <t>已售</t>
  </si>
  <si>
    <t>B1反</t>
  </si>
  <si>
    <t>F</t>
  </si>
  <si>
    <t>E1</t>
  </si>
  <si>
    <t>D</t>
  </si>
  <si>
    <t>C反</t>
  </si>
  <si>
    <t>B2</t>
  </si>
  <si>
    <t>E2</t>
  </si>
  <si>
    <t>D反</t>
  </si>
  <si>
    <t>套数</t>
    <phoneticPr fontId="134" type="noConversion"/>
  </si>
  <si>
    <t>单价</t>
    <phoneticPr fontId="134" type="noConversion"/>
  </si>
  <si>
    <t>已售</t>
    <phoneticPr fontId="134" type="noConversion"/>
  </si>
  <si>
    <t>未售</t>
    <phoneticPr fontId="134" type="noConversion"/>
  </si>
  <si>
    <t>仓储</t>
    <phoneticPr fontId="134" type="noConversion"/>
  </si>
  <si>
    <t>住宅合计</t>
    <phoneticPr fontId="134" type="noConversion"/>
  </si>
  <si>
    <t>未售</t>
  </si>
  <si>
    <t>戊类库房</t>
  </si>
  <si>
    <t>用途</t>
    <phoneticPr fontId="134" type="noConversion"/>
  </si>
  <si>
    <t>建面</t>
    <phoneticPr fontId="134" type="noConversion"/>
  </si>
  <si>
    <t>建安单价</t>
    <phoneticPr fontId="134" type="noConversion"/>
  </si>
  <si>
    <t>合计</t>
    <phoneticPr fontId="134" type="noConversion"/>
  </si>
  <si>
    <t>住宅</t>
    <phoneticPr fontId="134" type="noConversion"/>
  </si>
  <si>
    <t>仓储</t>
    <phoneticPr fontId="134" type="noConversion"/>
  </si>
  <si>
    <t>车库</t>
    <phoneticPr fontId="134" type="noConversion"/>
  </si>
  <si>
    <t>设备及公共配套</t>
    <phoneticPr fontId="134" type="noConversion"/>
  </si>
  <si>
    <t>人防</t>
    <phoneticPr fontId="134" type="noConversion"/>
  </si>
  <si>
    <t>抵押</t>
  </si>
  <si>
    <t>房地产抵押价值</t>
  </si>
  <si>
    <t>北京市</t>
  </si>
  <si>
    <t>企业</t>
  </si>
  <si>
    <t>居住项目</t>
  </si>
  <si>
    <t>无</t>
  </si>
  <si>
    <t>否</t>
  </si>
  <si>
    <t>在建</t>
  </si>
  <si>
    <t>通路</t>
  </si>
  <si>
    <t>通电</t>
  </si>
  <si>
    <t>通上水</t>
  </si>
  <si>
    <t>通下水</t>
  </si>
  <si>
    <t>通热</t>
  </si>
  <si>
    <t>是</t>
  </si>
  <si>
    <t>住宅-洋房</t>
  </si>
  <si>
    <t>住宅-洋房</t>
    <phoneticPr fontId="7" type="noConversion"/>
  </si>
  <si>
    <t>地下仓储</t>
  </si>
  <si>
    <t>地下仓储</t>
    <phoneticPr fontId="7" type="noConversion"/>
  </si>
  <si>
    <t>地下车库</t>
  </si>
  <si>
    <t>地下车库</t>
    <phoneticPr fontId="7" type="noConversion"/>
  </si>
  <si>
    <t>全部经营性用途</t>
    <phoneticPr fontId="134" type="noConversion"/>
  </si>
  <si>
    <t>估价对象全部</t>
    <phoneticPr fontId="134" type="noConversion"/>
  </si>
  <si>
    <t>工程进度</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</si>
  <si>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</si>
  <si>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</si>
  <si>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</si>
  <si>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</si>
  <si>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</si>
  <si>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</si>
  <si>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</si>
  <si>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</si>
  <si>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</si>
  <si>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</si>
  <si>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</si>
  <si>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</si>
  <si>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</si>
  <si>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</si>
  <si>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</si>
  <si>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</si>
  <si>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</si>
  <si>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</si>
  <si>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</si>
  <si>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</si>
  <si>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</si>
  <si>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</si>
  <si>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</si>
  <si>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</si>
  <si>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</si>
  <si>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</si>
  <si>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</si>
  <si>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</si>
  <si>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</si>
  <si>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</si>
  <si>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</si>
  <si>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</si>
  <si>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</si>
  <si>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</si>
  <si>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</si>
  <si>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</si>
  <si>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</si>
  <si>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</si>
  <si>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</si>
  <si>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</si>
  <si>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</si>
  <si>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</si>
  <si>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</si>
  <si>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</si>
  <si>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</si>
  <si>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</si>
  <si>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</si>
  <si>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</si>
  <si>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</si>
  <si>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</si>
  <si>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</si>
  <si>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</si>
  <si>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</si>
  <si>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</si>
  <si>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</si>
  <si>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</si>
  <si>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</si>
  <si>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</si>
  <si>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</si>
  <si>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</si>
  <si>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</si>
  <si>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</si>
  <si>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</si>
  <si>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</si>
  <si>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</si>
  <si>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北京市怀柔区雁栖镇03-01、03-02、03-03、03-04、03-05、03-06地块F1住宅混合公建用地、F3其他类多功能用地(怀柔雁栖小镇C区土地一级开发项目)</t>
  </si>
  <si>
    <t xml:space="preserve"> 北京 </t>
  </si>
  <si>
    <t xml:space="preserve"> 北京市 </t>
  </si>
  <si>
    <t xml:space="preserve"> 怀柔区 </t>
  </si>
  <si>
    <t xml:space="preserve"> 雁栖 </t>
  </si>
  <si>
    <t xml:space="preserve"> 京土储挂(怀)[2024]011号 </t>
  </si>
  <si>
    <t xml:space="preserve"> 怀柔区雁栖镇 </t>
  </si>
  <si>
    <t xml:space="preserve"> -- </t>
  </si>
  <si>
    <t xml:space="preserve"> 综合用地(含住宅) </t>
  </si>
  <si>
    <t xml:space="preserve"> 住宅 办公 </t>
  </si>
  <si>
    <t xml:space="preserve"> B商业服务业设施用地 </t>
  </si>
  <si>
    <t xml:space="preserve"> 住宅70年办公40年 </t>
  </si>
  <si>
    <t xml:space="preserve"> ≤1.11 </t>
  </si>
  <si>
    <t xml:space="preserve"> 挂牌 </t>
  </si>
  <si>
    <t xml:space="preserve">-- </t>
  </si>
  <si>
    <t xml:space="preserve"> 限地价,摇号/摇珠/抽签 </t>
  </si>
  <si>
    <t xml:space="preserve"> 限地价 </t>
  </si>
  <si>
    <t xml:space="preserve"> 已成交 </t>
  </si>
  <si>
    <t xml:space="preserve"> 未开工 </t>
  </si>
  <si>
    <t xml:space="preserve"> 北京怀柔科学城雁栖小镇置业有限公司  </t>
  </si>
  <si>
    <t xml:space="preserve"> 怀柔科学城 </t>
  </si>
  <si>
    <t xml:space="preserve"> 地方国有企业 </t>
  </si>
  <si>
    <t xml:space="preserve"> 城投企业 </t>
  </si>
  <si>
    <t xml:space="preserve"> 未触达 </t>
  </si>
  <si>
    <t xml:space="preserve"> 5540元/㎡(九级住宅用途2021-01-01) </t>
  </si>
  <si>
    <t xml:space="preserve"> 否 </t>
  </si>
  <si>
    <t xml:space="preserve"> --</t>
  </si>
  <si>
    <t>北京市怀柔区雁栖镇、怀北镇02-01、02-02、02-03、02-04、02-05、02-06、02-07、02-08、02-09地块F1住宅混合公建用地(怀柔雁栖小镇B区土地一级开发项目)</t>
  </si>
  <si>
    <t xml:space="preserve"> 京土储挂(怀)[2023]055号 </t>
  </si>
  <si>
    <t xml:space="preserve"> 怀柔区雁栖镇、怀北镇 </t>
  </si>
  <si>
    <t xml:space="preserve"> 住宅用地 </t>
  </si>
  <si>
    <t xml:space="preserve"> F1住宅混合公建用地 </t>
  </si>
  <si>
    <t xml:space="preserve"> R居住用地 </t>
  </si>
  <si>
    <t xml:space="preserve"> 居住70年商业40年办公50年 </t>
  </si>
  <si>
    <t xml:space="preserve"> ≤1.09 </t>
  </si>
  <si>
    <t xml:space="preserve"> 12米 </t>
  </si>
  <si>
    <t xml:space="preserve"> 北京怀柔科学城置业有限公司  </t>
  </si>
  <si>
    <t xml:space="preserve"> 3630元/㎡(十级住宅用途2021-01-01) </t>
  </si>
  <si>
    <t xml:space="preserve"> </t>
  </si>
  <si>
    <t xml:space="preserve"> 是 </t>
  </si>
  <si>
    <t xml:space="preserve"> 怀柔区怀北镇、雁栖镇</t>
  </si>
  <si>
    <t>北京市密云区水源路南侧C-2地块土地一级开发项目MY00-0105-6038、6040地块R2二类居住用地</t>
  </si>
  <si>
    <t xml:space="preserve"> 密云区 </t>
  </si>
  <si>
    <t xml:space="preserve"> 鼓楼 </t>
  </si>
  <si>
    <t xml:space="preserve"> 京土储挂(密)[2023]049号 </t>
  </si>
  <si>
    <t xml:space="preserve"> 密云区水源路南侧 </t>
  </si>
  <si>
    <t xml:space="preserve"> 城镇住宅-普通商品住房用地 </t>
  </si>
  <si>
    <t xml:space="preserve"> 70年 </t>
  </si>
  <si>
    <t xml:space="preserve"> 24米 </t>
  </si>
  <si>
    <t xml:space="preserve"> 北京祥业房地产有限公司  </t>
  </si>
  <si>
    <t xml:space="preserve"> 北京住总集团 </t>
  </si>
  <si>
    <t xml:space="preserve"> 密云区密云镇</t>
  </si>
  <si>
    <t>北京市延庆区南辛堡村、民主村、百眼泉村棚户区改造项目YQ00-0309-0007地块R2二类居住用地</t>
  </si>
  <si>
    <t xml:space="preserve"> 延庆区 </t>
  </si>
  <si>
    <t xml:space="preserve"> 延庆镇 </t>
  </si>
  <si>
    <t xml:space="preserve"> 京土储挂(延)[2023]041号 </t>
  </si>
  <si>
    <t xml:space="preserve"> 延庆区延庆新城09街区 </t>
  </si>
  <si>
    <t xml:space="preserve"> 限地价,限房价 </t>
  </si>
  <si>
    <t xml:space="preserve"> 北京住总房地产开发有限责任公司  </t>
  </si>
  <si>
    <t xml:space="preserve"> 延庆区延庆镇</t>
  </si>
  <si>
    <t>北京市平谷区兴谷新消费综合体项目PG00-0106-0104地块R2二类居住用地</t>
  </si>
  <si>
    <t xml:space="preserve"> 平谷区 </t>
  </si>
  <si>
    <t xml:space="preserve"> 兴谷 </t>
  </si>
  <si>
    <t xml:space="preserve"> 京土储挂(平)[2023]030号 </t>
  </si>
  <si>
    <t xml:space="preserve"> 平谷区兴谷街道 </t>
  </si>
  <si>
    <t xml:space="preserve"> ≤1.2 </t>
  </si>
  <si>
    <t xml:space="preserve"> 已开工 </t>
  </si>
  <si>
    <t xml:space="preserve"> 北京辰禾嘉业房地产开发有限公司  </t>
  </si>
  <si>
    <t xml:space="preserve"> 北京辰禾嘉业房地产开发有限公司 </t>
  </si>
  <si>
    <t xml:space="preserve"> 民营企业 </t>
  </si>
  <si>
    <t xml:space="preserve"> 平谷新城</t>
  </si>
  <si>
    <t>北京市密云区十里堡镇王各庄棚户区改造项目MY00-0500-0001地块R2二类居住用地</t>
  </si>
  <si>
    <t xml:space="preserve"> 十里堡镇 </t>
  </si>
  <si>
    <t xml:space="preserve"> 京土储挂(密)[2022]058号 </t>
  </si>
  <si>
    <t xml:space="preserve"> 密云区十里堡镇王各庄村 </t>
  </si>
  <si>
    <t xml:space="preserve"> R2二类居住用地 </t>
  </si>
  <si>
    <t xml:space="preserve"> 住宅70年 </t>
  </si>
  <si>
    <t xml:space="preserve"> 45米 </t>
  </si>
  <si>
    <t xml:space="preserve">2022年第3批次 </t>
  </si>
  <si>
    <t xml:space="preserve"> 北京住总置业有限公司 、北京密云城市建设投资集团有限公司 、北京建工地产有限责任公司 、北京众智房地产开发有限公司  </t>
  </si>
  <si>
    <t xml:space="preserve"> 北京密云经济开发区有限责任公司,北京建工,北京住总集团,北京密云城建 </t>
  </si>
  <si>
    <t xml:space="preserve"> 地方国有企业，地方国有企业，地方国有企业，地方国有企业 </t>
  </si>
  <si>
    <t xml:space="preserve"> --，城投企业，城投企业，-- </t>
  </si>
  <si>
    <t>北京市密云区水源路南侧B地块土地一级开发项目MY00-0104-6054地块R2二类居住用地</t>
  </si>
  <si>
    <t xml:space="preserve"> 京土储挂(密)[2022]057号 </t>
  </si>
  <si>
    <t xml:space="preserve"> 北京众智房地产开发有限公司  </t>
  </si>
  <si>
    <t xml:space="preserve"> 北京密云经济开发区有限责任公司 </t>
  </si>
  <si>
    <t xml:space="preserve"> 锦云府  </t>
  </si>
  <si>
    <t xml:space="preserve"> 滨河 </t>
  </si>
  <si>
    <t xml:space="preserve"> 京土储挂(平)[2022]037号 </t>
  </si>
  <si>
    <t xml:space="preserve"> 平谷区滨河街道 </t>
  </si>
  <si>
    <t xml:space="preserve"> R2二类居住用地、F3其他类多功能用地 </t>
  </si>
  <si>
    <t xml:space="preserve"> 原pg-0005-0065、74(b地块)容积率2.4,原pg00-0005-0035-01西部(d地块)容积率2.5,原pg00-0005-0035-01东部(d地块)容积率2.4 </t>
  </si>
  <si>
    <t xml:space="preserve">2022年第2批次 </t>
  </si>
  <si>
    <t xml:space="preserve"> 限房价,限地价,摇号/摇珠/抽签 </t>
  </si>
  <si>
    <t xml:space="preserve"> 限房价,限地价 </t>
  </si>
  <si>
    <t xml:space="preserve"> 京能置业股份有限公司 、北京城谷恒泰房地产开发有限公司  </t>
  </si>
  <si>
    <t xml:space="preserve"> 北京城建集团,京能置业,谷财集团 </t>
  </si>
  <si>
    <t xml:space="preserve"> 地方国有企业，地方国有企业，地方国有企业 </t>
  </si>
  <si>
    <t xml:space="preserve"> 城投企业，--，城投企业 </t>
  </si>
  <si>
    <t>北京市怀柔区雁栖镇01-01、01-02、01-03、01-04地块F2公建混合住宅用地、F3其他类多功能用地(怀柔雁栖小镇土地一级开发项目)</t>
  </si>
  <si>
    <t xml:space="preserve"> 京土储挂(怀)[2022]015号 </t>
  </si>
  <si>
    <t xml:space="preserve"> F2公建混合住宅用地、F3其他类多功能用地 </t>
  </si>
  <si>
    <t xml:space="preserve"> 住宅70年、办公50年 </t>
  </si>
  <si>
    <t xml:space="preserve"> 01-01地块和01-04地块容积率1.3,01-02地块容积率1.4,01-03地块容积率2.0 </t>
  </si>
  <si>
    <t xml:space="preserve"> 地标建筑区域建筑屋脊高度控制在24米以下。 </t>
  </si>
  <si>
    <t xml:space="preserve">2022年第1批次 </t>
  </si>
  <si>
    <t xml:space="preserve"> 限房价,限地价,报高标准商品住宅建设方案 </t>
  </si>
  <si>
    <t xml:space="preserve"> 已竣工 </t>
  </si>
  <si>
    <t xml:space="preserve"> 北京怀柔科学城建设发展有限公司  </t>
  </si>
  <si>
    <t>北京市延庆区小营村,石河营村棚户区改造和环境整治项目YQ00-0006-0029地块R2二类居住用地</t>
  </si>
  <si>
    <t xml:space="preserve"> 京土整储挂(延)[2021]088号 </t>
  </si>
  <si>
    <t xml:space="preserve"> 延庆区延庆新城06街区 </t>
  </si>
  <si>
    <t xml:space="preserve"> 居住70年,商业40年,办公51年 </t>
  </si>
  <si>
    <t xml:space="preserve">2021年第3批次 </t>
  </si>
  <si>
    <t xml:space="preserve"> 中建京西建设发展有限公司  </t>
  </si>
  <si>
    <t xml:space="preserve"> 中建方程 </t>
  </si>
  <si>
    <t xml:space="preserve"> 中央国有企业 </t>
  </si>
  <si>
    <t xml:space="preserve"> 7830元/㎡(八级住宅用途2021-01-01) </t>
  </si>
  <si>
    <t xml:space="preserve"> 中建·上源府  </t>
  </si>
  <si>
    <t>北京市密云区水源路南侧MY00-0104-6016等地块R2二类居住用地</t>
  </si>
  <si>
    <t xml:space="preserve"> 京土整储挂(密)[2021]087号 </t>
  </si>
  <si>
    <t xml:space="preserve"> 居住70年,商业40年,办公53年 </t>
  </si>
  <si>
    <t xml:space="preserve"> 限房价,限地价,摇号/摇珠/抽签,现房销售 </t>
  </si>
  <si>
    <t xml:space="preserve"> 北京祥业房地产有限公司 、北京首都开发股份有限公司 、北京旭科置业有限公司和北京密云城市建设投资开发有限公司  </t>
  </si>
  <si>
    <t xml:space="preserve"> 北京密云城建,北京住总集团,旭辉集团,首开股份 </t>
  </si>
  <si>
    <t xml:space="preserve"> 地方国有企业，地方国有企业，民营企业，地方国有企业 </t>
  </si>
  <si>
    <t xml:space="preserve"> --，城投企业，--，-- </t>
  </si>
  <si>
    <t>北京市平谷区马昌营镇(沥青厂)PG12-0102-6001、6002地块R2二类居住用地、0004地块公园绿地、0019地块防护绿地</t>
  </si>
  <si>
    <t xml:space="preserve"> 大兴庄镇 </t>
  </si>
  <si>
    <t xml:space="preserve"> 京土整储招(平)[2021]075号 </t>
  </si>
  <si>
    <t xml:space="preserve"> 平谷区马昌营镇 </t>
  </si>
  <si>
    <t xml:space="preserve"> R2二类居住用地、公园绿地、防护绿地 </t>
  </si>
  <si>
    <t xml:space="preserve"> G1公园绿地、G2防护绿地、R2二类居住用地 </t>
  </si>
  <si>
    <t xml:space="preserve"> ≤2.5 </t>
  </si>
  <si>
    <t xml:space="preserve"> 60米 </t>
  </si>
  <si>
    <t xml:space="preserve"> 招标 </t>
  </si>
  <si>
    <t xml:space="preserve">2021年第2批次 </t>
  </si>
  <si>
    <t xml:space="preserve"> 限房价 </t>
  </si>
  <si>
    <t xml:space="preserve"> 配建自住房/共有产权房用地,纯自住房/共有产权房用地 </t>
  </si>
  <si>
    <t xml:space="preserve"> 北京城乡房屋建设开发有限责任公司  </t>
  </si>
  <si>
    <t xml:space="preserve"> 北京建工 </t>
  </si>
  <si>
    <t xml:space="preserve"> 晟贤悦府  </t>
  </si>
  <si>
    <t>北京市密云区檀营乡6005地块R2二类居住用地</t>
  </si>
  <si>
    <t xml:space="preserve"> 檀营 </t>
  </si>
  <si>
    <t xml:space="preserve"> 京土整储挂(密)[2021]026号 </t>
  </si>
  <si>
    <t xml:space="preserve"> 密云区檀营乡 </t>
  </si>
  <si>
    <t xml:space="preserve"> 居住70年、商业40年、办公50年 </t>
  </si>
  <si>
    <t xml:space="preserve"> ≤2.0 </t>
  </si>
  <si>
    <t xml:space="preserve"> ≤30% </t>
  </si>
  <si>
    <t xml:space="preserve"> ≤30米(局部45米) </t>
  </si>
  <si>
    <t xml:space="preserve">2021年第1批次 </t>
  </si>
  <si>
    <t xml:space="preserve"> 限地价,报高标准商品住宅建设方案 </t>
  </si>
  <si>
    <t xml:space="preserve"> 北京祥业房地产有限公司 、北京首都开发股份有限公司 、北京兴添咨询服务有限公司 、北京花亿里房地产开发有限公司  </t>
  </si>
  <si>
    <t xml:space="preserve"> 首开股份,北京花亿里房地产开发有限公司,北京住总集团,旭辉集团 </t>
  </si>
  <si>
    <t xml:space="preserve"> 地方国有企业，民营企业，地方国有企业，民营企业 </t>
  </si>
  <si>
    <t xml:space="preserve"> --，--，城投企业，-- </t>
  </si>
  <si>
    <t xml:space="preserve"> 触达 </t>
  </si>
  <si>
    <t xml:space="preserve"> 国祥雲著  </t>
  </si>
  <si>
    <t>北京市怀柔区刘各长村棚户区改造土地开发项目HR00-0101-6049、6200、6201、6202、6203地块R2二类居住用地等</t>
  </si>
  <si>
    <t xml:space="preserve"> 怀柔 </t>
  </si>
  <si>
    <t xml:space="preserve"> 京土整储挂(怀)[2021]027号 </t>
  </si>
  <si>
    <t xml:space="preserve"> 怀柔区怀柔镇刘各长村 </t>
  </si>
  <si>
    <t xml:space="preserve"> R2二类居住用地、B4综合性商业金融服务业用地、A334托幼用地 </t>
  </si>
  <si>
    <t xml:space="preserve"> B21金融保险用地、B1商业设施用地、A33基础教育用地、R2二类居住用地 </t>
  </si>
  <si>
    <t xml:space="preserve"> ≤1.83 </t>
  </si>
  <si>
    <t xml:space="preserve"> 北京天恒正同资产管理有限公司 、青岛越星房地产开发有限公司  </t>
  </si>
  <si>
    <t xml:space="preserve"> 越秀地产,北京天恒置业 </t>
  </si>
  <si>
    <t xml:space="preserve"> 地方国有企业，地方国有企业 </t>
  </si>
  <si>
    <t xml:space="preserve"> --，城投企业 </t>
  </si>
  <si>
    <t xml:space="preserve"> 越秀天恒·怀山府  </t>
  </si>
  <si>
    <t>北京市延庆区南菜园1-5巷棚户区改造项目YQ00-0007-0002地块R2二类居住用地</t>
  </si>
  <si>
    <t xml:space="preserve"> 京土整储挂(延)[2021]028号 </t>
  </si>
  <si>
    <t xml:space="preserve"> 延庆新城07街区 </t>
  </si>
  <si>
    <t xml:space="preserve"> r2≤1.9 </t>
  </si>
  <si>
    <t xml:space="preserve"> ≤30米 </t>
  </si>
  <si>
    <t xml:space="preserve"> 北京住总山澜阙府  </t>
  </si>
  <si>
    <t>北京市怀柔区怀柔新城08街区HR00-0008-6029等地块R2二类居住用地、B1商业用地、F3其他类多功能用地、A334基础教育用地、S4社会停车场用地</t>
  </si>
  <si>
    <t xml:space="preserve"> 杨宋镇 </t>
  </si>
  <si>
    <t xml:space="preserve"> 京土整储挂(怀)[2020]041号 </t>
  </si>
  <si>
    <t xml:space="preserve"> 怀柔区杨宋镇怀柔新城08街区 </t>
  </si>
  <si>
    <t xml:space="preserve"> R2二类居住用地、B1商业用地、F3其他类多功能用地、A334基础教育用地、S4社会停车场用地 </t>
  </si>
  <si>
    <t xml:space="preserve"> A33基础教育用地、S42社会停车场用地、B1商业设施用地、R2二类居住用地 </t>
  </si>
  <si>
    <t xml:space="preserve"> hr00-0008-6029≤2;hr00-0008-6031,hr00-0008-6033≤2.6;hr00-0008-6040,hr00-0008-6043,hr00-0008-6035,hr00-0008-6042,hr00-0008-6045≤2.5;hr00-0008-6044≤0.8 </t>
  </si>
  <si>
    <t xml:space="preserve"> B1≤40%;F3≤45%;R2,A334≤30% </t>
  </si>
  <si>
    <t xml:space="preserve"> B1≤18米;F3≤60米;A334≤12米 </t>
  </si>
  <si>
    <t xml:space="preserve"> 限地价,竞自持,报高标准商品住宅建设方案 </t>
  </si>
  <si>
    <t xml:space="preserve"> 北京建工地产有限责任公司  </t>
  </si>
  <si>
    <t xml:space="preserve"> 北京建工·璟玥林汐  </t>
  </si>
  <si>
    <t>北京市平谷区王辛庄镇(二号地三期)PG00-0002-6006地块R2二类居住用地</t>
  </si>
  <si>
    <t xml:space="preserve"> 王辛庄镇 </t>
  </si>
  <si>
    <t xml:space="preserve"> 京土整储挂(平)[2020]036号 </t>
  </si>
  <si>
    <t xml:space="preserve"> 平谷区王辛庄镇 </t>
  </si>
  <si>
    <t xml:space="preserve"> ≤2.35 </t>
  </si>
  <si>
    <t xml:space="preserve"> ≤60米 </t>
  </si>
  <si>
    <t xml:space="preserve"> 北京城建房地产开发有限公司  </t>
  </si>
  <si>
    <t xml:space="preserve"> 北京城建集团 </t>
  </si>
  <si>
    <t xml:space="preserve"> 北京城建·樂知筑  </t>
  </si>
  <si>
    <t>北京市怀柔区雁栖镇陈各庄村HR00-0010-6040地块R2二类居住用地</t>
  </si>
  <si>
    <t xml:space="preserve"> 京土整储挂(怀)[2020]031号 </t>
  </si>
  <si>
    <t xml:space="preserve"> 怀柔区雁栖镇陈各庄村 </t>
  </si>
  <si>
    <t xml:space="preserve"> 北京科控置地有限公司  </t>
  </si>
  <si>
    <t xml:space="preserve"> 北科建集团,北京北控,怀柔科学城 </t>
  </si>
  <si>
    <t>平谷中心城区棚户区改造项目A地块〔平谷区府前街旧城棚户区改造项目(二期)〕的北小区地块、C地块(住宅及幼儿园用地部分)</t>
  </si>
  <si>
    <t xml:space="preserve"> 京土棚改招(平)[2020]001号 </t>
  </si>
  <si>
    <t xml:space="preserve"> 北京市平谷区府前街 </t>
  </si>
  <si>
    <t xml:space="preserve"> R2二类居住用地、A33基础教育用地 </t>
  </si>
  <si>
    <t xml:space="preserve"> A33基础教育用地、R2二类居住用地 </t>
  </si>
  <si>
    <t xml:space="preserve"> 居住70年,商业40年,综合50年 </t>
  </si>
  <si>
    <t xml:space="preserve"> ≤1.47 </t>
  </si>
  <si>
    <t xml:space="preserve"> 限价商品房 </t>
  </si>
  <si>
    <t xml:space="preserve"> 北京城谷恒泰房地产开发有限公司  </t>
  </si>
  <si>
    <t>北京市密云区密云经济开发区三期A1地块MY00-0302-6010等地块R2二类居住用地、A33基础教育用地</t>
  </si>
  <si>
    <t xml:space="preserve"> 河南寨镇 </t>
  </si>
  <si>
    <t xml:space="preserve"> 京土整储挂(密)[2020]006号 </t>
  </si>
  <si>
    <t xml:space="preserve"> 密云新城0302街区 </t>
  </si>
  <si>
    <t xml:space="preserve"> r2≤1.62,a33≤0.8 </t>
  </si>
  <si>
    <t xml:space="preserve"> R2≤18米(局部30米),A33≤12米 </t>
  </si>
  <si>
    <t xml:space="preserve"> 恒大地产集团北京有限公司  </t>
  </si>
  <si>
    <t xml:space="preserve"> 中国恒大 </t>
  </si>
  <si>
    <t xml:space="preserve"> 北京上河院  </t>
  </si>
  <si>
    <t>北京市密云区檀营乡6023地块R2二类居住用地、6024地块A33基础教育用地</t>
  </si>
  <si>
    <t xml:space="preserve"> 京土整储挂(密)[2020]007号 </t>
  </si>
  <si>
    <t xml:space="preserve"> 居住70年、教育50年 </t>
  </si>
  <si>
    <t xml:space="preserve"> r2≤2,a33≤0.8 </t>
  </si>
  <si>
    <t xml:space="preserve"> R2≤30%,A33≤35% </t>
  </si>
  <si>
    <t xml:space="preserve"> R2≤30米(局部45米),A33≤9米 </t>
  </si>
  <si>
    <t xml:space="preserve"> 北京祥业房地产有限公司 、北京首都开发股份有限公司 、北京盛通房地产有限公司 、天津花创房地产开发有限公司联合体  </t>
  </si>
  <si>
    <t xml:space="preserve"> 旭辉集团,花样年,北京住总集团,首开股份 </t>
  </si>
  <si>
    <t xml:space="preserve"> 民营企业，民营企业，地方国有企业，地方国有企业 </t>
  </si>
  <si>
    <t xml:space="preserve"> 国祥府  </t>
  </si>
  <si>
    <t>北京市怀柔区雁栖镇陈各庄村HR00-0010-6047地块R2二类居住用地、HR00-0010-6045和HR00-0010-6054地块S4社会停车场用地</t>
  </si>
  <si>
    <t xml:space="preserve"> 京土整储挂(怀)[2019]040号 </t>
  </si>
  <si>
    <t xml:space="preserve"> R2二类居住用地、S4社会停车场用地 </t>
  </si>
  <si>
    <t xml:space="preserve"> S42社会停车场用地、R2二类居住用地 </t>
  </si>
  <si>
    <t xml:space="preserve"> r2≤1.55,s4≤0.1 </t>
  </si>
  <si>
    <t xml:space="preserve"> R2≤30%,S4≤5% </t>
  </si>
  <si>
    <t xml:space="preserve"> R2≤18米,S4≤9米 </t>
  </si>
  <si>
    <t xml:space="preserve"> 北京科技园建设(集团)股份有限公司 、北京京雁置业有限责任公司 、北京北控城市开发有限公司 、北京市长城伟业投资开发总公司联合体  </t>
  </si>
  <si>
    <t xml:space="preserve"> 北控置业,怀柔科学城,北科建集团 </t>
  </si>
  <si>
    <t xml:space="preserve"> --，城投企业，城投企业 </t>
  </si>
  <si>
    <t xml:space="preserve"> 北科建翡翠华府  </t>
  </si>
  <si>
    <t>北京市怀柔区怀柔新城07街区(杨宋镇凤翔一园10号)HR00-0007-6006地块R2二类居住用地</t>
  </si>
  <si>
    <t xml:space="preserve"> 京土整储招(怀)[2019]028号 </t>
  </si>
  <si>
    <t xml:space="preserve"> 怀柔新城07街区 </t>
  </si>
  <si>
    <t xml:space="preserve"> ≤2.2 </t>
  </si>
  <si>
    <t xml:space="preserve"> ≤45米 </t>
  </si>
  <si>
    <t xml:space="preserve"> 自住房/共有产权房 </t>
  </si>
  <si>
    <t xml:space="preserve"> 北京怀胜城市建设开发有限公司 、北京怀胜青春广场置业有限公司联合体  </t>
  </si>
  <si>
    <t xml:space="preserve"> 北京怀胜 </t>
  </si>
  <si>
    <t>北京市平谷区金海湖镇PG06-0100-6014地块R2二类居住用地</t>
  </si>
  <si>
    <t xml:space="preserve"> 金海湖 </t>
  </si>
  <si>
    <t xml:space="preserve"> 京土整储挂(平)[2019]014号 </t>
  </si>
  <si>
    <t xml:space="preserve"> 平谷区金海湖镇 </t>
  </si>
  <si>
    <t xml:space="preserve"> ≤1.01 </t>
  </si>
  <si>
    <t xml:space="preserve"> ≤18米 </t>
  </si>
  <si>
    <t xml:space="preserve"> 首金合创(天津)置业发展有限公司 、北京金第房地产开发有限责任公司 、北京首都开发股份有限公司联合体  </t>
  </si>
  <si>
    <t xml:space="preserve"> 首创城发,北京住总集团,首开股份 </t>
  </si>
  <si>
    <t xml:space="preserve"> --，城投企业，-- </t>
  </si>
  <si>
    <t xml:space="preserve"> 2180元/㎡(十一级住宅用途2021-01-01) </t>
  </si>
  <si>
    <t xml:space="preserve"> 国风金海  </t>
  </si>
  <si>
    <t>北京市怀柔区怀柔新城03街区HR00-0003-6004等地块A33基础教育用地、R2二类居住用地、F1住宅混合公建用地、F3其他类多功能用地</t>
  </si>
  <si>
    <t xml:space="preserve"> 京土整储挂(怀)[2019]009号 </t>
  </si>
  <si>
    <t xml:space="preserve"> 怀柔区怀柔新城03街区 </t>
  </si>
  <si>
    <t xml:space="preserve"> R2二类居住用地、F1住宅混合公建用地、F3其他类多功能用地、A33基础教育用地 </t>
  </si>
  <si>
    <t xml:space="preserve"> ≤2.05 </t>
  </si>
  <si>
    <t xml:space="preserve"> F3≤45%,A33、F1、R2≤30% </t>
  </si>
  <si>
    <t xml:space="preserve"> 北京城建投资发展股份有限公司 、北京怀胜城市建设开发有限公司联合体  </t>
  </si>
  <si>
    <t xml:space="preserve"> 北京城建 </t>
  </si>
  <si>
    <t xml:space="preserve"> 北京城建·府前龙樾  </t>
  </si>
  <si>
    <t>北京市平谷区金海湖镇PG06-0100-6019等地块R2二类居住用地、B1商业用地、A33基础教育用地</t>
  </si>
  <si>
    <t xml:space="preserve"> 京土整储挂(平)[2019]003号 </t>
  </si>
  <si>
    <t xml:space="preserve"> R2二类居住用地、B1商业用地、A33基础教育用地 </t>
  </si>
  <si>
    <t xml:space="preserve"> A33基础教育用地、R2二类居住用地、B1商业设施用地 </t>
  </si>
  <si>
    <t xml:space="preserve"> b1\r2=1.01,a33=0.8 </t>
  </si>
  <si>
    <t xml:space="preserve"> B1≤35%,R2、A33≤30% </t>
  </si>
  <si>
    <t xml:space="preserve"> R2≤18米,A33≤12米 </t>
  </si>
  <si>
    <t xml:space="preserve"> 首金隆创(天津)置业发展有限公司 、北京金第房地产开发有限责任公司联合体  </t>
  </si>
  <si>
    <t xml:space="preserve"> 北京住总集团,万科,首创城发 </t>
  </si>
  <si>
    <t xml:space="preserve"> 地方国有企业，混合所有制，地方国有企业 </t>
  </si>
  <si>
    <t xml:space="preserve"> 城投企业，--，-- </t>
  </si>
  <si>
    <t xml:space="preserve"> 首创住总·禧瑞金海  </t>
  </si>
  <si>
    <t>北京市密云区溪翁庄MY02-0201-6001地块(原圆明三园C地块)R2二类居住用地</t>
  </si>
  <si>
    <t xml:space="preserve"> 溪翁庄镇 </t>
  </si>
  <si>
    <t xml:space="preserve"> 京土整储挂(密)[2018]066号 </t>
  </si>
  <si>
    <t xml:space="preserve"> 密云区溪翁庄 </t>
  </si>
  <si>
    <t xml:space="preserve"> 曲水鹏盛天创业投资管理有限公司  </t>
  </si>
  <si>
    <t xml:space="preserve"> 阳光城 </t>
  </si>
  <si>
    <t xml:space="preserve"> 阳光城·溪山悦  </t>
  </si>
  <si>
    <t>北京市怀柔区雁栖镇陈各庄村HR00-0010-6037地块R2二类居住用地、HR00-0010-6043地块A33基础教育用地</t>
  </si>
  <si>
    <t xml:space="preserve"> 京土整储挂(怀)[2018]054号 </t>
  </si>
  <si>
    <t xml:space="preserve"> R2≤30;A33≤15 </t>
  </si>
  <si>
    <t>北京市密云区李各庄路0602、0603地块二类居住及基础教育用地</t>
  </si>
  <si>
    <t xml:space="preserve"> 密云镇 </t>
  </si>
  <si>
    <t xml:space="preserve"> 京土整储挂(密)[2018]051号 </t>
  </si>
  <si>
    <t xml:space="preserve"> 密云区李各庄路 </t>
  </si>
  <si>
    <t xml:space="preserve"> R2≤36;A33≤12 </t>
  </si>
  <si>
    <t xml:space="preserve"> 北京隽成房地产开发有限公司  </t>
  </si>
  <si>
    <t xml:space="preserve"> 路劲集团 </t>
  </si>
  <si>
    <t>北京市怀柔区庙城HR00-0014-6019等地块R2二类居住用地、B1商业用地、S4社会停车场用地、A33基础教育用地、U22环卫设施用地</t>
  </si>
  <si>
    <t xml:space="preserve"> 庙城 </t>
  </si>
  <si>
    <t xml:space="preserve"> 京土整储挂(怀)[2018]046号 </t>
  </si>
  <si>
    <t xml:space="preserve"> 怀柔区庙城镇庙城村 </t>
  </si>
  <si>
    <t xml:space="preserve"> R2二类居住用地、B1商业用地、S4社会停车场用地、A33基础教育用地、U22环卫设施用地 </t>
  </si>
  <si>
    <t xml:space="preserve"> A33基础教育用地、S42社会停车场用地、U22环卫设施用地、R2二类居住用地、B1商业设施用地 </t>
  </si>
  <si>
    <t xml:space="preserve"> 限地价,限房价,竞自持,报高标准商品住宅建设方案,90/70 </t>
  </si>
  <si>
    <t xml:space="preserve"> 限地价,限房价,90/70 </t>
  </si>
  <si>
    <t xml:space="preserve"> 北京银地房地产开发有限责任公司 、北京京粮置业有限公司 、北京三元嘉业房地产开发有限公司联合体  </t>
  </si>
  <si>
    <t xml:space="preserve"> 首农发展,菜篮子集团,三元嘉业 </t>
  </si>
  <si>
    <t xml:space="preserve"> --，--，城投企业 </t>
  </si>
  <si>
    <t xml:space="preserve"> 山水首府  </t>
  </si>
  <si>
    <t>区县：延庆区；分析周期：2023年09月 至 2024年09月；物业类型：普通住宅</t>
  </si>
  <si>
    <t>项目名称</t>
  </si>
  <si>
    <t>区县</t>
  </si>
  <si>
    <t>板块</t>
  </si>
  <si>
    <t>成交套数</t>
  </si>
  <si>
    <t>成交面积(㎡)</t>
  </si>
  <si>
    <t>成交价格</t>
  </si>
  <si>
    <t>成交金额(万元)</t>
  </si>
  <si>
    <t>批准上市套数</t>
  </si>
  <si>
    <t>批准上市面积(㎡)</t>
  </si>
  <si>
    <t>可售套数</t>
  </si>
  <si>
    <t>可售面积(㎡)</t>
  </si>
  <si>
    <t>世园村</t>
  </si>
  <si>
    <t>延庆区</t>
  </si>
  <si>
    <t>延庆镇</t>
  </si>
  <si>
    <t>住总山澜樾府</t>
  </si>
  <si>
    <t>上源府</t>
  </si>
  <si>
    <t>北京住总山澜阙府</t>
  </si>
  <si>
    <t>樾熙府</t>
  </si>
  <si>
    <t>碧桂园·世奥龙鼎</t>
  </si>
  <si>
    <t>大榆树镇</t>
  </si>
  <si>
    <t>清凉盛景</t>
  </si>
  <si>
    <t>八达岭</t>
  </si>
  <si>
    <t>区县：延庆区；分析周期：2023年09月 至 2024年09月；物业类型：储物间,仓储</t>
  </si>
  <si>
    <t>中交富力雅郡</t>
  </si>
  <si>
    <t>城建万科城</t>
  </si>
  <si>
    <t>沈家营镇</t>
  </si>
  <si>
    <t>区县：延庆区；分析周期：2023年09月 至 2024年09月；物业类型：车库/车位</t>
  </si>
  <si>
    <t>单个面积</t>
    <phoneticPr fontId="134" type="noConversion"/>
  </si>
  <si>
    <t>单个售价</t>
    <phoneticPr fontId="134" type="noConversion"/>
  </si>
  <si>
    <t>京北幸福园</t>
  </si>
  <si>
    <t>文成商务中心</t>
  </si>
  <si>
    <t>区县：延庆区；分析周期：2024年01月 至 2024年09月；物业类型：普通住宅</t>
  </si>
  <si>
    <t>区县：延庆区；分析周期：2024年01月 至 2024年09月；物业类型：储物间,仓储</t>
  </si>
  <si>
    <t>区县：延庆区；分析周期：2024年01月 至 2024年09月；物业类型：车库/车位</t>
  </si>
  <si>
    <t>单个面积</t>
    <phoneticPr fontId="134" type="noConversion"/>
  </si>
  <si>
    <t>单个售价</t>
    <phoneticPr fontId="134" type="noConversion"/>
  </si>
  <si>
    <t xml:space="preserve"> 京土储挂(怀)[2024]011号 </t>
    <phoneticPr fontId="134" type="noConversion"/>
  </si>
  <si>
    <t>五通一平，九级，本次出让宗地居住自持15%、公建全部自持，自持年限可办理相20年。项目商品住宅建筑规模40%现房销售；达地价上线后转为竞现房销售面积（上限100%）</t>
    <phoneticPr fontId="134" type="noConversion"/>
  </si>
  <si>
    <t xml:space="preserve"> 住总国祥誉，五通，九级</t>
    <phoneticPr fontId="134" type="noConversion"/>
  </si>
  <si>
    <t xml:space="preserve"> 住总山澜樾府 ，九级，五通</t>
    <phoneticPr fontId="134" type="noConversion"/>
  </si>
  <si>
    <t xml:space="preserve"> 京土储挂(平)[2023]030号 </t>
    <phoneticPr fontId="134" type="noConversion"/>
  </si>
  <si>
    <t xml:space="preserve"> 京土储挂(密)[2022]058号 </t>
    <phoneticPr fontId="134" type="noConversion"/>
  </si>
  <si>
    <t>北京市平谷区府前街旧城棚户区改造项目(二期)B、D地块原PG-0005-0065、PG-0005-0074(B地块)、原PG00-0005-0035-01西部(D地块)、原PG00-0005-0035</t>
    <phoneticPr fontId="134" type="noConversion"/>
  </si>
  <si>
    <t xml:space="preserve"> 北京城建·京能·樾园，四通， 八级 </t>
    <phoneticPr fontId="134" type="noConversion"/>
  </si>
  <si>
    <t>https://j.map.baidu.com/cb/FRCi</t>
    <phoneticPr fontId="134" type="noConversion"/>
  </si>
  <si>
    <t>正常</t>
  </si>
  <si>
    <t>住宅</t>
    <phoneticPr fontId="3" type="noConversion"/>
  </si>
  <si>
    <t>综合</t>
    <phoneticPr fontId="3" type="noConversion"/>
  </si>
  <si>
    <t>2021-2</t>
    <phoneticPr fontId="30" type="noConversion"/>
  </si>
  <si>
    <t>八级</t>
    <phoneticPr fontId="3" type="noConversion"/>
  </si>
  <si>
    <t>九级</t>
    <phoneticPr fontId="3" type="noConversion"/>
  </si>
  <si>
    <t>十级</t>
    <phoneticPr fontId="3" type="noConversion"/>
  </si>
  <si>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</si>
  <si>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</si>
  <si>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</si>
  <si>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</si>
  <si>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</si>
  <si>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</si>
  <si>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</si>
  <si>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限价</t>
    <phoneticPr fontId="30" type="noConversion"/>
  </si>
  <si>
    <t>商业占比</t>
    <phoneticPr fontId="30" type="noConversion"/>
  </si>
  <si>
    <t>四通</t>
  </si>
  <si>
    <t>五通</t>
  </si>
  <si>
    <t>较规则</t>
  </si>
  <si>
    <t>较好</t>
  </si>
  <si>
    <t>去年案例B</t>
  </si>
  <si>
    <t>一般</t>
  </si>
  <si>
    <t>七通</t>
  </si>
  <si>
    <t>六通</t>
  </si>
  <si>
    <t xml:space="preserve"> 紫贵丽景花园，四通，九级  </t>
    <phoneticPr fontId="134" type="noConversion"/>
  </si>
  <si>
    <r>
      <t xml:space="preserve"> </t>
    </r>
    <r>
      <rPr>
        <b/>
        <sz val="16"/>
        <rFont val="宋体"/>
        <family val="3"/>
        <charset val="134"/>
      </rPr>
      <t>紫贵丽景花园</t>
    </r>
  </si>
  <si>
    <t xml:space="preserve"> 国祥星宸，六通，十级  </t>
    <phoneticPr fontId="134" type="noConversion"/>
  </si>
  <si>
    <r>
      <t xml:space="preserve"> </t>
    </r>
    <r>
      <rPr>
        <b/>
        <sz val="16"/>
        <rFont val="宋体"/>
        <family val="3"/>
        <charset val="134"/>
      </rPr>
      <t>国祥星宸</t>
    </r>
  </si>
  <si>
    <r>
      <rPr>
        <b/>
        <sz val="16"/>
        <rFont val="宋体"/>
        <family val="3"/>
        <charset val="134"/>
      </rPr>
      <t>去年案例</t>
    </r>
    <r>
      <rPr>
        <b/>
        <sz val="16"/>
        <rFont val="Arial"/>
        <family val="2"/>
      </rPr>
      <t>A</t>
    </r>
    <phoneticPr fontId="30" type="noConversion"/>
  </si>
  <si>
    <t>仓储</t>
    <phoneticPr fontId="3" type="noConversion"/>
  </si>
  <si>
    <t>车位</t>
    <phoneticPr fontId="3" type="noConversion"/>
  </si>
  <si>
    <t>去年</t>
    <phoneticPr fontId="18" type="noConversion"/>
  </si>
  <si>
    <t>成本法</t>
  </si>
  <si>
    <t>假设开发法</t>
  </si>
  <si>
    <t>未包含在土地购买价格中</t>
  </si>
  <si>
    <t>已包含在土地取得成本中</t>
  </si>
  <si>
    <t>全部缴纳</t>
  </si>
  <si>
    <t>成本比率</t>
  </si>
  <si>
    <t>总价</t>
  </si>
  <si>
    <t>规划建筑面积</t>
  </si>
  <si>
    <t>分摊土地面积</t>
  </si>
  <si>
    <t xml:space="preserve"> 京土储挂(平)[2022]037号 </t>
    <phoneticPr fontId="134" type="noConversion"/>
  </si>
  <si>
    <t xml:space="preserve"> 国祥源境 ，五通，九级 </t>
    <phoneticPr fontId="134" type="noConversion"/>
  </si>
  <si>
    <r>
      <t xml:space="preserve"> </t>
    </r>
    <r>
      <rPr>
        <b/>
        <sz val="16"/>
        <rFont val="宋体"/>
        <family val="3"/>
        <charset val="134"/>
      </rPr>
      <t>国祥源境</t>
    </r>
    <phoneticPr fontId="30" type="noConversion"/>
  </si>
  <si>
    <t>世园村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</si>
</sst>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4"/>
      <name val="宋体"/>
      <family val="3"/>
      <charset val="134"/>
      <scheme val="minor"/>
    </font>
    <font>
      <sz val="10"/>
      <name val="宋体"/>
      <family val="3"/>
      <charset val="134"/>
      <scheme val="minor"/>
    </font>
    <font>
      <b/>
      <sz val="10"/>
      <name val="宋体"/>
      <family val="3"/>
      <charset val="134"/>
      <scheme val="minor"/>
    </font>
    <font>
      <sz val="10"/>
      <name val="华文细黑"/>
      <family val="3"/>
      <charset val="134"/>
    </font>
    <font>
      <b/>
      <sz val="10"/>
      <name val="华文细黑"/>
      <family val="3"/>
      <charset val="134"/>
    </font>
    <font>
      <sz val="9"/>
      <color theme="1"/>
      <name val="仿宋"/>
      <family val="3"/>
      <charset val="134"/>
    </font>
    <font>
      <sz val="11"/>
      <name val="微软雅黑"/>
      <family val="2"/>
      <charset val="134"/>
    </font>
    <font>
      <sz val="10"/>
      <name val="微软雅黑"/>
      <family val="2"/>
      <charset val="134"/>
    </font>
    <font>
      <sz val="10"/>
      <color indexed="8"/>
      <name val="仿宋_GB2312"/>
      <charset val="134"/>
    </font>
    <font>
      <sz val="10"/>
      <color rgb="FFFF0000"/>
      <name val="宋体"/>
      <family val="3"/>
      <charset val="134"/>
      <scheme val="minor"/>
    </font>
    <font>
      <u/>
      <sz val="11"/>
      <color theme="10"/>
      <name val="宋体"/>
      <family val="3"/>
      <charset val="134"/>
      <scheme val="minor"/>
    </font>
    <font>
      <sz val="12"/>
      <color rgb="FFFF0000"/>
      <name val="宋体"/>
      <family val="2"/>
      <scheme val="minor"/>
    </font>
    <font>
      <sz val="11"/>
      <color rgb="FFFF0000"/>
      <name val="宋体"/>
      <family val="3"/>
      <charset val="134"/>
      <scheme val="minor"/>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8"/>
      </right>
      <top style="thin">
        <color indexed="64"/>
      </top>
      <bottom style="thin">
        <color indexed="8"/>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43" fontId="36" fillId="0" borderId="0" applyFont="0" applyFill="0" applyBorder="0" applyAlignment="0" applyProtection="0">
      <alignment vertical="center"/>
    </xf>
    <xf numFmtId="0" fontId="279"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59" fillId="0" borderId="0"/>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07" fillId="0" borderId="0" xfId="10" applyFont="1" applyAlignment="1">
      <alignment horizontal="left" vertical="center" wrapText="1"/>
    </xf>
    <xf numFmtId="14" fontId="107" fillId="0" borderId="0" xfId="10" applyNumberFormat="1" applyFont="1" applyAlignment="1">
      <alignment horizontal="left" vertical="center" wrapText="1"/>
    </xf>
    <xf numFmtId="0" fontId="269" fillId="0" borderId="0" xfId="10" applyFont="1" applyAlignment="1">
      <alignment horizontal="left" vertical="center" wrapText="1"/>
    </xf>
    <xf numFmtId="0" fontId="270" fillId="0" borderId="0" xfId="10" applyFont="1" applyAlignment="1">
      <alignment horizontal="left" vertical="center" wrapText="1"/>
    </xf>
    <xf numFmtId="0" fontId="107" fillId="0" borderId="1" xfId="10" applyFont="1" applyBorder="1" applyAlignment="1">
      <alignment horizontal="left" vertical="center" wrapText="1"/>
    </xf>
    <xf numFmtId="0" fontId="107" fillId="0" borderId="5" xfId="10" applyFont="1" applyBorder="1" applyAlignment="1">
      <alignment horizontal="left" vertical="center" wrapText="1"/>
    </xf>
    <xf numFmtId="0" fontId="271" fillId="0" borderId="0" xfId="10" applyFont="1" applyAlignment="1">
      <alignment horizontal="left" vertical="center" wrapText="1"/>
    </xf>
    <xf numFmtId="0" fontId="107" fillId="0" borderId="23" xfId="10" applyFont="1" applyBorder="1" applyAlignment="1">
      <alignment horizontal="left" vertical="center" wrapText="1"/>
    </xf>
    <xf numFmtId="0" fontId="107" fillId="0" borderId="24" xfId="10" applyFont="1" applyBorder="1" applyAlignment="1">
      <alignment horizontal="left" vertical="center" wrapText="1"/>
    </xf>
    <xf numFmtId="0" fontId="107" fillId="0" borderId="3" xfId="10" applyFont="1" applyBorder="1" applyAlignment="1">
      <alignment horizontal="left" vertical="center" wrapText="1"/>
    </xf>
    <xf numFmtId="0" fontId="270" fillId="0" borderId="1" xfId="10" applyFont="1" applyBorder="1" applyAlignment="1">
      <alignment horizontal="left" vertical="center" wrapText="1"/>
    </xf>
    <xf numFmtId="0" fontId="270" fillId="0" borderId="5" xfId="10" applyFont="1" applyBorder="1" applyAlignment="1">
      <alignment horizontal="left" vertical="center" wrapText="1"/>
    </xf>
    <xf numFmtId="0" fontId="270" fillId="0" borderId="23" xfId="10" applyFont="1" applyBorder="1" applyAlignment="1">
      <alignment horizontal="left" vertical="center" wrapText="1"/>
    </xf>
    <xf numFmtId="0" fontId="270" fillId="0" borderId="24" xfId="10" applyFont="1" applyBorder="1" applyAlignment="1">
      <alignment horizontal="left" vertical="center" wrapText="1"/>
    </xf>
    <xf numFmtId="0" fontId="270" fillId="0" borderId="3" xfId="10" applyFont="1" applyBorder="1" applyAlignment="1">
      <alignment horizontal="left" vertical="center" wrapText="1"/>
    </xf>
    <xf numFmtId="0" fontId="272" fillId="0" borderId="1" xfId="10" applyFont="1" applyBorder="1" applyAlignment="1">
      <alignment horizontal="justify" vertical="center"/>
    </xf>
    <xf numFmtId="0" fontId="53" fillId="0" borderId="1" xfId="10" applyFont="1" applyBorder="1" applyAlignment="1">
      <alignment horizontal="justify" vertical="center"/>
    </xf>
    <xf numFmtId="0" fontId="54" fillId="0" borderId="1" xfId="10" applyFont="1" applyBorder="1" applyAlignment="1">
      <alignment horizontal="justify" vertical="center"/>
    </xf>
    <xf numFmtId="0" fontId="112" fillId="0" borderId="1" xfId="10" applyFont="1" applyBorder="1" applyAlignment="1">
      <alignment horizontal="left" vertical="center" wrapText="1"/>
    </xf>
    <xf numFmtId="0" fontId="112" fillId="0" borderId="5" xfId="10" applyFont="1" applyBorder="1" applyAlignment="1">
      <alignment horizontal="left" vertical="center" wrapText="1"/>
    </xf>
    <xf numFmtId="0" fontId="112" fillId="0" borderId="23" xfId="10" applyFont="1" applyBorder="1" applyAlignment="1">
      <alignment horizontal="left" vertical="center" wrapText="1"/>
    </xf>
    <xf numFmtId="0" fontId="112" fillId="0" borderId="24" xfId="10" applyFont="1" applyBorder="1" applyAlignment="1">
      <alignment horizontal="left" vertical="center" wrapText="1"/>
    </xf>
    <xf numFmtId="0" fontId="112" fillId="0" borderId="3" xfId="10" applyFont="1" applyBorder="1" applyAlignment="1">
      <alignment horizontal="left" vertical="center" wrapText="1"/>
    </xf>
    <xf numFmtId="0" fontId="112" fillId="0" borderId="0" xfId="10" applyFont="1" applyAlignment="1">
      <alignment horizontal="left" vertical="center" wrapText="1"/>
    </xf>
    <xf numFmtId="0" fontId="107" fillId="0" borderId="25" xfId="10" applyFont="1" applyBorder="1" applyAlignment="1">
      <alignment horizontal="left" vertical="center" wrapText="1"/>
    </xf>
    <xf numFmtId="0" fontId="107" fillId="0" borderId="32" xfId="10" applyFont="1" applyBorder="1" applyAlignment="1">
      <alignment horizontal="left" vertical="center" wrapText="1"/>
    </xf>
    <xf numFmtId="0" fontId="107" fillId="0" borderId="33" xfId="10" applyFont="1" applyBorder="1" applyAlignment="1">
      <alignment horizontal="left" vertical="center" wrapText="1"/>
    </xf>
    <xf numFmtId="0" fontId="107" fillId="0" borderId="49" xfId="10" applyFont="1" applyBorder="1" applyAlignment="1">
      <alignment horizontal="left" vertical="center" wrapText="1"/>
    </xf>
    <xf numFmtId="0" fontId="274" fillId="0" borderId="0" xfId="10" applyFont="1" applyAlignment="1">
      <alignment horizontal="justify" vertical="center" wrapText="1"/>
    </xf>
    <xf numFmtId="0" fontId="272" fillId="10" borderId="1" xfId="10" applyFont="1" applyFill="1" applyBorder="1" applyAlignment="1">
      <alignment horizontal="justify" vertical="center"/>
    </xf>
    <xf numFmtId="0" fontId="53" fillId="10" borderId="1" xfId="10" applyFont="1" applyFill="1" applyBorder="1" applyAlignment="1">
      <alignment horizontal="justify" vertical="center"/>
    </xf>
    <xf numFmtId="0" fontId="54" fillId="10" borderId="1" xfId="10" applyFont="1" applyFill="1" applyBorder="1" applyAlignment="1">
      <alignment horizontal="justify" vertical="center"/>
    </xf>
    <xf numFmtId="0" fontId="275" fillId="7" borderId="1" xfId="20" applyNumberFormat="1" applyFont="1" applyFill="1" applyBorder="1" applyAlignment="1">
      <alignment horizontal="center" vertical="center"/>
    </xf>
    <xf numFmtId="0" fontId="36" fillId="0" borderId="0" xfId="19">
      <alignment vertical="center"/>
    </xf>
    <xf numFmtId="0" fontId="94" fillId="0" borderId="0" xfId="19" applyFont="1">
      <alignment vertical="center"/>
    </xf>
    <xf numFmtId="0" fontId="94" fillId="0" borderId="0" xfId="19" applyFont="1" applyAlignment="1">
      <alignment horizontal="center" vertical="center"/>
    </xf>
    <xf numFmtId="0" fontId="135" fillId="0" borderId="1" xfId="0" applyFont="1" applyBorder="1" applyAlignment="1">
      <alignment horizontal="center" vertical="center"/>
    </xf>
    <xf numFmtId="0" fontId="185" fillId="0" borderId="1" xfId="0" applyFont="1" applyBorder="1" applyAlignment="1">
      <alignment horizontal="center" vertical="center"/>
    </xf>
    <xf numFmtId="179" fontId="185" fillId="0" borderId="1" xfId="0" applyNumberFormat="1" applyFont="1" applyBorder="1" applyAlignment="1">
      <alignment horizontal="center" vertical="center" wrapText="1"/>
    </xf>
    <xf numFmtId="0" fontId="135" fillId="0" borderId="176" xfId="0" applyFont="1" applyBorder="1" applyAlignment="1">
      <alignment horizontal="center" vertical="center"/>
    </xf>
    <xf numFmtId="0" fontId="135" fillId="0" borderId="0" xfId="0" applyFont="1" applyAlignment="1">
      <alignment horizontal="center" vertical="center"/>
    </xf>
    <xf numFmtId="0" fontId="0" fillId="0" borderId="1" xfId="0" applyBorder="1" applyAlignment="1">
      <alignment horizontal="center" vertical="center"/>
    </xf>
    <xf numFmtId="0" fontId="19" fillId="0" borderId="1" xfId="0" applyFont="1" applyBorder="1" applyAlignment="1">
      <alignment horizontal="center" vertical="center" shrinkToFit="1"/>
    </xf>
    <xf numFmtId="179" fontId="94" fillId="0" borderId="1" xfId="0" applyNumberFormat="1" applyFont="1" applyBorder="1" applyAlignment="1">
      <alignment horizontal="center" vertical="center" shrinkToFit="1"/>
    </xf>
    <xf numFmtId="0" fontId="128" fillId="0" borderId="1" xfId="0" applyFont="1" applyBorder="1" applyAlignment="1">
      <alignment horizontal="center" vertical="center" shrinkToFit="1"/>
    </xf>
    <xf numFmtId="0" fontId="94" fillId="0" borderId="1" xfId="0" applyFont="1" applyBorder="1" applyAlignment="1">
      <alignment horizontal="center" vertical="center"/>
    </xf>
    <xf numFmtId="0" fontId="0" fillId="0" borderId="176" xfId="0" applyBorder="1" applyAlignment="1">
      <alignment horizontal="center" vertical="center"/>
    </xf>
    <xf numFmtId="0" fontId="94" fillId="0" borderId="1" xfId="0" applyFont="1" applyBorder="1" applyAlignment="1">
      <alignment horizontal="center" vertical="center" shrinkToFit="1"/>
    </xf>
    <xf numFmtId="0" fontId="276" fillId="7" borderId="1" xfId="20" applyNumberFormat="1" applyFont="1" applyFill="1" applyBorder="1" applyAlignment="1">
      <alignment horizontal="center" vertical="center"/>
    </xf>
    <xf numFmtId="0" fontId="77" fillId="0" borderId="1" xfId="0" applyFont="1" applyBorder="1" applyAlignment="1">
      <alignment horizontal="center" vertical="center" shrinkToFit="1"/>
    </xf>
    <xf numFmtId="49" fontId="19" fillId="0" borderId="1" xfId="0" applyNumberFormat="1" applyFont="1" applyBorder="1" applyAlignment="1">
      <alignment horizontal="center" vertical="center" shrinkToFit="1"/>
    </xf>
    <xf numFmtId="179" fontId="19" fillId="0" borderId="1" xfId="0" applyNumberFormat="1" applyFont="1" applyBorder="1" applyAlignment="1">
      <alignment horizontal="center" vertical="center" shrinkToFit="1"/>
    </xf>
    <xf numFmtId="0" fontId="0" fillId="7" borderId="1" xfId="0" applyFill="1" applyBorder="1" applyAlignment="1">
      <alignment horizontal="center" vertical="center"/>
    </xf>
    <xf numFmtId="0" fontId="19" fillId="7" borderId="1" xfId="0" applyFont="1" applyFill="1" applyBorder="1" applyAlignment="1">
      <alignment horizontal="center" vertical="center" shrinkToFit="1"/>
    </xf>
    <xf numFmtId="0" fontId="94" fillId="7" borderId="1" xfId="0" applyFont="1" applyFill="1" applyBorder="1" applyAlignment="1">
      <alignment horizontal="center" vertical="center" shrinkToFit="1"/>
    </xf>
    <xf numFmtId="0" fontId="128" fillId="7" borderId="1" xfId="0" applyFont="1" applyFill="1" applyBorder="1" applyAlignment="1">
      <alignment horizontal="center" vertical="center" shrinkToFit="1"/>
    </xf>
    <xf numFmtId="0" fontId="94" fillId="7" borderId="1" xfId="0" applyFont="1" applyFill="1" applyBorder="1" applyAlignment="1">
      <alignment horizontal="center" vertical="center"/>
    </xf>
    <xf numFmtId="0" fontId="0" fillId="7" borderId="0" xfId="0" applyFill="1">
      <alignment vertical="center"/>
    </xf>
    <xf numFmtId="0" fontId="275" fillId="7" borderId="2" xfId="20" applyNumberFormat="1" applyFont="1" applyFill="1" applyBorder="1" applyAlignment="1">
      <alignment horizontal="center" vertical="center"/>
    </xf>
    <xf numFmtId="0" fontId="94" fillId="0" borderId="2" xfId="0" applyFont="1" applyBorder="1" applyAlignment="1">
      <alignment horizontal="center" vertical="center" shrinkToFit="1"/>
    </xf>
    <xf numFmtId="0" fontId="128" fillId="0" borderId="2" xfId="0" applyFont="1" applyBorder="1" applyAlignment="1">
      <alignment horizontal="center" vertical="center" shrinkToFit="1"/>
    </xf>
    <xf numFmtId="0" fontId="94" fillId="0" borderId="2" xfId="0" applyFont="1" applyBorder="1" applyAlignment="1">
      <alignment horizontal="center" vertical="center"/>
    </xf>
    <xf numFmtId="0" fontId="185" fillId="0" borderId="2" xfId="0" applyFont="1" applyBorder="1" applyAlignment="1">
      <alignment horizontal="center" vertical="center"/>
    </xf>
    <xf numFmtId="0" fontId="135" fillId="0" borderId="2" xfId="0" applyFont="1" applyBorder="1" applyAlignment="1">
      <alignment horizontal="center" vertical="center"/>
    </xf>
    <xf numFmtId="0" fontId="276" fillId="0" borderId="1" xfId="20" applyNumberFormat="1" applyFont="1" applyFill="1" applyBorder="1" applyAlignment="1">
      <alignment horizontal="center" vertical="center"/>
    </xf>
    <xf numFmtId="0" fontId="0" fillId="0" borderId="177" xfId="0" applyBorder="1" applyAlignment="1">
      <alignment horizontal="center" vertical="center"/>
    </xf>
    <xf numFmtId="0" fontId="0" fillId="0" borderId="2" xfId="0" applyBorder="1" applyAlignment="1">
      <alignment horizontal="center" vertical="center"/>
    </xf>
    <xf numFmtId="0" fontId="0" fillId="0" borderId="2" xfId="0" applyBorder="1">
      <alignment vertical="center"/>
    </xf>
    <xf numFmtId="179" fontId="0" fillId="0" borderId="2" xfId="0" applyNumberFormat="1" applyBorder="1">
      <alignment vertical="center"/>
    </xf>
    <xf numFmtId="0" fontId="0" fillId="0" borderId="0" xfId="0" applyAlignment="1">
      <alignment horizontal="center" vertical="center"/>
    </xf>
    <xf numFmtId="0" fontId="94" fillId="0" borderId="0" xfId="0" applyFont="1">
      <alignment vertical="center"/>
    </xf>
    <xf numFmtId="179" fontId="94" fillId="0" borderId="0" xfId="0" applyNumberFormat="1" applyFont="1">
      <alignment vertical="center"/>
    </xf>
    <xf numFmtId="0" fontId="94" fillId="0" borderId="0" xfId="0" applyFont="1" applyAlignment="1">
      <alignment horizontal="center" vertical="center"/>
    </xf>
    <xf numFmtId="0" fontId="185" fillId="0" borderId="0" xfId="0" applyFont="1" applyAlignment="1">
      <alignment horizontal="center" vertical="center"/>
    </xf>
    <xf numFmtId="0" fontId="95" fillId="0" borderId="2" xfId="0" applyFont="1" applyBorder="1" applyAlignment="1">
      <alignment horizontal="center" vertical="center"/>
    </xf>
    <xf numFmtId="183" fontId="277" fillId="0" borderId="1" xfId="0" applyNumberFormat="1" applyFont="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xf numFmtId="14" fontId="47" fillId="7" borderId="0" xfId="0" applyNumberFormat="1" applyFont="1" applyFill="1" applyProtection="1">
      <alignment vertical="center"/>
      <protection locked="0"/>
    </xf>
    <xf numFmtId="0" fontId="279" fillId="0" borderId="0" xfId="21" applyAlignment="1">
      <alignment horizontal="left" vertical="center"/>
    </xf>
    <xf numFmtId="0" fontId="95" fillId="0" borderId="0" xfId="10" applyAlignment="1">
      <alignment horizontal="left"/>
    </xf>
    <xf numFmtId="0" fontId="95" fillId="5" borderId="0" xfId="10" applyFill="1" applyAlignment="1">
      <alignment horizontal="left"/>
    </xf>
    <xf numFmtId="0" fontId="280" fillId="0" borderId="0" xfId="10" applyFont="1" applyAlignment="1">
      <alignment horizontal="left"/>
    </xf>
    <xf numFmtId="0" fontId="95" fillId="0" borderId="0" xfId="10" applyAlignment="1">
      <alignment horizontal="left" vertical="center"/>
    </xf>
    <xf numFmtId="0" fontId="95" fillId="5" borderId="0" xfId="10" applyFill="1" applyAlignment="1">
      <alignment horizontal="left" vertical="center"/>
    </xf>
    <xf numFmtId="0" fontId="95" fillId="0" borderId="0" xfId="10" applyNumberFormat="1" applyAlignment="1">
      <alignment horizontal="left" vertical="center"/>
    </xf>
    <xf numFmtId="0" fontId="281" fillId="0" borderId="0" xfId="10" applyNumberFormat="1" applyFont="1" applyAlignment="1">
      <alignment horizontal="left" vertical="center"/>
    </xf>
    <xf numFmtId="0" fontId="95" fillId="0" borderId="0" xfId="10" applyNumberFormat="1" applyFont="1" applyAlignment="1">
      <alignment horizontal="left" vertical="center"/>
    </xf>
    <xf numFmtId="0" fontId="107" fillId="0" borderId="0" xfId="10" applyFont="1" applyAlignment="1">
      <alignment horizontal="left" vertical="center"/>
    </xf>
    <xf numFmtId="0" fontId="107" fillId="0" borderId="0" xfId="10" applyFont="1" applyFill="1" applyAlignment="1">
      <alignment horizontal="left" vertical="center"/>
    </xf>
    <xf numFmtId="14" fontId="107" fillId="0" borderId="0" xfId="10" applyNumberFormat="1" applyFont="1" applyFill="1" applyAlignment="1">
      <alignment horizontal="left" vertical="center"/>
    </xf>
    <xf numFmtId="14" fontId="107" fillId="0" borderId="0" xfId="10" applyNumberFormat="1" applyFont="1" applyAlignment="1">
      <alignment horizontal="left" vertical="center"/>
    </xf>
    <xf numFmtId="0" fontId="278" fillId="0" borderId="0" xfId="10" applyFont="1" applyAlignment="1">
      <alignment horizontal="left" vertical="center"/>
    </xf>
    <xf numFmtId="14" fontId="278" fillId="0" borderId="0" xfId="10" applyNumberFormat="1" applyFont="1" applyAlignment="1">
      <alignment horizontal="left" vertical="center"/>
    </xf>
    <xf numFmtId="0" fontId="107" fillId="9" borderId="0" xfId="10" applyFont="1" applyFill="1" applyAlignment="1">
      <alignment horizontal="left" vertical="center"/>
    </xf>
    <xf numFmtId="14" fontId="107" fillId="9" borderId="0" xfId="10" applyNumberFormat="1" applyFont="1" applyFill="1" applyAlignment="1">
      <alignment horizontal="left" vertical="center"/>
    </xf>
    <xf numFmtId="0" fontId="107" fillId="5" borderId="0" xfId="10" applyFont="1" applyFill="1" applyAlignment="1">
      <alignment horizontal="left" vertical="center"/>
    </xf>
    <xf numFmtId="14" fontId="107" fillId="5" borderId="0" xfId="10" applyNumberFormat="1" applyFont="1" applyFill="1" applyAlignment="1">
      <alignment horizontal="left" vertical="center"/>
    </xf>
    <xf numFmtId="0" fontId="94" fillId="0" borderId="9" xfId="0" applyFont="1" applyBorder="1" applyAlignment="1" applyProtection="1">
      <alignment horizontal="center" vertical="center" wrapText="1"/>
      <protection locked="0"/>
    </xf>
    <xf numFmtId="9" fontId="44" fillId="0" borderId="2" xfId="0" applyNumberFormat="1"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8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9" fontId="51" fillId="0" borderId="1" xfId="0" applyNumberFormat="1" applyFont="1" applyBorder="1" applyAlignment="1" applyProtection="1">
      <alignment horizontal="center" vertical="center" wrapText="1"/>
      <protection locked="0"/>
    </xf>
    <xf numFmtId="0" fontId="146" fillId="0" borderId="0" xfId="0" applyFont="1" applyAlignment="1" applyProtection="1">
      <protection locked="0"/>
    </xf>
    <xf numFmtId="0" fontId="47" fillId="0" borderId="0" xfId="0" applyFont="1" applyAlignment="1" applyProtection="1">
      <protection locked="0"/>
    </xf>
    <xf numFmtId="0" fontId="174" fillId="7" borderId="0" xfId="0" applyFont="1" applyFill="1" applyProtection="1">
      <alignment vertical="center"/>
      <protection locked="0"/>
    </xf>
    <xf numFmtId="9" fontId="107" fillId="0" borderId="0" xfId="10" applyNumberFormat="1" applyFont="1" applyAlignment="1">
      <alignment horizontal="left" vertical="center" wrapText="1"/>
    </xf>
    <xf numFmtId="9" fontId="107" fillId="0" borderId="0" xfId="17" applyFont="1" applyAlignment="1">
      <alignment horizontal="left" vertical="center" wrapText="1"/>
    </xf>
    <xf numFmtId="0" fontId="270" fillId="23" borderId="1" xfId="10" applyFont="1" applyFill="1" applyBorder="1" applyAlignment="1">
      <alignment horizontal="left" vertical="center" wrapText="1"/>
    </xf>
    <xf numFmtId="0" fontId="107" fillId="23" borderId="1" xfId="1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3" fillId="0" borderId="5" xfId="10" applyFont="1" applyBorder="1" applyAlignment="1">
      <alignment horizontal="center" vertical="center"/>
    </xf>
    <xf numFmtId="0" fontId="273" fillId="0" borderId="3" xfId="10" applyFont="1" applyBorder="1" applyAlignment="1">
      <alignment horizontal="center" vertical="center"/>
    </xf>
    <xf numFmtId="0" fontId="107" fillId="0" borderId="1" xfId="10" applyFont="1" applyBorder="1" applyAlignment="1">
      <alignment horizontal="center" vertical="center"/>
    </xf>
    <xf numFmtId="0" fontId="107" fillId="0" borderId="13" xfId="10" applyFont="1" applyBorder="1" applyAlignment="1">
      <alignment horizontal="center" vertical="center"/>
    </xf>
    <xf numFmtId="0" fontId="107" fillId="0" borderId="6" xfId="10" applyFont="1" applyBorder="1" applyAlignment="1">
      <alignment horizontal="center" vertical="center" wrapText="1"/>
    </xf>
    <xf numFmtId="0" fontId="107" fillId="0" borderId="9" xfId="10" applyFont="1" applyBorder="1" applyAlignment="1">
      <alignment horizontal="center" vertical="center" wrapText="1"/>
    </xf>
    <xf numFmtId="0" fontId="107" fillId="0" borderId="28" xfId="10" applyFont="1" applyBorder="1" applyAlignment="1">
      <alignment horizontal="center" vertical="center" wrapText="1"/>
    </xf>
    <xf numFmtId="0" fontId="107" fillId="0" borderId="10" xfId="10" applyFont="1" applyBorder="1" applyAlignment="1">
      <alignment horizontal="center" vertical="center" wrapText="1"/>
    </xf>
    <xf numFmtId="0" fontId="107" fillId="0" borderId="3" xfId="10" applyFont="1" applyBorder="1" applyAlignment="1">
      <alignment horizontal="center" vertical="center" wrapText="1"/>
    </xf>
    <xf numFmtId="0" fontId="107" fillId="0" borderId="1" xfId="10" applyFont="1" applyBorder="1" applyAlignment="1">
      <alignment horizontal="center" vertical="center" wrapText="1"/>
    </xf>
    <xf numFmtId="0" fontId="272" fillId="0" borderId="1" xfId="10" applyFont="1" applyBorder="1" applyAlignment="1">
      <alignment horizontal="center" vertical="center"/>
    </xf>
    <xf numFmtId="0" fontId="272" fillId="10" borderId="1" xfId="10" applyFont="1" applyFill="1" applyBorder="1" applyAlignment="1">
      <alignment horizontal="center" vertical="center"/>
    </xf>
    <xf numFmtId="0" fontId="273" fillId="10" borderId="5" xfId="10" applyFont="1" applyFill="1" applyBorder="1" applyAlignment="1">
      <alignment horizontal="center" vertical="center"/>
    </xf>
    <xf numFmtId="0" fontId="273" fillId="10" borderId="3" xfId="10" applyFont="1" applyFill="1" applyBorder="1" applyAlignment="1">
      <alignment horizontal="center" vertical="center"/>
    </xf>
    <xf numFmtId="0" fontId="274" fillId="0" borderId="0" xfId="10" applyFont="1" applyAlignment="1">
      <alignment horizontal="justify" vertical="center" wrapText="1"/>
    </xf>
    <xf numFmtId="0" fontId="107" fillId="10" borderId="1" xfId="10" applyFont="1" applyFill="1" applyBorder="1" applyAlignment="1">
      <alignment horizontal="center" vertical="center"/>
    </xf>
    <xf numFmtId="0" fontId="107" fillId="10" borderId="13" xfId="10" applyFont="1" applyFill="1" applyBorder="1" applyAlignment="1">
      <alignment horizontal="center" vertical="center"/>
    </xf>
    <xf numFmtId="0" fontId="36" fillId="0" borderId="0" xfId="19"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10" applyAlignment="1">
      <alignment horizontal="left" vertical="center"/>
    </xf>
    <xf numFmtId="0" fontId="95" fillId="0" borderId="0" xfId="10" applyNumberFormat="1" applyAlignment="1">
      <alignment horizontal="left" vertical="center"/>
    </xf>
  </cellXfs>
  <cellStyles count="26">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4" xfId="23"/>
    <cellStyle name="常规 7" xfId="7"/>
    <cellStyle name="常规 8" xfId="11"/>
    <cellStyle name="常规 8 2" xfId="24"/>
    <cellStyle name="常规 9" xfId="12"/>
    <cellStyle name="常规 9 2" xfId="25"/>
    <cellStyle name="超链接" xfId="21" builtinId="8"/>
    <cellStyle name="千位分隔 2" xfId="20"/>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1.png"/><Relationship Id="rId39" Type="http://schemas.openxmlformats.org/officeDocument/2006/relationships/image" Target="../media/image54.png"/><Relationship Id="rId3" Type="http://schemas.openxmlformats.org/officeDocument/2006/relationships/image" Target="../media/image18.png"/><Relationship Id="rId21" Type="http://schemas.openxmlformats.org/officeDocument/2006/relationships/image" Target="../media/image36.png"/><Relationship Id="rId34" Type="http://schemas.openxmlformats.org/officeDocument/2006/relationships/image" Target="../media/image49.png"/><Relationship Id="rId42" Type="http://schemas.openxmlformats.org/officeDocument/2006/relationships/image" Target="../media/image57.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png"/><Relationship Id="rId33" Type="http://schemas.openxmlformats.org/officeDocument/2006/relationships/image" Target="../media/image48.png"/><Relationship Id="rId38" Type="http://schemas.openxmlformats.org/officeDocument/2006/relationships/image" Target="../media/image53.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29" Type="http://schemas.openxmlformats.org/officeDocument/2006/relationships/image" Target="../media/image44.png"/><Relationship Id="rId41" Type="http://schemas.openxmlformats.org/officeDocument/2006/relationships/image" Target="../media/image56.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png"/><Relationship Id="rId32" Type="http://schemas.openxmlformats.org/officeDocument/2006/relationships/image" Target="../media/image47.png"/><Relationship Id="rId37" Type="http://schemas.openxmlformats.org/officeDocument/2006/relationships/image" Target="../media/image52.png"/><Relationship Id="rId40" Type="http://schemas.openxmlformats.org/officeDocument/2006/relationships/image" Target="../media/image55.pn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28" Type="http://schemas.openxmlformats.org/officeDocument/2006/relationships/image" Target="../media/image43.png"/><Relationship Id="rId36" Type="http://schemas.openxmlformats.org/officeDocument/2006/relationships/image" Target="../media/image51.png"/><Relationship Id="rId10" Type="http://schemas.openxmlformats.org/officeDocument/2006/relationships/image" Target="../media/image25.png"/><Relationship Id="rId19" Type="http://schemas.openxmlformats.org/officeDocument/2006/relationships/image" Target="../media/image34.png"/><Relationship Id="rId31" Type="http://schemas.openxmlformats.org/officeDocument/2006/relationships/image" Target="../media/image46.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png"/><Relationship Id="rId27" Type="http://schemas.openxmlformats.org/officeDocument/2006/relationships/image" Target="../media/image42.png"/><Relationship Id="rId30" Type="http://schemas.openxmlformats.org/officeDocument/2006/relationships/image" Target="../media/image45.png"/><Relationship Id="rId35" Type="http://schemas.openxmlformats.org/officeDocument/2006/relationships/image" Target="../media/image50.png"/><Relationship Id="rId43" Type="http://schemas.openxmlformats.org/officeDocument/2006/relationships/image" Target="../media/image58.png"/></Relationships>
</file>

<file path=xl/drawings/_rels/drawing5.xml.rels><?xml version="1.0" encoding="UTF-8" standalone="yes"?>
<Relationships xmlns="http://schemas.openxmlformats.org/package/2006/relationships"><Relationship Id="rId8" Type="http://schemas.openxmlformats.org/officeDocument/2006/relationships/image" Target="../media/image66.png"/><Relationship Id="rId13" Type="http://schemas.openxmlformats.org/officeDocument/2006/relationships/image" Target="../media/image71.png"/><Relationship Id="rId18" Type="http://schemas.openxmlformats.org/officeDocument/2006/relationships/image" Target="../media/image76.png"/><Relationship Id="rId3" Type="http://schemas.openxmlformats.org/officeDocument/2006/relationships/image" Target="../media/image61.png"/><Relationship Id="rId21" Type="http://schemas.openxmlformats.org/officeDocument/2006/relationships/image" Target="../media/image79.png"/><Relationship Id="rId7" Type="http://schemas.openxmlformats.org/officeDocument/2006/relationships/image" Target="../media/image65.png"/><Relationship Id="rId12" Type="http://schemas.openxmlformats.org/officeDocument/2006/relationships/image" Target="../media/image70.png"/><Relationship Id="rId17" Type="http://schemas.openxmlformats.org/officeDocument/2006/relationships/image" Target="../media/image75.png"/><Relationship Id="rId2" Type="http://schemas.openxmlformats.org/officeDocument/2006/relationships/image" Target="../media/image60.png"/><Relationship Id="rId16" Type="http://schemas.openxmlformats.org/officeDocument/2006/relationships/image" Target="../media/image74.png"/><Relationship Id="rId20" Type="http://schemas.openxmlformats.org/officeDocument/2006/relationships/image" Target="../media/image78.png"/><Relationship Id="rId1" Type="http://schemas.openxmlformats.org/officeDocument/2006/relationships/image" Target="../media/image59.png"/><Relationship Id="rId6" Type="http://schemas.openxmlformats.org/officeDocument/2006/relationships/image" Target="../media/image64.png"/><Relationship Id="rId11" Type="http://schemas.openxmlformats.org/officeDocument/2006/relationships/image" Target="../media/image69.png"/><Relationship Id="rId5" Type="http://schemas.openxmlformats.org/officeDocument/2006/relationships/image" Target="../media/image63.png"/><Relationship Id="rId15" Type="http://schemas.openxmlformats.org/officeDocument/2006/relationships/image" Target="../media/image73.png"/><Relationship Id="rId10" Type="http://schemas.openxmlformats.org/officeDocument/2006/relationships/image" Target="../media/image68.png"/><Relationship Id="rId19" Type="http://schemas.openxmlformats.org/officeDocument/2006/relationships/image" Target="../media/image77.png"/><Relationship Id="rId4" Type="http://schemas.openxmlformats.org/officeDocument/2006/relationships/image" Target="../media/image62.png"/><Relationship Id="rId9" Type="http://schemas.openxmlformats.org/officeDocument/2006/relationships/image" Target="../media/image67.png"/><Relationship Id="rId14" Type="http://schemas.openxmlformats.org/officeDocument/2006/relationships/image" Target="../media/image72.png"/><Relationship Id="rId22" Type="http://schemas.openxmlformats.org/officeDocument/2006/relationships/image" Target="../media/image80.png"/></Relationships>
</file>

<file path=xl/drawings/_rels/drawing6.xml.rels><?xml version="1.0" encoding="UTF-8" standalone="yes"?>
<Relationships xmlns="http://schemas.openxmlformats.org/package/2006/relationships"><Relationship Id="rId8" Type="http://schemas.openxmlformats.org/officeDocument/2006/relationships/image" Target="../media/image88.png"/><Relationship Id="rId13" Type="http://schemas.openxmlformats.org/officeDocument/2006/relationships/image" Target="../media/image93.png"/><Relationship Id="rId3" Type="http://schemas.openxmlformats.org/officeDocument/2006/relationships/image" Target="../media/image83.png"/><Relationship Id="rId7" Type="http://schemas.openxmlformats.org/officeDocument/2006/relationships/image" Target="../media/image87.png"/><Relationship Id="rId12" Type="http://schemas.openxmlformats.org/officeDocument/2006/relationships/image" Target="../media/image92.png"/><Relationship Id="rId17" Type="http://schemas.openxmlformats.org/officeDocument/2006/relationships/image" Target="../media/image97.png"/><Relationship Id="rId2" Type="http://schemas.openxmlformats.org/officeDocument/2006/relationships/image" Target="../media/image82.png"/><Relationship Id="rId16" Type="http://schemas.openxmlformats.org/officeDocument/2006/relationships/image" Target="../media/image96.png"/><Relationship Id="rId1" Type="http://schemas.openxmlformats.org/officeDocument/2006/relationships/image" Target="../media/image81.png"/><Relationship Id="rId6" Type="http://schemas.openxmlformats.org/officeDocument/2006/relationships/image" Target="../media/image86.png"/><Relationship Id="rId11" Type="http://schemas.openxmlformats.org/officeDocument/2006/relationships/image" Target="../media/image91.png"/><Relationship Id="rId5" Type="http://schemas.openxmlformats.org/officeDocument/2006/relationships/image" Target="../media/image85.png"/><Relationship Id="rId15" Type="http://schemas.openxmlformats.org/officeDocument/2006/relationships/image" Target="../media/image95.png"/><Relationship Id="rId10" Type="http://schemas.openxmlformats.org/officeDocument/2006/relationships/image" Target="../media/image90.png"/><Relationship Id="rId4" Type="http://schemas.openxmlformats.org/officeDocument/2006/relationships/image" Target="../media/image84.png"/><Relationship Id="rId9" Type="http://schemas.openxmlformats.org/officeDocument/2006/relationships/image" Target="../media/image89.png"/><Relationship Id="rId14" Type="http://schemas.openxmlformats.org/officeDocument/2006/relationships/image" Target="../media/image9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695325</xdr:colOff>
      <xdr:row>59</xdr:row>
      <xdr:rowOff>95250</xdr:rowOff>
    </xdr:from>
    <xdr:to>
      <xdr:col>19</xdr:col>
      <xdr:colOff>627733</xdr:colOff>
      <xdr:row>89</xdr:row>
      <xdr:rowOff>28012</xdr:rowOff>
    </xdr:to>
    <xdr:pic>
      <xdr:nvPicPr>
        <xdr:cNvPr id="2" name="图片 1"/>
        <xdr:cNvPicPr>
          <a:picLocks noChangeAspect="1"/>
        </xdr:cNvPicPr>
      </xdr:nvPicPr>
      <xdr:blipFill>
        <a:blip xmlns:r="http://schemas.openxmlformats.org/officeDocument/2006/relationships" r:embed="rId1"/>
        <a:stretch>
          <a:fillRect/>
        </a:stretch>
      </xdr:blipFill>
      <xdr:spPr>
        <a:xfrm>
          <a:off x="8296275" y="12096750"/>
          <a:ext cx="7342858" cy="4504762"/>
        </a:xfrm>
        <a:prstGeom prst="rect">
          <a:avLst/>
        </a:prstGeom>
      </xdr:spPr>
    </xdr:pic>
    <xdr:clientData/>
  </xdr:twoCellAnchor>
  <xdr:twoCellAnchor editAs="oneCell">
    <xdr:from>
      <xdr:col>19</xdr:col>
      <xdr:colOff>657225</xdr:colOff>
      <xdr:row>56</xdr:row>
      <xdr:rowOff>76200</xdr:rowOff>
    </xdr:from>
    <xdr:to>
      <xdr:col>29</xdr:col>
      <xdr:colOff>84914</xdr:colOff>
      <xdr:row>84</xdr:row>
      <xdr:rowOff>142334</xdr:rowOff>
    </xdr:to>
    <xdr:pic>
      <xdr:nvPicPr>
        <xdr:cNvPr id="3" name="图片 2"/>
        <xdr:cNvPicPr>
          <a:picLocks noChangeAspect="1"/>
        </xdr:cNvPicPr>
      </xdr:nvPicPr>
      <xdr:blipFill>
        <a:blip xmlns:r="http://schemas.openxmlformats.org/officeDocument/2006/relationships" r:embed="rId2"/>
        <a:stretch>
          <a:fillRect/>
        </a:stretch>
      </xdr:blipFill>
      <xdr:spPr>
        <a:xfrm>
          <a:off x="15582900" y="11620500"/>
          <a:ext cx="6495239" cy="4333334"/>
        </a:xfrm>
        <a:prstGeom prst="rect">
          <a:avLst/>
        </a:prstGeom>
      </xdr:spPr>
    </xdr:pic>
    <xdr:clientData/>
  </xdr:twoCellAnchor>
  <xdr:twoCellAnchor editAs="oneCell">
    <xdr:from>
      <xdr:col>10</xdr:col>
      <xdr:colOff>419100</xdr:colOff>
      <xdr:row>85</xdr:row>
      <xdr:rowOff>57150</xdr:rowOff>
    </xdr:from>
    <xdr:to>
      <xdr:col>19</xdr:col>
      <xdr:colOff>265793</xdr:colOff>
      <xdr:row>118</xdr:row>
      <xdr:rowOff>151760</xdr:rowOff>
    </xdr:to>
    <xdr:pic>
      <xdr:nvPicPr>
        <xdr:cNvPr id="4" name="图片 3"/>
        <xdr:cNvPicPr>
          <a:picLocks noChangeAspect="1"/>
        </xdr:cNvPicPr>
      </xdr:nvPicPr>
      <xdr:blipFill>
        <a:blip xmlns:r="http://schemas.openxmlformats.org/officeDocument/2006/relationships" r:embed="rId3"/>
        <a:stretch>
          <a:fillRect/>
        </a:stretch>
      </xdr:blipFill>
      <xdr:spPr>
        <a:xfrm>
          <a:off x="8020050" y="16021050"/>
          <a:ext cx="7257143" cy="5123810"/>
        </a:xfrm>
        <a:prstGeom prst="rect">
          <a:avLst/>
        </a:prstGeom>
      </xdr:spPr>
    </xdr:pic>
    <xdr:clientData/>
  </xdr:twoCellAnchor>
  <xdr:twoCellAnchor editAs="oneCell">
    <xdr:from>
      <xdr:col>19</xdr:col>
      <xdr:colOff>609600</xdr:colOff>
      <xdr:row>85</xdr:row>
      <xdr:rowOff>133350</xdr:rowOff>
    </xdr:from>
    <xdr:to>
      <xdr:col>28</xdr:col>
      <xdr:colOff>465946</xdr:colOff>
      <xdr:row>102</xdr:row>
      <xdr:rowOff>9217</xdr:rowOff>
    </xdr:to>
    <xdr:pic>
      <xdr:nvPicPr>
        <xdr:cNvPr id="5" name="图片 4"/>
        <xdr:cNvPicPr>
          <a:picLocks noChangeAspect="1"/>
        </xdr:cNvPicPr>
      </xdr:nvPicPr>
      <xdr:blipFill>
        <a:blip xmlns:r="http://schemas.openxmlformats.org/officeDocument/2006/relationships" r:embed="rId4"/>
        <a:stretch>
          <a:fillRect/>
        </a:stretch>
      </xdr:blipFill>
      <xdr:spPr>
        <a:xfrm>
          <a:off x="15535275" y="16097250"/>
          <a:ext cx="6238096" cy="2466667"/>
        </a:xfrm>
        <a:prstGeom prst="rect">
          <a:avLst/>
        </a:prstGeom>
      </xdr:spPr>
    </xdr:pic>
    <xdr:clientData/>
  </xdr:twoCellAnchor>
  <xdr:twoCellAnchor editAs="oneCell">
    <xdr:from>
      <xdr:col>0</xdr:col>
      <xdr:colOff>9525</xdr:colOff>
      <xdr:row>58</xdr:row>
      <xdr:rowOff>19050</xdr:rowOff>
    </xdr:from>
    <xdr:to>
      <xdr:col>9</xdr:col>
      <xdr:colOff>380090</xdr:colOff>
      <xdr:row>80</xdr:row>
      <xdr:rowOff>9107</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 y="11868150"/>
          <a:ext cx="7285715" cy="3342857"/>
        </a:xfrm>
        <a:prstGeom prst="rect">
          <a:avLst/>
        </a:prstGeom>
      </xdr:spPr>
    </xdr:pic>
    <xdr:clientData/>
  </xdr:twoCellAnchor>
  <xdr:twoCellAnchor editAs="oneCell">
    <xdr:from>
      <xdr:col>0</xdr:col>
      <xdr:colOff>0</xdr:colOff>
      <xdr:row>104</xdr:row>
      <xdr:rowOff>133350</xdr:rowOff>
    </xdr:from>
    <xdr:to>
      <xdr:col>9</xdr:col>
      <xdr:colOff>361041</xdr:colOff>
      <xdr:row>141</xdr:row>
      <xdr:rowOff>142169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992850"/>
          <a:ext cx="7276191" cy="5647619"/>
        </a:xfrm>
        <a:prstGeom prst="rect">
          <a:avLst/>
        </a:prstGeom>
      </xdr:spPr>
    </xdr:pic>
    <xdr:clientData/>
  </xdr:twoCellAnchor>
  <xdr:twoCellAnchor editAs="oneCell">
    <xdr:from>
      <xdr:col>0</xdr:col>
      <xdr:colOff>66675</xdr:colOff>
      <xdr:row>55</xdr:row>
      <xdr:rowOff>142875</xdr:rowOff>
    </xdr:from>
    <xdr:to>
      <xdr:col>9</xdr:col>
      <xdr:colOff>94383</xdr:colOff>
      <xdr:row>82</xdr:row>
      <xdr:rowOff>56647</xdr:rowOff>
    </xdr:to>
    <xdr:pic>
      <xdr:nvPicPr>
        <xdr:cNvPr id="8" name="图片 7"/>
        <xdr:cNvPicPr>
          <a:picLocks noChangeAspect="1"/>
        </xdr:cNvPicPr>
      </xdr:nvPicPr>
      <xdr:blipFill>
        <a:blip xmlns:r="http://schemas.openxmlformats.org/officeDocument/2006/relationships" r:embed="rId7"/>
        <a:stretch>
          <a:fillRect/>
        </a:stretch>
      </xdr:blipFill>
      <xdr:spPr>
        <a:xfrm>
          <a:off x="66675" y="11534775"/>
          <a:ext cx="6942858"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117</xdr:row>
      <xdr:rowOff>0</xdr:rowOff>
    </xdr:from>
    <xdr:to>
      <xdr:col>60</xdr:col>
      <xdr:colOff>293892</xdr:colOff>
      <xdr:row>147</xdr:row>
      <xdr:rowOff>47048</xdr:rowOff>
    </xdr:to>
    <xdr:pic>
      <xdr:nvPicPr>
        <xdr:cNvPr id="2" name="图片 1"/>
        <xdr:cNvPicPr>
          <a:picLocks noChangeAspect="1"/>
        </xdr:cNvPicPr>
      </xdr:nvPicPr>
      <xdr:blipFill>
        <a:blip xmlns:r="http://schemas.openxmlformats.org/officeDocument/2006/relationships" r:embed="rId1"/>
        <a:stretch>
          <a:fillRect/>
        </a:stretch>
      </xdr:blipFill>
      <xdr:spPr>
        <a:xfrm>
          <a:off x="5943600" y="13735050"/>
          <a:ext cx="11066667" cy="4619048"/>
        </a:xfrm>
        <a:prstGeom prst="rect">
          <a:avLst/>
        </a:prstGeom>
      </xdr:spPr>
    </xdr:pic>
    <xdr:clientData/>
  </xdr:twoCellAnchor>
  <xdr:twoCellAnchor editAs="oneCell">
    <xdr:from>
      <xdr:col>16</xdr:col>
      <xdr:colOff>0</xdr:colOff>
      <xdr:row>148</xdr:row>
      <xdr:rowOff>0</xdr:rowOff>
    </xdr:from>
    <xdr:to>
      <xdr:col>60</xdr:col>
      <xdr:colOff>293892</xdr:colOff>
      <xdr:row>175</xdr:row>
      <xdr:rowOff>123296</xdr:rowOff>
    </xdr:to>
    <xdr:pic>
      <xdr:nvPicPr>
        <xdr:cNvPr id="3" name="图片 2"/>
        <xdr:cNvPicPr>
          <a:picLocks noChangeAspect="1"/>
        </xdr:cNvPicPr>
      </xdr:nvPicPr>
      <xdr:blipFill>
        <a:blip xmlns:r="http://schemas.openxmlformats.org/officeDocument/2006/relationships" r:embed="rId2"/>
        <a:stretch>
          <a:fillRect/>
        </a:stretch>
      </xdr:blipFill>
      <xdr:spPr>
        <a:xfrm>
          <a:off x="5943600" y="18459450"/>
          <a:ext cx="11066667" cy="4238096"/>
        </a:xfrm>
        <a:prstGeom prst="rect">
          <a:avLst/>
        </a:prstGeom>
      </xdr:spPr>
    </xdr:pic>
    <xdr:clientData/>
  </xdr:twoCellAnchor>
  <xdr:twoCellAnchor editAs="oneCell">
    <xdr:from>
      <xdr:col>16</xdr:col>
      <xdr:colOff>0</xdr:colOff>
      <xdr:row>176</xdr:row>
      <xdr:rowOff>0</xdr:rowOff>
    </xdr:from>
    <xdr:to>
      <xdr:col>59</xdr:col>
      <xdr:colOff>789234</xdr:colOff>
      <xdr:row>210</xdr:row>
      <xdr:rowOff>56496</xdr:rowOff>
    </xdr:to>
    <xdr:pic>
      <xdr:nvPicPr>
        <xdr:cNvPr id="4" name="图片 3"/>
        <xdr:cNvPicPr>
          <a:picLocks noChangeAspect="1"/>
        </xdr:cNvPicPr>
      </xdr:nvPicPr>
      <xdr:blipFill>
        <a:blip xmlns:r="http://schemas.openxmlformats.org/officeDocument/2006/relationships" r:embed="rId3"/>
        <a:stretch>
          <a:fillRect/>
        </a:stretch>
      </xdr:blipFill>
      <xdr:spPr>
        <a:xfrm>
          <a:off x="5943600" y="22726650"/>
          <a:ext cx="10733334" cy="5238096"/>
        </a:xfrm>
        <a:prstGeom prst="rect">
          <a:avLst/>
        </a:prstGeom>
      </xdr:spPr>
    </xdr:pic>
    <xdr:clientData/>
  </xdr:twoCellAnchor>
  <xdr:twoCellAnchor editAs="oneCell">
    <xdr:from>
      <xdr:col>0</xdr:col>
      <xdr:colOff>0</xdr:colOff>
      <xdr:row>36</xdr:row>
      <xdr:rowOff>57150</xdr:rowOff>
    </xdr:from>
    <xdr:to>
      <xdr:col>44</xdr:col>
      <xdr:colOff>598816</xdr:colOff>
      <xdr:row>68</xdr:row>
      <xdr:rowOff>132731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47800"/>
          <a:ext cx="10076191" cy="4952381"/>
        </a:xfrm>
        <a:prstGeom prst="rect">
          <a:avLst/>
        </a:prstGeom>
      </xdr:spPr>
    </xdr:pic>
    <xdr:clientData/>
  </xdr:twoCellAnchor>
  <xdr:twoCellAnchor>
    <xdr:from>
      <xdr:col>0</xdr:col>
      <xdr:colOff>1190626</xdr:colOff>
      <xdr:row>40</xdr:row>
      <xdr:rowOff>142875</xdr:rowOff>
    </xdr:from>
    <xdr:to>
      <xdr:col>3</xdr:col>
      <xdr:colOff>114301</xdr:colOff>
      <xdr:row>44</xdr:row>
      <xdr:rowOff>28575</xdr:rowOff>
    </xdr:to>
    <xdr:sp macro="" textlink="">
      <xdr:nvSpPr>
        <xdr:cNvPr id="6" name="椭圆形标注 5"/>
        <xdr:cNvSpPr/>
      </xdr:nvSpPr>
      <xdr:spPr>
        <a:xfrm>
          <a:off x="1190626" y="2143125"/>
          <a:ext cx="1066800" cy="495300"/>
        </a:xfrm>
        <a:prstGeom prst="wedgeEllipseCallout">
          <a:avLst>
            <a:gd name="adj1" fmla="val -52976"/>
            <a:gd name="adj2" fmla="val 6442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xdr:from>
      <xdr:col>32</xdr:col>
      <xdr:colOff>285750</xdr:colOff>
      <xdr:row>54</xdr:row>
      <xdr:rowOff>104775</xdr:rowOff>
    </xdr:from>
    <xdr:to>
      <xdr:col>35</xdr:col>
      <xdr:colOff>638175</xdr:colOff>
      <xdr:row>57</xdr:row>
      <xdr:rowOff>142875</xdr:rowOff>
    </xdr:to>
    <xdr:sp macro="" textlink="">
      <xdr:nvSpPr>
        <xdr:cNvPr id="7" name="椭圆形标注 6"/>
        <xdr:cNvSpPr/>
      </xdr:nvSpPr>
      <xdr:spPr>
        <a:xfrm>
          <a:off x="7639050" y="4238625"/>
          <a:ext cx="1066800" cy="495300"/>
        </a:xfrm>
        <a:prstGeom prst="wedgeEllipseCallout">
          <a:avLst>
            <a:gd name="adj1" fmla="val -52976"/>
            <a:gd name="adj2" fmla="val 6442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14</xdr:col>
      <xdr:colOff>161925</xdr:colOff>
      <xdr:row>52</xdr:row>
      <xdr:rowOff>19050</xdr:rowOff>
    </xdr:from>
    <xdr:to>
      <xdr:col>18</xdr:col>
      <xdr:colOff>247650</xdr:colOff>
      <xdr:row>54</xdr:row>
      <xdr:rowOff>133350</xdr:rowOff>
    </xdr:to>
    <xdr:sp macro="" textlink="">
      <xdr:nvSpPr>
        <xdr:cNvPr id="8" name="椭圆形标注 7"/>
        <xdr:cNvSpPr/>
      </xdr:nvSpPr>
      <xdr:spPr>
        <a:xfrm>
          <a:off x="5124450" y="3848100"/>
          <a:ext cx="1066800" cy="419100"/>
        </a:xfrm>
        <a:prstGeom prst="wedgeEllipseCallout">
          <a:avLst>
            <a:gd name="adj1" fmla="val -13690"/>
            <a:gd name="adj2" fmla="val -1028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xdr:from>
      <xdr:col>18</xdr:col>
      <xdr:colOff>447675</xdr:colOff>
      <xdr:row>49</xdr:row>
      <xdr:rowOff>19050</xdr:rowOff>
    </xdr:from>
    <xdr:to>
      <xdr:col>32</xdr:col>
      <xdr:colOff>104775</xdr:colOff>
      <xdr:row>52</xdr:row>
      <xdr:rowOff>57150</xdr:rowOff>
    </xdr:to>
    <xdr:sp macro="" textlink="">
      <xdr:nvSpPr>
        <xdr:cNvPr id="9" name="椭圆形标注 8"/>
        <xdr:cNvSpPr/>
      </xdr:nvSpPr>
      <xdr:spPr>
        <a:xfrm>
          <a:off x="6391275" y="3390900"/>
          <a:ext cx="1066800" cy="495300"/>
        </a:xfrm>
        <a:prstGeom prst="wedgeEllipseCallout">
          <a:avLst>
            <a:gd name="adj1" fmla="val -62797"/>
            <a:gd name="adj2" fmla="val -6634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227800</xdr:colOff>
      <xdr:row>27</xdr:row>
      <xdr:rowOff>18469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00000" cy="4647619"/>
        </a:xfrm>
        <a:prstGeom prst="rect">
          <a:avLst/>
        </a:prstGeom>
      </xdr:spPr>
    </xdr:pic>
    <xdr:clientData/>
  </xdr:twoCellAnchor>
  <xdr:twoCellAnchor editAs="oneCell">
    <xdr:from>
      <xdr:col>0</xdr:col>
      <xdr:colOff>0</xdr:colOff>
      <xdr:row>32</xdr:row>
      <xdr:rowOff>0</xdr:rowOff>
    </xdr:from>
    <xdr:to>
      <xdr:col>17</xdr:col>
      <xdr:colOff>131877</xdr:colOff>
      <xdr:row>65</xdr:row>
      <xdr:rowOff>123103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790477" cy="57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9</xdr:col>
      <xdr:colOff>798685</xdr:colOff>
      <xdr:row>26</xdr:row>
      <xdr:rowOff>28287</xdr:rowOff>
    </xdr:to>
    <xdr:pic>
      <xdr:nvPicPr>
        <xdr:cNvPr id="2" name="图片 1">
          <a:extLst>
            <a:ext uri="{FF2B5EF4-FFF2-40B4-BE49-F238E27FC236}">
              <a16:creationId xmlns="" xmlns:a16="http://schemas.microsoft.com/office/drawing/2014/main" id="{42980A52-D986-43B7-84A0-913DCC79253F}"/>
            </a:ext>
          </a:extLst>
        </xdr:cNvPr>
        <xdr:cNvPicPr>
          <a:picLocks noChangeAspect="1"/>
        </xdr:cNvPicPr>
      </xdr:nvPicPr>
      <xdr:blipFill>
        <a:blip xmlns:r="http://schemas.openxmlformats.org/officeDocument/2006/relationships" r:embed="rId1"/>
        <a:stretch>
          <a:fillRect/>
        </a:stretch>
      </xdr:blipFill>
      <xdr:spPr>
        <a:xfrm>
          <a:off x="0" y="2066925"/>
          <a:ext cx="11323810" cy="2428587"/>
        </a:xfrm>
        <a:prstGeom prst="rect">
          <a:avLst/>
        </a:prstGeom>
      </xdr:spPr>
    </xdr:pic>
    <xdr:clientData/>
  </xdr:twoCellAnchor>
  <xdr:twoCellAnchor editAs="oneCell">
    <xdr:from>
      <xdr:col>0</xdr:col>
      <xdr:colOff>0</xdr:colOff>
      <xdr:row>26</xdr:row>
      <xdr:rowOff>0</xdr:rowOff>
    </xdr:from>
    <xdr:to>
      <xdr:col>9</xdr:col>
      <xdr:colOff>179638</xdr:colOff>
      <xdr:row>48</xdr:row>
      <xdr:rowOff>56697</xdr:rowOff>
    </xdr:to>
    <xdr:pic>
      <xdr:nvPicPr>
        <xdr:cNvPr id="3" name="图片 2">
          <a:extLst>
            <a:ext uri="{FF2B5EF4-FFF2-40B4-BE49-F238E27FC236}">
              <a16:creationId xmlns="" xmlns:a16="http://schemas.microsoft.com/office/drawing/2014/main" id="{AC01BBAE-6CBD-4D2D-8A3C-2E2A4B7876E6}"/>
            </a:ext>
          </a:extLst>
        </xdr:cNvPr>
        <xdr:cNvPicPr>
          <a:picLocks noChangeAspect="1"/>
        </xdr:cNvPicPr>
      </xdr:nvPicPr>
      <xdr:blipFill>
        <a:blip xmlns:r="http://schemas.openxmlformats.org/officeDocument/2006/relationships" r:embed="rId2"/>
        <a:stretch>
          <a:fillRect/>
        </a:stretch>
      </xdr:blipFill>
      <xdr:spPr>
        <a:xfrm>
          <a:off x="0" y="4467225"/>
          <a:ext cx="10704763" cy="3828597"/>
        </a:xfrm>
        <a:prstGeom prst="rect">
          <a:avLst/>
        </a:prstGeom>
      </xdr:spPr>
    </xdr:pic>
    <xdr:clientData/>
  </xdr:twoCellAnchor>
  <xdr:twoCellAnchor editAs="oneCell">
    <xdr:from>
      <xdr:col>0</xdr:col>
      <xdr:colOff>0</xdr:colOff>
      <xdr:row>48</xdr:row>
      <xdr:rowOff>0</xdr:rowOff>
    </xdr:from>
    <xdr:to>
      <xdr:col>9</xdr:col>
      <xdr:colOff>493923</xdr:colOff>
      <xdr:row>67</xdr:row>
      <xdr:rowOff>94853</xdr:rowOff>
    </xdr:to>
    <xdr:pic>
      <xdr:nvPicPr>
        <xdr:cNvPr id="4" name="图片 3">
          <a:extLst>
            <a:ext uri="{FF2B5EF4-FFF2-40B4-BE49-F238E27FC236}">
              <a16:creationId xmlns="" xmlns:a16="http://schemas.microsoft.com/office/drawing/2014/main" id="{59169FC8-20F2-4B1F-9D2E-50A6295ACFA1}"/>
            </a:ext>
          </a:extLst>
        </xdr:cNvPr>
        <xdr:cNvPicPr>
          <a:picLocks noChangeAspect="1"/>
        </xdr:cNvPicPr>
      </xdr:nvPicPr>
      <xdr:blipFill>
        <a:blip xmlns:r="http://schemas.openxmlformats.org/officeDocument/2006/relationships" r:embed="rId3"/>
        <a:stretch>
          <a:fillRect/>
        </a:stretch>
      </xdr:blipFill>
      <xdr:spPr>
        <a:xfrm>
          <a:off x="0" y="8239125"/>
          <a:ext cx="11019048" cy="3352403"/>
        </a:xfrm>
        <a:prstGeom prst="rect">
          <a:avLst/>
        </a:prstGeom>
      </xdr:spPr>
    </xdr:pic>
    <xdr:clientData/>
  </xdr:twoCellAnchor>
  <xdr:twoCellAnchor editAs="oneCell">
    <xdr:from>
      <xdr:col>0</xdr:col>
      <xdr:colOff>0</xdr:colOff>
      <xdr:row>67</xdr:row>
      <xdr:rowOff>0</xdr:rowOff>
    </xdr:from>
    <xdr:to>
      <xdr:col>9</xdr:col>
      <xdr:colOff>532019</xdr:colOff>
      <xdr:row>93</xdr:row>
      <xdr:rowOff>37567</xdr:rowOff>
    </xdr:to>
    <xdr:pic>
      <xdr:nvPicPr>
        <xdr:cNvPr id="5" name="图片 4">
          <a:extLst>
            <a:ext uri="{FF2B5EF4-FFF2-40B4-BE49-F238E27FC236}">
              <a16:creationId xmlns="" xmlns:a16="http://schemas.microsoft.com/office/drawing/2014/main" id="{D9125C4E-AE99-4A63-B9F2-94DD412DFDE1}"/>
            </a:ext>
          </a:extLst>
        </xdr:cNvPr>
        <xdr:cNvPicPr>
          <a:picLocks noChangeAspect="1"/>
        </xdr:cNvPicPr>
      </xdr:nvPicPr>
      <xdr:blipFill>
        <a:blip xmlns:r="http://schemas.openxmlformats.org/officeDocument/2006/relationships" r:embed="rId4"/>
        <a:stretch>
          <a:fillRect/>
        </a:stretch>
      </xdr:blipFill>
      <xdr:spPr>
        <a:xfrm>
          <a:off x="0" y="11496675"/>
          <a:ext cx="11057144" cy="4495267"/>
        </a:xfrm>
        <a:prstGeom prst="rect">
          <a:avLst/>
        </a:prstGeom>
      </xdr:spPr>
    </xdr:pic>
    <xdr:clientData/>
  </xdr:twoCellAnchor>
  <xdr:twoCellAnchor editAs="oneCell">
    <xdr:from>
      <xdr:col>0</xdr:col>
      <xdr:colOff>0</xdr:colOff>
      <xdr:row>118</xdr:row>
      <xdr:rowOff>0</xdr:rowOff>
    </xdr:from>
    <xdr:to>
      <xdr:col>6</xdr:col>
      <xdr:colOff>65817</xdr:colOff>
      <xdr:row>124</xdr:row>
      <xdr:rowOff>171307</xdr:rowOff>
    </xdr:to>
    <xdr:pic>
      <xdr:nvPicPr>
        <xdr:cNvPr id="6" name="图片 5">
          <a:extLst>
            <a:ext uri="{FF2B5EF4-FFF2-40B4-BE49-F238E27FC236}">
              <a16:creationId xmlns="" xmlns:a16="http://schemas.microsoft.com/office/drawing/2014/main" id="{3CEF71FA-BCF1-49F1-8021-34C0FAD83A4B}"/>
            </a:ext>
          </a:extLst>
        </xdr:cNvPr>
        <xdr:cNvPicPr>
          <a:picLocks noChangeAspect="1"/>
        </xdr:cNvPicPr>
      </xdr:nvPicPr>
      <xdr:blipFill>
        <a:blip xmlns:r="http://schemas.openxmlformats.org/officeDocument/2006/relationships" r:embed="rId5"/>
        <a:stretch>
          <a:fillRect/>
        </a:stretch>
      </xdr:blipFill>
      <xdr:spPr>
        <a:xfrm>
          <a:off x="0" y="20240625"/>
          <a:ext cx="6866667" cy="1200007"/>
        </a:xfrm>
        <a:prstGeom prst="rect">
          <a:avLst/>
        </a:prstGeom>
      </xdr:spPr>
    </xdr:pic>
    <xdr:clientData/>
  </xdr:twoCellAnchor>
  <xdr:twoCellAnchor editAs="oneCell">
    <xdr:from>
      <xdr:col>0</xdr:col>
      <xdr:colOff>0</xdr:colOff>
      <xdr:row>125</xdr:row>
      <xdr:rowOff>0</xdr:rowOff>
    </xdr:from>
    <xdr:to>
      <xdr:col>9</xdr:col>
      <xdr:colOff>551066</xdr:colOff>
      <xdr:row>148</xdr:row>
      <xdr:rowOff>75724</xdr:rowOff>
    </xdr:to>
    <xdr:pic>
      <xdr:nvPicPr>
        <xdr:cNvPr id="7" name="图片 6">
          <a:extLst>
            <a:ext uri="{FF2B5EF4-FFF2-40B4-BE49-F238E27FC236}">
              <a16:creationId xmlns="" xmlns:a16="http://schemas.microsoft.com/office/drawing/2014/main" id="{08DD2C21-1E35-406E-B7F3-5047BB906664}"/>
            </a:ext>
          </a:extLst>
        </xdr:cNvPr>
        <xdr:cNvPicPr>
          <a:picLocks noChangeAspect="1"/>
        </xdr:cNvPicPr>
      </xdr:nvPicPr>
      <xdr:blipFill>
        <a:blip xmlns:r="http://schemas.openxmlformats.org/officeDocument/2006/relationships" r:embed="rId6"/>
        <a:stretch>
          <a:fillRect/>
        </a:stretch>
      </xdr:blipFill>
      <xdr:spPr>
        <a:xfrm>
          <a:off x="0" y="21440775"/>
          <a:ext cx="11076191" cy="4019074"/>
        </a:xfrm>
        <a:prstGeom prst="rect">
          <a:avLst/>
        </a:prstGeom>
      </xdr:spPr>
    </xdr:pic>
    <xdr:clientData/>
  </xdr:twoCellAnchor>
  <xdr:twoCellAnchor editAs="oneCell">
    <xdr:from>
      <xdr:col>0</xdr:col>
      <xdr:colOff>0</xdr:colOff>
      <xdr:row>148</xdr:row>
      <xdr:rowOff>0</xdr:rowOff>
    </xdr:from>
    <xdr:to>
      <xdr:col>2</xdr:col>
      <xdr:colOff>352064</xdr:colOff>
      <xdr:row>156</xdr:row>
      <xdr:rowOff>37932</xdr:rowOff>
    </xdr:to>
    <xdr:pic>
      <xdr:nvPicPr>
        <xdr:cNvPr id="8" name="图片 7">
          <a:extLst>
            <a:ext uri="{FF2B5EF4-FFF2-40B4-BE49-F238E27FC236}">
              <a16:creationId xmlns="" xmlns:a16="http://schemas.microsoft.com/office/drawing/2014/main" id="{2D78746B-5A62-4201-9794-5D724CA0C088}"/>
            </a:ext>
          </a:extLst>
        </xdr:cNvPr>
        <xdr:cNvPicPr>
          <a:picLocks noChangeAspect="1"/>
        </xdr:cNvPicPr>
      </xdr:nvPicPr>
      <xdr:blipFill>
        <a:blip xmlns:r="http://schemas.openxmlformats.org/officeDocument/2006/relationships" r:embed="rId7"/>
        <a:stretch>
          <a:fillRect/>
        </a:stretch>
      </xdr:blipFill>
      <xdr:spPr>
        <a:xfrm>
          <a:off x="0" y="25384125"/>
          <a:ext cx="2885714" cy="1409532"/>
        </a:xfrm>
        <a:prstGeom prst="rect">
          <a:avLst/>
        </a:prstGeom>
      </xdr:spPr>
    </xdr:pic>
    <xdr:clientData/>
  </xdr:twoCellAnchor>
  <xdr:twoCellAnchor editAs="oneCell">
    <xdr:from>
      <xdr:col>3</xdr:col>
      <xdr:colOff>0</xdr:colOff>
      <xdr:row>148</xdr:row>
      <xdr:rowOff>0</xdr:rowOff>
    </xdr:from>
    <xdr:to>
      <xdr:col>9</xdr:col>
      <xdr:colOff>780087</xdr:colOff>
      <xdr:row>157</xdr:row>
      <xdr:rowOff>95056</xdr:rowOff>
    </xdr:to>
    <xdr:pic>
      <xdr:nvPicPr>
        <xdr:cNvPr id="9" name="图片 8">
          <a:extLst>
            <a:ext uri="{FF2B5EF4-FFF2-40B4-BE49-F238E27FC236}">
              <a16:creationId xmlns="" xmlns:a16="http://schemas.microsoft.com/office/drawing/2014/main" id="{0C27E372-7F5D-4867-B5A3-973A8B4685F6}"/>
            </a:ext>
          </a:extLst>
        </xdr:cNvPr>
        <xdr:cNvPicPr>
          <a:picLocks noChangeAspect="1"/>
        </xdr:cNvPicPr>
      </xdr:nvPicPr>
      <xdr:blipFill>
        <a:blip xmlns:r="http://schemas.openxmlformats.org/officeDocument/2006/relationships" r:embed="rId8"/>
        <a:stretch>
          <a:fillRect/>
        </a:stretch>
      </xdr:blipFill>
      <xdr:spPr>
        <a:xfrm>
          <a:off x="3600450" y="25384125"/>
          <a:ext cx="7704762" cy="1638106"/>
        </a:xfrm>
        <a:prstGeom prst="rect">
          <a:avLst/>
        </a:prstGeom>
      </xdr:spPr>
    </xdr:pic>
    <xdr:clientData/>
  </xdr:twoCellAnchor>
  <xdr:twoCellAnchor editAs="oneCell">
    <xdr:from>
      <xdr:col>0</xdr:col>
      <xdr:colOff>0</xdr:colOff>
      <xdr:row>158</xdr:row>
      <xdr:rowOff>0</xdr:rowOff>
    </xdr:from>
    <xdr:to>
      <xdr:col>9</xdr:col>
      <xdr:colOff>798685</xdr:colOff>
      <xdr:row>177</xdr:row>
      <xdr:rowOff>85329</xdr:rowOff>
    </xdr:to>
    <xdr:pic>
      <xdr:nvPicPr>
        <xdr:cNvPr id="10" name="图片 9">
          <a:extLst>
            <a:ext uri="{FF2B5EF4-FFF2-40B4-BE49-F238E27FC236}">
              <a16:creationId xmlns="" xmlns:a16="http://schemas.microsoft.com/office/drawing/2014/main" id="{153D2327-C7B0-4230-8C30-148126BDF0EB}"/>
            </a:ext>
          </a:extLst>
        </xdr:cNvPr>
        <xdr:cNvPicPr>
          <a:picLocks noChangeAspect="1"/>
        </xdr:cNvPicPr>
      </xdr:nvPicPr>
      <xdr:blipFill>
        <a:blip xmlns:r="http://schemas.openxmlformats.org/officeDocument/2006/relationships" r:embed="rId9"/>
        <a:stretch>
          <a:fillRect/>
        </a:stretch>
      </xdr:blipFill>
      <xdr:spPr>
        <a:xfrm>
          <a:off x="0" y="27098625"/>
          <a:ext cx="11323810" cy="3342879"/>
        </a:xfrm>
        <a:prstGeom prst="rect">
          <a:avLst/>
        </a:prstGeom>
      </xdr:spPr>
    </xdr:pic>
    <xdr:clientData/>
  </xdr:twoCellAnchor>
  <xdr:twoCellAnchor editAs="oneCell">
    <xdr:from>
      <xdr:col>0</xdr:col>
      <xdr:colOff>0</xdr:colOff>
      <xdr:row>177</xdr:row>
      <xdr:rowOff>0</xdr:rowOff>
    </xdr:from>
    <xdr:to>
      <xdr:col>9</xdr:col>
      <xdr:colOff>522495</xdr:colOff>
      <xdr:row>201</xdr:row>
      <xdr:rowOff>123323</xdr:rowOff>
    </xdr:to>
    <xdr:pic>
      <xdr:nvPicPr>
        <xdr:cNvPr id="11" name="图片 10">
          <a:extLst>
            <a:ext uri="{FF2B5EF4-FFF2-40B4-BE49-F238E27FC236}">
              <a16:creationId xmlns="" xmlns:a16="http://schemas.microsoft.com/office/drawing/2014/main" id="{D60DBA8D-5FA2-469C-B708-21F210AAB1EC}"/>
            </a:ext>
          </a:extLst>
        </xdr:cNvPr>
        <xdr:cNvPicPr>
          <a:picLocks noChangeAspect="1"/>
        </xdr:cNvPicPr>
      </xdr:nvPicPr>
      <xdr:blipFill>
        <a:blip xmlns:r="http://schemas.openxmlformats.org/officeDocument/2006/relationships" r:embed="rId10"/>
        <a:stretch>
          <a:fillRect/>
        </a:stretch>
      </xdr:blipFill>
      <xdr:spPr>
        <a:xfrm>
          <a:off x="0" y="30356175"/>
          <a:ext cx="11047620" cy="4238123"/>
        </a:xfrm>
        <a:prstGeom prst="rect">
          <a:avLst/>
        </a:prstGeom>
      </xdr:spPr>
    </xdr:pic>
    <xdr:clientData/>
  </xdr:twoCellAnchor>
  <xdr:twoCellAnchor editAs="oneCell">
    <xdr:from>
      <xdr:col>0</xdr:col>
      <xdr:colOff>0</xdr:colOff>
      <xdr:row>204</xdr:row>
      <xdr:rowOff>0</xdr:rowOff>
    </xdr:from>
    <xdr:to>
      <xdr:col>9</xdr:col>
      <xdr:colOff>674876</xdr:colOff>
      <xdr:row>216</xdr:row>
      <xdr:rowOff>18804</xdr:rowOff>
    </xdr:to>
    <xdr:pic>
      <xdr:nvPicPr>
        <xdr:cNvPr id="12" name="图片 11">
          <a:extLst>
            <a:ext uri="{FF2B5EF4-FFF2-40B4-BE49-F238E27FC236}">
              <a16:creationId xmlns="" xmlns:a16="http://schemas.microsoft.com/office/drawing/2014/main" id="{C63D76BB-75B2-439A-B399-F7E60F7337D2}"/>
            </a:ext>
          </a:extLst>
        </xdr:cNvPr>
        <xdr:cNvPicPr>
          <a:picLocks noChangeAspect="1"/>
        </xdr:cNvPicPr>
      </xdr:nvPicPr>
      <xdr:blipFill>
        <a:blip xmlns:r="http://schemas.openxmlformats.org/officeDocument/2006/relationships" r:embed="rId11"/>
        <a:stretch>
          <a:fillRect/>
        </a:stretch>
      </xdr:blipFill>
      <xdr:spPr>
        <a:xfrm>
          <a:off x="0" y="34985325"/>
          <a:ext cx="11200001" cy="2076204"/>
        </a:xfrm>
        <a:prstGeom prst="rect">
          <a:avLst/>
        </a:prstGeom>
      </xdr:spPr>
    </xdr:pic>
    <xdr:clientData/>
  </xdr:twoCellAnchor>
  <xdr:twoCellAnchor editAs="oneCell">
    <xdr:from>
      <xdr:col>0</xdr:col>
      <xdr:colOff>0</xdr:colOff>
      <xdr:row>216</xdr:row>
      <xdr:rowOff>0</xdr:rowOff>
    </xdr:from>
    <xdr:to>
      <xdr:col>9</xdr:col>
      <xdr:colOff>370114</xdr:colOff>
      <xdr:row>238</xdr:row>
      <xdr:rowOff>47173</xdr:rowOff>
    </xdr:to>
    <xdr:pic>
      <xdr:nvPicPr>
        <xdr:cNvPr id="13" name="图片 12">
          <a:extLst>
            <a:ext uri="{FF2B5EF4-FFF2-40B4-BE49-F238E27FC236}">
              <a16:creationId xmlns="" xmlns:a16="http://schemas.microsoft.com/office/drawing/2014/main" id="{6FB92D9F-8C55-4C94-97E8-3E47BACF8A49}"/>
            </a:ext>
          </a:extLst>
        </xdr:cNvPr>
        <xdr:cNvPicPr>
          <a:picLocks noChangeAspect="1"/>
        </xdr:cNvPicPr>
      </xdr:nvPicPr>
      <xdr:blipFill>
        <a:blip xmlns:r="http://schemas.openxmlformats.org/officeDocument/2006/relationships" r:embed="rId12"/>
        <a:stretch>
          <a:fillRect/>
        </a:stretch>
      </xdr:blipFill>
      <xdr:spPr>
        <a:xfrm>
          <a:off x="0" y="37042725"/>
          <a:ext cx="10895239" cy="3819073"/>
        </a:xfrm>
        <a:prstGeom prst="rect">
          <a:avLst/>
        </a:prstGeom>
      </xdr:spPr>
    </xdr:pic>
    <xdr:clientData/>
  </xdr:twoCellAnchor>
  <xdr:twoCellAnchor editAs="oneCell">
    <xdr:from>
      <xdr:col>0</xdr:col>
      <xdr:colOff>0</xdr:colOff>
      <xdr:row>237</xdr:row>
      <xdr:rowOff>66675</xdr:rowOff>
    </xdr:from>
    <xdr:to>
      <xdr:col>9</xdr:col>
      <xdr:colOff>379638</xdr:colOff>
      <xdr:row>257</xdr:row>
      <xdr:rowOff>56745</xdr:rowOff>
    </xdr:to>
    <xdr:pic>
      <xdr:nvPicPr>
        <xdr:cNvPr id="14" name="图片 13">
          <a:extLst>
            <a:ext uri="{FF2B5EF4-FFF2-40B4-BE49-F238E27FC236}">
              <a16:creationId xmlns="" xmlns:a16="http://schemas.microsoft.com/office/drawing/2014/main" id="{DAC59D51-A2D6-435B-BE87-EE1FB499481C}"/>
            </a:ext>
          </a:extLst>
        </xdr:cNvPr>
        <xdr:cNvPicPr>
          <a:picLocks noChangeAspect="1"/>
        </xdr:cNvPicPr>
      </xdr:nvPicPr>
      <xdr:blipFill>
        <a:blip xmlns:r="http://schemas.openxmlformats.org/officeDocument/2006/relationships" r:embed="rId13"/>
        <a:stretch>
          <a:fillRect/>
        </a:stretch>
      </xdr:blipFill>
      <xdr:spPr>
        <a:xfrm>
          <a:off x="0" y="40709850"/>
          <a:ext cx="10904763" cy="3419070"/>
        </a:xfrm>
        <a:prstGeom prst="rect">
          <a:avLst/>
        </a:prstGeom>
      </xdr:spPr>
    </xdr:pic>
    <xdr:clientData/>
  </xdr:twoCellAnchor>
  <xdr:twoCellAnchor editAs="oneCell">
    <xdr:from>
      <xdr:col>0</xdr:col>
      <xdr:colOff>0</xdr:colOff>
      <xdr:row>289</xdr:row>
      <xdr:rowOff>28575</xdr:rowOff>
    </xdr:from>
    <xdr:to>
      <xdr:col>9</xdr:col>
      <xdr:colOff>522495</xdr:colOff>
      <xdr:row>320</xdr:row>
      <xdr:rowOff>170804</xdr:rowOff>
    </xdr:to>
    <xdr:pic>
      <xdr:nvPicPr>
        <xdr:cNvPr id="15" name="图片 14">
          <a:extLst>
            <a:ext uri="{FF2B5EF4-FFF2-40B4-BE49-F238E27FC236}">
              <a16:creationId xmlns="" xmlns:a16="http://schemas.microsoft.com/office/drawing/2014/main" id="{56FDD71D-12CA-4946-BB29-FF9D45A5BF5B}"/>
            </a:ext>
          </a:extLst>
        </xdr:cNvPr>
        <xdr:cNvPicPr>
          <a:picLocks noChangeAspect="1"/>
        </xdr:cNvPicPr>
      </xdr:nvPicPr>
      <xdr:blipFill>
        <a:blip xmlns:r="http://schemas.openxmlformats.org/officeDocument/2006/relationships" r:embed="rId14"/>
        <a:stretch>
          <a:fillRect/>
        </a:stretch>
      </xdr:blipFill>
      <xdr:spPr>
        <a:xfrm>
          <a:off x="0" y="49587150"/>
          <a:ext cx="11047620" cy="5457179"/>
        </a:xfrm>
        <a:prstGeom prst="rect">
          <a:avLst/>
        </a:prstGeom>
      </xdr:spPr>
    </xdr:pic>
    <xdr:clientData/>
  </xdr:twoCellAnchor>
  <xdr:twoCellAnchor editAs="oneCell">
    <xdr:from>
      <xdr:col>0</xdr:col>
      <xdr:colOff>0</xdr:colOff>
      <xdr:row>320</xdr:row>
      <xdr:rowOff>104775</xdr:rowOff>
    </xdr:from>
    <xdr:to>
      <xdr:col>9</xdr:col>
      <xdr:colOff>712971</xdr:colOff>
      <xdr:row>340</xdr:row>
      <xdr:rowOff>37703</xdr:rowOff>
    </xdr:to>
    <xdr:pic>
      <xdr:nvPicPr>
        <xdr:cNvPr id="16" name="图片 15">
          <a:extLst>
            <a:ext uri="{FF2B5EF4-FFF2-40B4-BE49-F238E27FC236}">
              <a16:creationId xmlns="" xmlns:a16="http://schemas.microsoft.com/office/drawing/2014/main" id="{02CD9564-9B29-4213-84A0-64A7A8E544F3}"/>
            </a:ext>
          </a:extLst>
        </xdr:cNvPr>
        <xdr:cNvPicPr>
          <a:picLocks noChangeAspect="1"/>
        </xdr:cNvPicPr>
      </xdr:nvPicPr>
      <xdr:blipFill>
        <a:blip xmlns:r="http://schemas.openxmlformats.org/officeDocument/2006/relationships" r:embed="rId15"/>
        <a:stretch>
          <a:fillRect/>
        </a:stretch>
      </xdr:blipFill>
      <xdr:spPr>
        <a:xfrm>
          <a:off x="0" y="54978300"/>
          <a:ext cx="11238096" cy="3361928"/>
        </a:xfrm>
        <a:prstGeom prst="rect">
          <a:avLst/>
        </a:prstGeom>
      </xdr:spPr>
    </xdr:pic>
    <xdr:clientData/>
  </xdr:twoCellAnchor>
  <xdr:twoCellAnchor editAs="oneCell">
    <xdr:from>
      <xdr:col>0</xdr:col>
      <xdr:colOff>0</xdr:colOff>
      <xdr:row>339</xdr:row>
      <xdr:rowOff>123825</xdr:rowOff>
    </xdr:from>
    <xdr:to>
      <xdr:col>9</xdr:col>
      <xdr:colOff>389161</xdr:colOff>
      <xdr:row>369</xdr:row>
      <xdr:rowOff>18454</xdr:rowOff>
    </xdr:to>
    <xdr:pic>
      <xdr:nvPicPr>
        <xdr:cNvPr id="17" name="图片 16">
          <a:extLst>
            <a:ext uri="{FF2B5EF4-FFF2-40B4-BE49-F238E27FC236}">
              <a16:creationId xmlns="" xmlns:a16="http://schemas.microsoft.com/office/drawing/2014/main" id="{8BC3837D-33A2-4C1B-90BD-746E575CBBA3}"/>
            </a:ext>
          </a:extLst>
        </xdr:cNvPr>
        <xdr:cNvPicPr>
          <a:picLocks noChangeAspect="1"/>
        </xdr:cNvPicPr>
      </xdr:nvPicPr>
      <xdr:blipFill>
        <a:blip xmlns:r="http://schemas.openxmlformats.org/officeDocument/2006/relationships" r:embed="rId16"/>
        <a:stretch>
          <a:fillRect/>
        </a:stretch>
      </xdr:blipFill>
      <xdr:spPr>
        <a:xfrm>
          <a:off x="0" y="58254900"/>
          <a:ext cx="10914286" cy="5038129"/>
        </a:xfrm>
        <a:prstGeom prst="rect">
          <a:avLst/>
        </a:prstGeom>
      </xdr:spPr>
    </xdr:pic>
    <xdr:clientData/>
  </xdr:twoCellAnchor>
  <xdr:twoCellAnchor editAs="oneCell">
    <xdr:from>
      <xdr:col>0</xdr:col>
      <xdr:colOff>0</xdr:colOff>
      <xdr:row>370</xdr:row>
      <xdr:rowOff>66675</xdr:rowOff>
    </xdr:from>
    <xdr:to>
      <xdr:col>9</xdr:col>
      <xdr:colOff>722495</xdr:colOff>
      <xdr:row>381</xdr:row>
      <xdr:rowOff>142643</xdr:rowOff>
    </xdr:to>
    <xdr:pic>
      <xdr:nvPicPr>
        <xdr:cNvPr id="18" name="图片 17">
          <a:extLst>
            <a:ext uri="{FF2B5EF4-FFF2-40B4-BE49-F238E27FC236}">
              <a16:creationId xmlns="" xmlns:a16="http://schemas.microsoft.com/office/drawing/2014/main" id="{59263E3D-1945-4A81-97B4-D65F99E30686}"/>
            </a:ext>
          </a:extLst>
        </xdr:cNvPr>
        <xdr:cNvPicPr>
          <a:picLocks noChangeAspect="1"/>
        </xdr:cNvPicPr>
      </xdr:nvPicPr>
      <xdr:blipFill>
        <a:blip xmlns:r="http://schemas.openxmlformats.org/officeDocument/2006/relationships" r:embed="rId17"/>
        <a:stretch>
          <a:fillRect/>
        </a:stretch>
      </xdr:blipFill>
      <xdr:spPr>
        <a:xfrm>
          <a:off x="0" y="63512700"/>
          <a:ext cx="11247620" cy="1961918"/>
        </a:xfrm>
        <a:prstGeom prst="rect">
          <a:avLst/>
        </a:prstGeom>
      </xdr:spPr>
    </xdr:pic>
    <xdr:clientData/>
  </xdr:twoCellAnchor>
  <xdr:twoCellAnchor editAs="oneCell">
    <xdr:from>
      <xdr:col>0</xdr:col>
      <xdr:colOff>0</xdr:colOff>
      <xdr:row>382</xdr:row>
      <xdr:rowOff>104775</xdr:rowOff>
    </xdr:from>
    <xdr:to>
      <xdr:col>9</xdr:col>
      <xdr:colOff>598685</xdr:colOff>
      <xdr:row>407</xdr:row>
      <xdr:rowOff>104268</xdr:rowOff>
    </xdr:to>
    <xdr:pic>
      <xdr:nvPicPr>
        <xdr:cNvPr id="19" name="图片 18">
          <a:extLst>
            <a:ext uri="{FF2B5EF4-FFF2-40B4-BE49-F238E27FC236}">
              <a16:creationId xmlns="" xmlns:a16="http://schemas.microsoft.com/office/drawing/2014/main" id="{D7153DDD-D1C1-4469-B8B2-A52984E6E856}"/>
            </a:ext>
          </a:extLst>
        </xdr:cNvPr>
        <xdr:cNvPicPr>
          <a:picLocks noChangeAspect="1"/>
        </xdr:cNvPicPr>
      </xdr:nvPicPr>
      <xdr:blipFill>
        <a:blip xmlns:r="http://schemas.openxmlformats.org/officeDocument/2006/relationships" r:embed="rId18"/>
        <a:stretch>
          <a:fillRect/>
        </a:stretch>
      </xdr:blipFill>
      <xdr:spPr>
        <a:xfrm>
          <a:off x="0" y="65608200"/>
          <a:ext cx="11123810" cy="4285743"/>
        </a:xfrm>
        <a:prstGeom prst="rect">
          <a:avLst/>
        </a:prstGeom>
      </xdr:spPr>
    </xdr:pic>
    <xdr:clientData/>
  </xdr:twoCellAnchor>
  <xdr:twoCellAnchor editAs="oneCell">
    <xdr:from>
      <xdr:col>0</xdr:col>
      <xdr:colOff>0</xdr:colOff>
      <xdr:row>406</xdr:row>
      <xdr:rowOff>76200</xdr:rowOff>
    </xdr:from>
    <xdr:to>
      <xdr:col>9</xdr:col>
      <xdr:colOff>532019</xdr:colOff>
      <xdr:row>425</xdr:row>
      <xdr:rowOff>152005</xdr:rowOff>
    </xdr:to>
    <xdr:pic>
      <xdr:nvPicPr>
        <xdr:cNvPr id="20" name="图片 19">
          <a:extLst>
            <a:ext uri="{FF2B5EF4-FFF2-40B4-BE49-F238E27FC236}">
              <a16:creationId xmlns="" xmlns:a16="http://schemas.microsoft.com/office/drawing/2014/main" id="{A5D2BD6A-2F4C-477F-8F21-9150A8AB0976}"/>
            </a:ext>
          </a:extLst>
        </xdr:cNvPr>
        <xdr:cNvPicPr>
          <a:picLocks noChangeAspect="1"/>
        </xdr:cNvPicPr>
      </xdr:nvPicPr>
      <xdr:blipFill>
        <a:blip xmlns:r="http://schemas.openxmlformats.org/officeDocument/2006/relationships" r:embed="rId19"/>
        <a:stretch>
          <a:fillRect/>
        </a:stretch>
      </xdr:blipFill>
      <xdr:spPr>
        <a:xfrm>
          <a:off x="0" y="69694425"/>
          <a:ext cx="11057144" cy="3333355"/>
        </a:xfrm>
        <a:prstGeom prst="rect">
          <a:avLst/>
        </a:prstGeom>
      </xdr:spPr>
    </xdr:pic>
    <xdr:clientData/>
  </xdr:twoCellAnchor>
  <xdr:twoCellAnchor editAs="oneCell">
    <xdr:from>
      <xdr:col>0</xdr:col>
      <xdr:colOff>0</xdr:colOff>
      <xdr:row>456</xdr:row>
      <xdr:rowOff>76200</xdr:rowOff>
    </xdr:from>
    <xdr:to>
      <xdr:col>9</xdr:col>
      <xdr:colOff>351066</xdr:colOff>
      <xdr:row>479</xdr:row>
      <xdr:rowOff>151924</xdr:rowOff>
    </xdr:to>
    <xdr:pic>
      <xdr:nvPicPr>
        <xdr:cNvPr id="21" name="图片 20">
          <a:extLst>
            <a:ext uri="{FF2B5EF4-FFF2-40B4-BE49-F238E27FC236}">
              <a16:creationId xmlns="" xmlns:a16="http://schemas.microsoft.com/office/drawing/2014/main" id="{277E82C2-A90F-4C2D-87CB-F603A5C36682}"/>
            </a:ext>
          </a:extLst>
        </xdr:cNvPr>
        <xdr:cNvPicPr>
          <a:picLocks noChangeAspect="1"/>
        </xdr:cNvPicPr>
      </xdr:nvPicPr>
      <xdr:blipFill>
        <a:blip xmlns:r="http://schemas.openxmlformats.org/officeDocument/2006/relationships" r:embed="rId20"/>
        <a:stretch>
          <a:fillRect/>
        </a:stretch>
      </xdr:blipFill>
      <xdr:spPr>
        <a:xfrm>
          <a:off x="0" y="78266925"/>
          <a:ext cx="10876191" cy="4019074"/>
        </a:xfrm>
        <a:prstGeom prst="rect">
          <a:avLst/>
        </a:prstGeom>
      </xdr:spPr>
    </xdr:pic>
    <xdr:clientData/>
  </xdr:twoCellAnchor>
  <xdr:twoCellAnchor editAs="oneCell">
    <xdr:from>
      <xdr:col>0</xdr:col>
      <xdr:colOff>0</xdr:colOff>
      <xdr:row>426</xdr:row>
      <xdr:rowOff>19050</xdr:rowOff>
    </xdr:from>
    <xdr:to>
      <xdr:col>9</xdr:col>
      <xdr:colOff>684400</xdr:colOff>
      <xdr:row>456</xdr:row>
      <xdr:rowOff>56536</xdr:rowOff>
    </xdr:to>
    <xdr:pic>
      <xdr:nvPicPr>
        <xdr:cNvPr id="22" name="图片 21">
          <a:extLst>
            <a:ext uri="{FF2B5EF4-FFF2-40B4-BE49-F238E27FC236}">
              <a16:creationId xmlns="" xmlns:a16="http://schemas.microsoft.com/office/drawing/2014/main" id="{EF8329E3-EF1D-4C30-948B-255C68700968}"/>
            </a:ext>
          </a:extLst>
        </xdr:cNvPr>
        <xdr:cNvPicPr>
          <a:picLocks noChangeAspect="1"/>
        </xdr:cNvPicPr>
      </xdr:nvPicPr>
      <xdr:blipFill>
        <a:blip xmlns:r="http://schemas.openxmlformats.org/officeDocument/2006/relationships" r:embed="rId21"/>
        <a:stretch>
          <a:fillRect/>
        </a:stretch>
      </xdr:blipFill>
      <xdr:spPr>
        <a:xfrm>
          <a:off x="0" y="73066275"/>
          <a:ext cx="11209525" cy="5180986"/>
        </a:xfrm>
        <a:prstGeom prst="rect">
          <a:avLst/>
        </a:prstGeom>
      </xdr:spPr>
    </xdr:pic>
    <xdr:clientData/>
  </xdr:twoCellAnchor>
  <xdr:twoCellAnchor editAs="oneCell">
    <xdr:from>
      <xdr:col>0</xdr:col>
      <xdr:colOff>0</xdr:colOff>
      <xdr:row>257</xdr:row>
      <xdr:rowOff>38100</xdr:rowOff>
    </xdr:from>
    <xdr:to>
      <xdr:col>9</xdr:col>
      <xdr:colOff>779638</xdr:colOff>
      <xdr:row>289</xdr:row>
      <xdr:rowOff>8879</xdr:rowOff>
    </xdr:to>
    <xdr:pic>
      <xdr:nvPicPr>
        <xdr:cNvPr id="23" name="图片 22">
          <a:extLst>
            <a:ext uri="{FF2B5EF4-FFF2-40B4-BE49-F238E27FC236}">
              <a16:creationId xmlns="" xmlns:a16="http://schemas.microsoft.com/office/drawing/2014/main" id="{8850DCA9-C554-48DB-80AA-24B9CFB8DFAF}"/>
            </a:ext>
          </a:extLst>
        </xdr:cNvPr>
        <xdr:cNvPicPr>
          <a:picLocks noChangeAspect="1"/>
        </xdr:cNvPicPr>
      </xdr:nvPicPr>
      <xdr:blipFill>
        <a:blip xmlns:r="http://schemas.openxmlformats.org/officeDocument/2006/relationships" r:embed="rId22"/>
        <a:stretch>
          <a:fillRect/>
        </a:stretch>
      </xdr:blipFill>
      <xdr:spPr>
        <a:xfrm>
          <a:off x="0" y="44110275"/>
          <a:ext cx="11304763" cy="5457179"/>
        </a:xfrm>
        <a:prstGeom prst="rect">
          <a:avLst/>
        </a:prstGeom>
      </xdr:spPr>
    </xdr:pic>
    <xdr:clientData/>
  </xdr:twoCellAnchor>
  <xdr:twoCellAnchor editAs="oneCell">
    <xdr:from>
      <xdr:col>0</xdr:col>
      <xdr:colOff>0</xdr:colOff>
      <xdr:row>92</xdr:row>
      <xdr:rowOff>19050</xdr:rowOff>
    </xdr:from>
    <xdr:to>
      <xdr:col>9</xdr:col>
      <xdr:colOff>855828</xdr:colOff>
      <xdr:row>123</xdr:row>
      <xdr:rowOff>142231</xdr:rowOff>
    </xdr:to>
    <xdr:pic>
      <xdr:nvPicPr>
        <xdr:cNvPr id="24" name="图片 23">
          <a:extLst>
            <a:ext uri="{FF2B5EF4-FFF2-40B4-BE49-F238E27FC236}">
              <a16:creationId xmlns="" xmlns:a16="http://schemas.microsoft.com/office/drawing/2014/main" id="{FD8CF47A-5E60-4326-A844-5206537893F6}"/>
            </a:ext>
          </a:extLst>
        </xdr:cNvPr>
        <xdr:cNvPicPr>
          <a:picLocks noChangeAspect="1"/>
        </xdr:cNvPicPr>
      </xdr:nvPicPr>
      <xdr:blipFill>
        <a:blip xmlns:r="http://schemas.openxmlformats.org/officeDocument/2006/relationships" r:embed="rId23"/>
        <a:stretch>
          <a:fillRect/>
        </a:stretch>
      </xdr:blipFill>
      <xdr:spPr>
        <a:xfrm>
          <a:off x="0" y="15801975"/>
          <a:ext cx="11380953" cy="5438131"/>
        </a:xfrm>
        <a:prstGeom prst="rect">
          <a:avLst/>
        </a:prstGeom>
      </xdr:spPr>
    </xdr:pic>
    <xdr:clientData/>
  </xdr:twoCellAnchor>
  <xdr:twoCellAnchor editAs="oneCell">
    <xdr:from>
      <xdr:col>0</xdr:col>
      <xdr:colOff>0</xdr:colOff>
      <xdr:row>479</xdr:row>
      <xdr:rowOff>0</xdr:rowOff>
    </xdr:from>
    <xdr:to>
      <xdr:col>9</xdr:col>
      <xdr:colOff>608209</xdr:colOff>
      <xdr:row>496</xdr:row>
      <xdr:rowOff>47274</xdr:rowOff>
    </xdr:to>
    <xdr:pic>
      <xdr:nvPicPr>
        <xdr:cNvPr id="25" name="图片 24">
          <a:extLst>
            <a:ext uri="{FF2B5EF4-FFF2-40B4-BE49-F238E27FC236}">
              <a16:creationId xmlns="" xmlns:a16="http://schemas.microsoft.com/office/drawing/2014/main" id="{E0F23555-03FF-455D-8C2B-50D38DFF95D1}"/>
            </a:ext>
          </a:extLst>
        </xdr:cNvPr>
        <xdr:cNvPicPr>
          <a:picLocks noChangeAspect="1"/>
        </xdr:cNvPicPr>
      </xdr:nvPicPr>
      <xdr:blipFill>
        <a:blip xmlns:r="http://schemas.openxmlformats.org/officeDocument/2006/relationships" r:embed="rId24"/>
        <a:stretch>
          <a:fillRect/>
        </a:stretch>
      </xdr:blipFill>
      <xdr:spPr>
        <a:xfrm>
          <a:off x="0" y="82134075"/>
          <a:ext cx="11133334" cy="2961924"/>
        </a:xfrm>
        <a:prstGeom prst="rect">
          <a:avLst/>
        </a:prstGeom>
      </xdr:spPr>
    </xdr:pic>
    <xdr:clientData/>
  </xdr:twoCellAnchor>
  <xdr:twoCellAnchor editAs="oneCell">
    <xdr:from>
      <xdr:col>0</xdr:col>
      <xdr:colOff>0</xdr:colOff>
      <xdr:row>496</xdr:row>
      <xdr:rowOff>0</xdr:rowOff>
    </xdr:from>
    <xdr:to>
      <xdr:col>9</xdr:col>
      <xdr:colOff>293923</xdr:colOff>
      <xdr:row>527</xdr:row>
      <xdr:rowOff>85085</xdr:rowOff>
    </xdr:to>
    <xdr:pic>
      <xdr:nvPicPr>
        <xdr:cNvPr id="26" name="图片 25">
          <a:extLst>
            <a:ext uri="{FF2B5EF4-FFF2-40B4-BE49-F238E27FC236}">
              <a16:creationId xmlns="" xmlns:a16="http://schemas.microsoft.com/office/drawing/2014/main" id="{A135695A-DC2D-4F4D-AF12-54B25536294A}"/>
            </a:ext>
          </a:extLst>
        </xdr:cNvPr>
        <xdr:cNvPicPr>
          <a:picLocks noChangeAspect="1"/>
        </xdr:cNvPicPr>
      </xdr:nvPicPr>
      <xdr:blipFill>
        <a:blip xmlns:r="http://schemas.openxmlformats.org/officeDocument/2006/relationships" r:embed="rId25"/>
        <a:stretch>
          <a:fillRect/>
        </a:stretch>
      </xdr:blipFill>
      <xdr:spPr>
        <a:xfrm>
          <a:off x="0" y="85048725"/>
          <a:ext cx="10819048" cy="5400035"/>
        </a:xfrm>
        <a:prstGeom prst="rect">
          <a:avLst/>
        </a:prstGeom>
      </xdr:spPr>
    </xdr:pic>
    <xdr:clientData/>
  </xdr:twoCellAnchor>
  <xdr:twoCellAnchor editAs="oneCell">
    <xdr:from>
      <xdr:col>0</xdr:col>
      <xdr:colOff>0</xdr:colOff>
      <xdr:row>527</xdr:row>
      <xdr:rowOff>0</xdr:rowOff>
    </xdr:from>
    <xdr:to>
      <xdr:col>9</xdr:col>
      <xdr:colOff>674876</xdr:colOff>
      <xdr:row>539</xdr:row>
      <xdr:rowOff>56899</xdr:rowOff>
    </xdr:to>
    <xdr:pic>
      <xdr:nvPicPr>
        <xdr:cNvPr id="27" name="图片 26">
          <a:extLst>
            <a:ext uri="{FF2B5EF4-FFF2-40B4-BE49-F238E27FC236}">
              <a16:creationId xmlns="" xmlns:a16="http://schemas.microsoft.com/office/drawing/2014/main" id="{03BE1065-439B-4F92-9EAB-1F5E834136B2}"/>
            </a:ext>
          </a:extLst>
        </xdr:cNvPr>
        <xdr:cNvPicPr>
          <a:picLocks noChangeAspect="1"/>
        </xdr:cNvPicPr>
      </xdr:nvPicPr>
      <xdr:blipFill>
        <a:blip xmlns:r="http://schemas.openxmlformats.org/officeDocument/2006/relationships" r:embed="rId26"/>
        <a:stretch>
          <a:fillRect/>
        </a:stretch>
      </xdr:blipFill>
      <xdr:spPr>
        <a:xfrm>
          <a:off x="0" y="90363675"/>
          <a:ext cx="11200001" cy="2114299"/>
        </a:xfrm>
        <a:prstGeom prst="rect">
          <a:avLst/>
        </a:prstGeom>
      </xdr:spPr>
    </xdr:pic>
    <xdr:clientData/>
  </xdr:twoCellAnchor>
  <xdr:twoCellAnchor editAs="oneCell">
    <xdr:from>
      <xdr:col>0</xdr:col>
      <xdr:colOff>0</xdr:colOff>
      <xdr:row>539</xdr:row>
      <xdr:rowOff>0</xdr:rowOff>
    </xdr:from>
    <xdr:to>
      <xdr:col>9</xdr:col>
      <xdr:colOff>446304</xdr:colOff>
      <xdr:row>562</xdr:row>
      <xdr:rowOff>75724</xdr:rowOff>
    </xdr:to>
    <xdr:pic>
      <xdr:nvPicPr>
        <xdr:cNvPr id="28" name="图片 27">
          <a:extLst>
            <a:ext uri="{FF2B5EF4-FFF2-40B4-BE49-F238E27FC236}">
              <a16:creationId xmlns="" xmlns:a16="http://schemas.microsoft.com/office/drawing/2014/main" id="{95245F0A-80F7-4B60-8613-890C6D04E964}"/>
            </a:ext>
          </a:extLst>
        </xdr:cNvPr>
        <xdr:cNvPicPr>
          <a:picLocks noChangeAspect="1"/>
        </xdr:cNvPicPr>
      </xdr:nvPicPr>
      <xdr:blipFill>
        <a:blip xmlns:r="http://schemas.openxmlformats.org/officeDocument/2006/relationships" r:embed="rId27"/>
        <a:stretch>
          <a:fillRect/>
        </a:stretch>
      </xdr:blipFill>
      <xdr:spPr>
        <a:xfrm>
          <a:off x="0" y="92421075"/>
          <a:ext cx="10971429" cy="4019074"/>
        </a:xfrm>
        <a:prstGeom prst="rect">
          <a:avLst/>
        </a:prstGeom>
      </xdr:spPr>
    </xdr:pic>
    <xdr:clientData/>
  </xdr:twoCellAnchor>
  <xdr:twoCellAnchor editAs="oneCell">
    <xdr:from>
      <xdr:col>0</xdr:col>
      <xdr:colOff>0</xdr:colOff>
      <xdr:row>561</xdr:row>
      <xdr:rowOff>0</xdr:rowOff>
    </xdr:from>
    <xdr:to>
      <xdr:col>9</xdr:col>
      <xdr:colOff>408209</xdr:colOff>
      <xdr:row>582</xdr:row>
      <xdr:rowOff>66241</xdr:rowOff>
    </xdr:to>
    <xdr:pic>
      <xdr:nvPicPr>
        <xdr:cNvPr id="29" name="图片 28">
          <a:extLst>
            <a:ext uri="{FF2B5EF4-FFF2-40B4-BE49-F238E27FC236}">
              <a16:creationId xmlns="" xmlns:a16="http://schemas.microsoft.com/office/drawing/2014/main" id="{BDBFA040-7B0A-4EBC-B5A9-2CBA01509CB6}"/>
            </a:ext>
          </a:extLst>
        </xdr:cNvPr>
        <xdr:cNvPicPr>
          <a:picLocks noChangeAspect="1"/>
        </xdr:cNvPicPr>
      </xdr:nvPicPr>
      <xdr:blipFill>
        <a:blip xmlns:r="http://schemas.openxmlformats.org/officeDocument/2006/relationships" r:embed="rId28"/>
        <a:stretch>
          <a:fillRect/>
        </a:stretch>
      </xdr:blipFill>
      <xdr:spPr>
        <a:xfrm>
          <a:off x="0" y="96192975"/>
          <a:ext cx="10933334" cy="3666691"/>
        </a:xfrm>
        <a:prstGeom prst="rect">
          <a:avLst/>
        </a:prstGeom>
      </xdr:spPr>
    </xdr:pic>
    <xdr:clientData/>
  </xdr:twoCellAnchor>
  <xdr:twoCellAnchor editAs="oneCell">
    <xdr:from>
      <xdr:col>0</xdr:col>
      <xdr:colOff>0</xdr:colOff>
      <xdr:row>582</xdr:row>
      <xdr:rowOff>0</xdr:rowOff>
    </xdr:from>
    <xdr:to>
      <xdr:col>8</xdr:col>
      <xdr:colOff>294065</xdr:colOff>
      <xdr:row>599</xdr:row>
      <xdr:rowOff>152036</xdr:rowOff>
    </xdr:to>
    <xdr:pic>
      <xdr:nvPicPr>
        <xdr:cNvPr id="30" name="图片 29">
          <a:extLst>
            <a:ext uri="{FF2B5EF4-FFF2-40B4-BE49-F238E27FC236}">
              <a16:creationId xmlns="" xmlns:a16="http://schemas.microsoft.com/office/drawing/2014/main" id="{C89C7506-E040-4EB7-A258-B1651B509E7A}"/>
            </a:ext>
          </a:extLst>
        </xdr:cNvPr>
        <xdr:cNvPicPr>
          <a:picLocks noChangeAspect="1"/>
        </xdr:cNvPicPr>
      </xdr:nvPicPr>
      <xdr:blipFill>
        <a:blip xmlns:r="http://schemas.openxmlformats.org/officeDocument/2006/relationships" r:embed="rId29"/>
        <a:stretch>
          <a:fillRect/>
        </a:stretch>
      </xdr:blipFill>
      <xdr:spPr>
        <a:xfrm>
          <a:off x="0" y="99793425"/>
          <a:ext cx="9685715" cy="3066686"/>
        </a:xfrm>
        <a:prstGeom prst="rect">
          <a:avLst/>
        </a:prstGeom>
      </xdr:spPr>
    </xdr:pic>
    <xdr:clientData/>
  </xdr:twoCellAnchor>
  <xdr:twoCellAnchor editAs="oneCell">
    <xdr:from>
      <xdr:col>0</xdr:col>
      <xdr:colOff>0</xdr:colOff>
      <xdr:row>600</xdr:row>
      <xdr:rowOff>0</xdr:rowOff>
    </xdr:from>
    <xdr:to>
      <xdr:col>9</xdr:col>
      <xdr:colOff>589161</xdr:colOff>
      <xdr:row>619</xdr:row>
      <xdr:rowOff>113900</xdr:rowOff>
    </xdr:to>
    <xdr:pic>
      <xdr:nvPicPr>
        <xdr:cNvPr id="31" name="图片 30">
          <a:extLst>
            <a:ext uri="{FF2B5EF4-FFF2-40B4-BE49-F238E27FC236}">
              <a16:creationId xmlns="" xmlns:a16="http://schemas.microsoft.com/office/drawing/2014/main" id="{7FC26022-D8E4-4760-9735-74870E2E6861}"/>
            </a:ext>
          </a:extLst>
        </xdr:cNvPr>
        <xdr:cNvPicPr>
          <a:picLocks noChangeAspect="1"/>
        </xdr:cNvPicPr>
      </xdr:nvPicPr>
      <xdr:blipFill>
        <a:blip xmlns:r="http://schemas.openxmlformats.org/officeDocument/2006/relationships" r:embed="rId30"/>
        <a:stretch>
          <a:fillRect/>
        </a:stretch>
      </xdr:blipFill>
      <xdr:spPr>
        <a:xfrm>
          <a:off x="0" y="102879525"/>
          <a:ext cx="11114286" cy="3371450"/>
        </a:xfrm>
        <a:prstGeom prst="rect">
          <a:avLst/>
        </a:prstGeom>
      </xdr:spPr>
    </xdr:pic>
    <xdr:clientData/>
  </xdr:twoCellAnchor>
  <xdr:twoCellAnchor editAs="oneCell">
    <xdr:from>
      <xdr:col>0</xdr:col>
      <xdr:colOff>0</xdr:colOff>
      <xdr:row>619</xdr:row>
      <xdr:rowOff>0</xdr:rowOff>
    </xdr:from>
    <xdr:to>
      <xdr:col>9</xdr:col>
      <xdr:colOff>293923</xdr:colOff>
      <xdr:row>645</xdr:row>
      <xdr:rowOff>8996</xdr:rowOff>
    </xdr:to>
    <xdr:pic>
      <xdr:nvPicPr>
        <xdr:cNvPr id="32" name="图片 31">
          <a:extLst>
            <a:ext uri="{FF2B5EF4-FFF2-40B4-BE49-F238E27FC236}">
              <a16:creationId xmlns="" xmlns:a16="http://schemas.microsoft.com/office/drawing/2014/main" id="{DC864232-A51A-4D50-919A-FA603E40FA97}"/>
            </a:ext>
          </a:extLst>
        </xdr:cNvPr>
        <xdr:cNvPicPr>
          <a:picLocks noChangeAspect="1"/>
        </xdr:cNvPicPr>
      </xdr:nvPicPr>
      <xdr:blipFill>
        <a:blip xmlns:r="http://schemas.openxmlformats.org/officeDocument/2006/relationships" r:embed="rId31"/>
        <a:stretch>
          <a:fillRect/>
        </a:stretch>
      </xdr:blipFill>
      <xdr:spPr>
        <a:xfrm>
          <a:off x="0" y="106137075"/>
          <a:ext cx="10819048" cy="4466696"/>
        </a:xfrm>
        <a:prstGeom prst="rect">
          <a:avLst/>
        </a:prstGeom>
      </xdr:spPr>
    </xdr:pic>
    <xdr:clientData/>
  </xdr:twoCellAnchor>
  <xdr:twoCellAnchor editAs="oneCell">
    <xdr:from>
      <xdr:col>0</xdr:col>
      <xdr:colOff>0</xdr:colOff>
      <xdr:row>646</xdr:row>
      <xdr:rowOff>0</xdr:rowOff>
    </xdr:from>
    <xdr:to>
      <xdr:col>9</xdr:col>
      <xdr:colOff>617733</xdr:colOff>
      <xdr:row>658</xdr:row>
      <xdr:rowOff>47375</xdr:rowOff>
    </xdr:to>
    <xdr:pic>
      <xdr:nvPicPr>
        <xdr:cNvPr id="33" name="图片 32">
          <a:extLst>
            <a:ext uri="{FF2B5EF4-FFF2-40B4-BE49-F238E27FC236}">
              <a16:creationId xmlns="" xmlns:a16="http://schemas.microsoft.com/office/drawing/2014/main" id="{B38081CE-34F9-49DF-BB99-0DA5D36A7319}"/>
            </a:ext>
          </a:extLst>
        </xdr:cNvPr>
        <xdr:cNvPicPr>
          <a:picLocks noChangeAspect="1"/>
        </xdr:cNvPicPr>
      </xdr:nvPicPr>
      <xdr:blipFill>
        <a:blip xmlns:r="http://schemas.openxmlformats.org/officeDocument/2006/relationships" r:embed="rId32"/>
        <a:stretch>
          <a:fillRect/>
        </a:stretch>
      </xdr:blipFill>
      <xdr:spPr>
        <a:xfrm>
          <a:off x="0" y="110766225"/>
          <a:ext cx="11142858" cy="2104775"/>
        </a:xfrm>
        <a:prstGeom prst="rect">
          <a:avLst/>
        </a:prstGeom>
      </xdr:spPr>
    </xdr:pic>
    <xdr:clientData/>
  </xdr:twoCellAnchor>
  <xdr:twoCellAnchor editAs="oneCell">
    <xdr:from>
      <xdr:col>0</xdr:col>
      <xdr:colOff>0</xdr:colOff>
      <xdr:row>658</xdr:row>
      <xdr:rowOff>0</xdr:rowOff>
    </xdr:from>
    <xdr:to>
      <xdr:col>9</xdr:col>
      <xdr:colOff>608209</xdr:colOff>
      <xdr:row>683</xdr:row>
      <xdr:rowOff>132826</xdr:rowOff>
    </xdr:to>
    <xdr:pic>
      <xdr:nvPicPr>
        <xdr:cNvPr id="34" name="图片 33">
          <a:extLst>
            <a:ext uri="{FF2B5EF4-FFF2-40B4-BE49-F238E27FC236}">
              <a16:creationId xmlns="" xmlns:a16="http://schemas.microsoft.com/office/drawing/2014/main" id="{A0A67A51-9A6E-40EC-9AE9-4E5295D6D07F}"/>
            </a:ext>
          </a:extLst>
        </xdr:cNvPr>
        <xdr:cNvPicPr>
          <a:picLocks noChangeAspect="1"/>
        </xdr:cNvPicPr>
      </xdr:nvPicPr>
      <xdr:blipFill>
        <a:blip xmlns:r="http://schemas.openxmlformats.org/officeDocument/2006/relationships" r:embed="rId33"/>
        <a:stretch>
          <a:fillRect/>
        </a:stretch>
      </xdr:blipFill>
      <xdr:spPr>
        <a:xfrm>
          <a:off x="0" y="112823625"/>
          <a:ext cx="11133334" cy="4419076"/>
        </a:xfrm>
        <a:prstGeom prst="rect">
          <a:avLst/>
        </a:prstGeom>
      </xdr:spPr>
    </xdr:pic>
    <xdr:clientData/>
  </xdr:twoCellAnchor>
  <xdr:twoCellAnchor editAs="oneCell">
    <xdr:from>
      <xdr:col>0</xdr:col>
      <xdr:colOff>0</xdr:colOff>
      <xdr:row>683</xdr:row>
      <xdr:rowOff>0</xdr:rowOff>
    </xdr:from>
    <xdr:to>
      <xdr:col>9</xdr:col>
      <xdr:colOff>617733</xdr:colOff>
      <xdr:row>703</xdr:row>
      <xdr:rowOff>171023</xdr:rowOff>
    </xdr:to>
    <xdr:pic>
      <xdr:nvPicPr>
        <xdr:cNvPr id="35" name="图片 34">
          <a:extLst>
            <a:ext uri="{FF2B5EF4-FFF2-40B4-BE49-F238E27FC236}">
              <a16:creationId xmlns="" xmlns:a16="http://schemas.microsoft.com/office/drawing/2014/main" id="{DC69ABA2-A978-4E28-B44B-BFEEF9AB34C0}"/>
            </a:ext>
          </a:extLst>
        </xdr:cNvPr>
        <xdr:cNvPicPr>
          <a:picLocks noChangeAspect="1"/>
        </xdr:cNvPicPr>
      </xdr:nvPicPr>
      <xdr:blipFill>
        <a:blip xmlns:r="http://schemas.openxmlformats.org/officeDocument/2006/relationships" r:embed="rId34"/>
        <a:stretch>
          <a:fillRect/>
        </a:stretch>
      </xdr:blipFill>
      <xdr:spPr>
        <a:xfrm>
          <a:off x="0" y="117109875"/>
          <a:ext cx="11142858" cy="3600023"/>
        </a:xfrm>
        <a:prstGeom prst="rect">
          <a:avLst/>
        </a:prstGeom>
      </xdr:spPr>
    </xdr:pic>
    <xdr:clientData/>
  </xdr:twoCellAnchor>
  <xdr:twoCellAnchor editAs="oneCell">
    <xdr:from>
      <xdr:col>0</xdr:col>
      <xdr:colOff>0</xdr:colOff>
      <xdr:row>703</xdr:row>
      <xdr:rowOff>0</xdr:rowOff>
    </xdr:from>
    <xdr:to>
      <xdr:col>6</xdr:col>
      <xdr:colOff>332484</xdr:colOff>
      <xdr:row>721</xdr:row>
      <xdr:rowOff>56778</xdr:rowOff>
    </xdr:to>
    <xdr:pic>
      <xdr:nvPicPr>
        <xdr:cNvPr id="36" name="图片 35">
          <a:extLst>
            <a:ext uri="{FF2B5EF4-FFF2-40B4-BE49-F238E27FC236}">
              <a16:creationId xmlns="" xmlns:a16="http://schemas.microsoft.com/office/drawing/2014/main" id="{25929535-E8CC-41EF-A36F-EAF98D6942D8}"/>
            </a:ext>
          </a:extLst>
        </xdr:cNvPr>
        <xdr:cNvPicPr>
          <a:picLocks noChangeAspect="1"/>
        </xdr:cNvPicPr>
      </xdr:nvPicPr>
      <xdr:blipFill>
        <a:blip xmlns:r="http://schemas.openxmlformats.org/officeDocument/2006/relationships" r:embed="rId35"/>
        <a:stretch>
          <a:fillRect/>
        </a:stretch>
      </xdr:blipFill>
      <xdr:spPr>
        <a:xfrm>
          <a:off x="0" y="120538875"/>
          <a:ext cx="7133334" cy="3142878"/>
        </a:xfrm>
        <a:prstGeom prst="rect">
          <a:avLst/>
        </a:prstGeom>
      </xdr:spPr>
    </xdr:pic>
    <xdr:clientData/>
  </xdr:twoCellAnchor>
  <xdr:twoCellAnchor editAs="oneCell">
    <xdr:from>
      <xdr:col>0</xdr:col>
      <xdr:colOff>0</xdr:colOff>
      <xdr:row>721</xdr:row>
      <xdr:rowOff>0</xdr:rowOff>
    </xdr:from>
    <xdr:to>
      <xdr:col>9</xdr:col>
      <xdr:colOff>636781</xdr:colOff>
      <xdr:row>739</xdr:row>
      <xdr:rowOff>75825</xdr:rowOff>
    </xdr:to>
    <xdr:pic>
      <xdr:nvPicPr>
        <xdr:cNvPr id="37" name="图片 36">
          <a:extLst>
            <a:ext uri="{FF2B5EF4-FFF2-40B4-BE49-F238E27FC236}">
              <a16:creationId xmlns="" xmlns:a16="http://schemas.microsoft.com/office/drawing/2014/main" id="{F60D2550-83CE-43B6-8833-6CAE94B49750}"/>
            </a:ext>
          </a:extLst>
        </xdr:cNvPr>
        <xdr:cNvPicPr>
          <a:picLocks noChangeAspect="1"/>
        </xdr:cNvPicPr>
      </xdr:nvPicPr>
      <xdr:blipFill>
        <a:blip xmlns:r="http://schemas.openxmlformats.org/officeDocument/2006/relationships" r:embed="rId36"/>
        <a:stretch>
          <a:fillRect/>
        </a:stretch>
      </xdr:blipFill>
      <xdr:spPr>
        <a:xfrm>
          <a:off x="0" y="123624975"/>
          <a:ext cx="11161906" cy="3161925"/>
        </a:xfrm>
        <a:prstGeom prst="rect">
          <a:avLst/>
        </a:prstGeom>
      </xdr:spPr>
    </xdr:pic>
    <xdr:clientData/>
  </xdr:twoCellAnchor>
  <xdr:twoCellAnchor editAs="oneCell">
    <xdr:from>
      <xdr:col>0</xdr:col>
      <xdr:colOff>0</xdr:colOff>
      <xdr:row>739</xdr:row>
      <xdr:rowOff>0</xdr:rowOff>
    </xdr:from>
    <xdr:to>
      <xdr:col>9</xdr:col>
      <xdr:colOff>351066</xdr:colOff>
      <xdr:row>756</xdr:row>
      <xdr:rowOff>75845</xdr:rowOff>
    </xdr:to>
    <xdr:pic>
      <xdr:nvPicPr>
        <xdr:cNvPr id="38" name="图片 37">
          <a:extLst>
            <a:ext uri="{FF2B5EF4-FFF2-40B4-BE49-F238E27FC236}">
              <a16:creationId xmlns="" xmlns:a16="http://schemas.microsoft.com/office/drawing/2014/main" id="{D70141DE-5462-41B9-AD9F-1E2F8BDD0CB9}"/>
            </a:ext>
          </a:extLst>
        </xdr:cNvPr>
        <xdr:cNvPicPr>
          <a:picLocks noChangeAspect="1"/>
        </xdr:cNvPicPr>
      </xdr:nvPicPr>
      <xdr:blipFill>
        <a:blip xmlns:r="http://schemas.openxmlformats.org/officeDocument/2006/relationships" r:embed="rId37"/>
        <a:stretch>
          <a:fillRect/>
        </a:stretch>
      </xdr:blipFill>
      <xdr:spPr>
        <a:xfrm>
          <a:off x="0" y="126711075"/>
          <a:ext cx="10876191" cy="2990495"/>
        </a:xfrm>
        <a:prstGeom prst="rect">
          <a:avLst/>
        </a:prstGeom>
      </xdr:spPr>
    </xdr:pic>
    <xdr:clientData/>
  </xdr:twoCellAnchor>
  <xdr:twoCellAnchor editAs="oneCell">
    <xdr:from>
      <xdr:col>0</xdr:col>
      <xdr:colOff>0</xdr:colOff>
      <xdr:row>757</xdr:row>
      <xdr:rowOff>0</xdr:rowOff>
    </xdr:from>
    <xdr:to>
      <xdr:col>9</xdr:col>
      <xdr:colOff>522495</xdr:colOff>
      <xdr:row>769</xdr:row>
      <xdr:rowOff>56899</xdr:rowOff>
    </xdr:to>
    <xdr:pic>
      <xdr:nvPicPr>
        <xdr:cNvPr id="39" name="图片 38">
          <a:extLst>
            <a:ext uri="{FF2B5EF4-FFF2-40B4-BE49-F238E27FC236}">
              <a16:creationId xmlns="" xmlns:a16="http://schemas.microsoft.com/office/drawing/2014/main" id="{BFDF3FE5-0A09-43C3-9F44-95DF06085920}"/>
            </a:ext>
          </a:extLst>
        </xdr:cNvPr>
        <xdr:cNvPicPr>
          <a:picLocks noChangeAspect="1"/>
        </xdr:cNvPicPr>
      </xdr:nvPicPr>
      <xdr:blipFill>
        <a:blip xmlns:r="http://schemas.openxmlformats.org/officeDocument/2006/relationships" r:embed="rId38"/>
        <a:stretch>
          <a:fillRect/>
        </a:stretch>
      </xdr:blipFill>
      <xdr:spPr>
        <a:xfrm>
          <a:off x="0" y="129797175"/>
          <a:ext cx="11047620" cy="2114299"/>
        </a:xfrm>
        <a:prstGeom prst="rect">
          <a:avLst/>
        </a:prstGeom>
      </xdr:spPr>
    </xdr:pic>
    <xdr:clientData/>
  </xdr:twoCellAnchor>
  <xdr:twoCellAnchor editAs="oneCell">
    <xdr:from>
      <xdr:col>0</xdr:col>
      <xdr:colOff>0</xdr:colOff>
      <xdr:row>769</xdr:row>
      <xdr:rowOff>0</xdr:rowOff>
    </xdr:from>
    <xdr:to>
      <xdr:col>8</xdr:col>
      <xdr:colOff>684541</xdr:colOff>
      <xdr:row>792</xdr:row>
      <xdr:rowOff>161438</xdr:rowOff>
    </xdr:to>
    <xdr:pic>
      <xdr:nvPicPr>
        <xdr:cNvPr id="40" name="图片 39">
          <a:extLst>
            <a:ext uri="{FF2B5EF4-FFF2-40B4-BE49-F238E27FC236}">
              <a16:creationId xmlns="" xmlns:a16="http://schemas.microsoft.com/office/drawing/2014/main" id="{A89BEC38-E14E-4419-8CFB-0F99CF9C5B51}"/>
            </a:ext>
          </a:extLst>
        </xdr:cNvPr>
        <xdr:cNvPicPr>
          <a:picLocks noChangeAspect="1"/>
        </xdr:cNvPicPr>
      </xdr:nvPicPr>
      <xdr:blipFill>
        <a:blip xmlns:r="http://schemas.openxmlformats.org/officeDocument/2006/relationships" r:embed="rId39"/>
        <a:stretch>
          <a:fillRect/>
        </a:stretch>
      </xdr:blipFill>
      <xdr:spPr>
        <a:xfrm>
          <a:off x="0" y="131854575"/>
          <a:ext cx="10076191" cy="4104788"/>
        </a:xfrm>
        <a:prstGeom prst="rect">
          <a:avLst/>
        </a:prstGeom>
      </xdr:spPr>
    </xdr:pic>
    <xdr:clientData/>
  </xdr:twoCellAnchor>
  <xdr:twoCellAnchor editAs="oneCell">
    <xdr:from>
      <xdr:col>0</xdr:col>
      <xdr:colOff>0</xdr:colOff>
      <xdr:row>792</xdr:row>
      <xdr:rowOff>0</xdr:rowOff>
    </xdr:from>
    <xdr:to>
      <xdr:col>9</xdr:col>
      <xdr:colOff>398685</xdr:colOff>
      <xdr:row>813</xdr:row>
      <xdr:rowOff>85288</xdr:rowOff>
    </xdr:to>
    <xdr:pic>
      <xdr:nvPicPr>
        <xdr:cNvPr id="41" name="图片 40">
          <a:extLst>
            <a:ext uri="{FF2B5EF4-FFF2-40B4-BE49-F238E27FC236}">
              <a16:creationId xmlns="" xmlns:a16="http://schemas.microsoft.com/office/drawing/2014/main" id="{2B2903B6-05C1-42BD-9C9C-F7E8953A45E9}"/>
            </a:ext>
          </a:extLst>
        </xdr:cNvPr>
        <xdr:cNvPicPr>
          <a:picLocks noChangeAspect="1"/>
        </xdr:cNvPicPr>
      </xdr:nvPicPr>
      <xdr:blipFill>
        <a:blip xmlns:r="http://schemas.openxmlformats.org/officeDocument/2006/relationships" r:embed="rId40"/>
        <a:stretch>
          <a:fillRect/>
        </a:stretch>
      </xdr:blipFill>
      <xdr:spPr>
        <a:xfrm>
          <a:off x="0" y="135797925"/>
          <a:ext cx="10923810" cy="3685738"/>
        </a:xfrm>
        <a:prstGeom prst="rect">
          <a:avLst/>
        </a:prstGeom>
      </xdr:spPr>
    </xdr:pic>
    <xdr:clientData/>
  </xdr:twoCellAnchor>
  <xdr:twoCellAnchor editAs="oneCell">
    <xdr:from>
      <xdr:col>0</xdr:col>
      <xdr:colOff>0</xdr:colOff>
      <xdr:row>813</xdr:row>
      <xdr:rowOff>0</xdr:rowOff>
    </xdr:from>
    <xdr:to>
      <xdr:col>7</xdr:col>
      <xdr:colOff>541817</xdr:colOff>
      <xdr:row>831</xdr:row>
      <xdr:rowOff>47254</xdr:rowOff>
    </xdr:to>
    <xdr:pic>
      <xdr:nvPicPr>
        <xdr:cNvPr id="42" name="图片 41">
          <a:extLst>
            <a:ext uri="{FF2B5EF4-FFF2-40B4-BE49-F238E27FC236}">
              <a16:creationId xmlns="" xmlns:a16="http://schemas.microsoft.com/office/drawing/2014/main" id="{61906C89-868B-49B8-A86F-6BE18AE48D6E}"/>
            </a:ext>
          </a:extLst>
        </xdr:cNvPr>
        <xdr:cNvPicPr>
          <a:picLocks noChangeAspect="1"/>
        </xdr:cNvPicPr>
      </xdr:nvPicPr>
      <xdr:blipFill>
        <a:blip xmlns:r="http://schemas.openxmlformats.org/officeDocument/2006/relationships" r:embed="rId41"/>
        <a:stretch>
          <a:fillRect/>
        </a:stretch>
      </xdr:blipFill>
      <xdr:spPr>
        <a:xfrm>
          <a:off x="0" y="139398375"/>
          <a:ext cx="8866667" cy="3133354"/>
        </a:xfrm>
        <a:prstGeom prst="rect">
          <a:avLst/>
        </a:prstGeom>
      </xdr:spPr>
    </xdr:pic>
    <xdr:clientData/>
  </xdr:twoCellAnchor>
  <xdr:twoCellAnchor editAs="oneCell">
    <xdr:from>
      <xdr:col>0</xdr:col>
      <xdr:colOff>0</xdr:colOff>
      <xdr:row>831</xdr:row>
      <xdr:rowOff>0</xdr:rowOff>
    </xdr:from>
    <xdr:to>
      <xdr:col>9</xdr:col>
      <xdr:colOff>560590</xdr:colOff>
      <xdr:row>851</xdr:row>
      <xdr:rowOff>28166</xdr:rowOff>
    </xdr:to>
    <xdr:pic>
      <xdr:nvPicPr>
        <xdr:cNvPr id="43" name="图片 42">
          <a:extLst>
            <a:ext uri="{FF2B5EF4-FFF2-40B4-BE49-F238E27FC236}">
              <a16:creationId xmlns="" xmlns:a16="http://schemas.microsoft.com/office/drawing/2014/main" id="{1F02D940-1826-4009-919F-160847CEB4A7}"/>
            </a:ext>
          </a:extLst>
        </xdr:cNvPr>
        <xdr:cNvPicPr>
          <a:picLocks noChangeAspect="1"/>
        </xdr:cNvPicPr>
      </xdr:nvPicPr>
      <xdr:blipFill>
        <a:blip xmlns:r="http://schemas.openxmlformats.org/officeDocument/2006/relationships" r:embed="rId42"/>
        <a:stretch>
          <a:fillRect/>
        </a:stretch>
      </xdr:blipFill>
      <xdr:spPr>
        <a:xfrm>
          <a:off x="0" y="142484475"/>
          <a:ext cx="11085715" cy="3457166"/>
        </a:xfrm>
        <a:prstGeom prst="rect">
          <a:avLst/>
        </a:prstGeom>
      </xdr:spPr>
    </xdr:pic>
    <xdr:clientData/>
  </xdr:twoCellAnchor>
  <xdr:twoCellAnchor editAs="oneCell">
    <xdr:from>
      <xdr:col>0</xdr:col>
      <xdr:colOff>0</xdr:colOff>
      <xdr:row>850</xdr:row>
      <xdr:rowOff>0</xdr:rowOff>
    </xdr:from>
    <xdr:to>
      <xdr:col>9</xdr:col>
      <xdr:colOff>303447</xdr:colOff>
      <xdr:row>879</xdr:row>
      <xdr:rowOff>170841</xdr:rowOff>
    </xdr:to>
    <xdr:pic>
      <xdr:nvPicPr>
        <xdr:cNvPr id="44" name="图片 43">
          <a:extLst>
            <a:ext uri="{FF2B5EF4-FFF2-40B4-BE49-F238E27FC236}">
              <a16:creationId xmlns="" xmlns:a16="http://schemas.microsoft.com/office/drawing/2014/main" id="{8EF2CA52-4663-4CE4-8415-977CB553FDA1}"/>
            </a:ext>
          </a:extLst>
        </xdr:cNvPr>
        <xdr:cNvPicPr>
          <a:picLocks noChangeAspect="1"/>
        </xdr:cNvPicPr>
      </xdr:nvPicPr>
      <xdr:blipFill>
        <a:blip xmlns:r="http://schemas.openxmlformats.org/officeDocument/2006/relationships" r:embed="rId43"/>
        <a:stretch>
          <a:fillRect/>
        </a:stretch>
      </xdr:blipFill>
      <xdr:spPr>
        <a:xfrm>
          <a:off x="0" y="145742025"/>
          <a:ext cx="10828572" cy="51428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9</xdr:col>
      <xdr:colOff>246233</xdr:colOff>
      <xdr:row>34</xdr:row>
      <xdr:rowOff>56757</xdr:rowOff>
    </xdr:to>
    <xdr:pic>
      <xdr:nvPicPr>
        <xdr:cNvPr id="2" name="图片 1">
          <a:extLst>
            <a:ext uri="{FF2B5EF4-FFF2-40B4-BE49-F238E27FC236}">
              <a16:creationId xmlns="" xmlns:a16="http://schemas.microsoft.com/office/drawing/2014/main" id="{9705762E-6F2B-4A03-BE8E-5C469D919996}"/>
            </a:ext>
          </a:extLst>
        </xdr:cNvPr>
        <xdr:cNvPicPr>
          <a:picLocks noChangeAspect="1"/>
        </xdr:cNvPicPr>
      </xdr:nvPicPr>
      <xdr:blipFill>
        <a:blip xmlns:r="http://schemas.openxmlformats.org/officeDocument/2006/relationships" r:embed="rId1"/>
        <a:stretch>
          <a:fillRect/>
        </a:stretch>
      </xdr:blipFill>
      <xdr:spPr>
        <a:xfrm>
          <a:off x="0" y="2571750"/>
          <a:ext cx="11342858" cy="3314307"/>
        </a:xfrm>
        <a:prstGeom prst="rect">
          <a:avLst/>
        </a:prstGeom>
      </xdr:spPr>
    </xdr:pic>
    <xdr:clientData/>
  </xdr:twoCellAnchor>
  <xdr:twoCellAnchor editAs="oneCell">
    <xdr:from>
      <xdr:col>0</xdr:col>
      <xdr:colOff>0</xdr:colOff>
      <xdr:row>34</xdr:row>
      <xdr:rowOff>0</xdr:rowOff>
    </xdr:from>
    <xdr:to>
      <xdr:col>8</xdr:col>
      <xdr:colOff>1398804</xdr:colOff>
      <xdr:row>55</xdr:row>
      <xdr:rowOff>171003</xdr:rowOff>
    </xdr:to>
    <xdr:pic>
      <xdr:nvPicPr>
        <xdr:cNvPr id="3" name="图片 2">
          <a:extLst>
            <a:ext uri="{FF2B5EF4-FFF2-40B4-BE49-F238E27FC236}">
              <a16:creationId xmlns="" xmlns:a16="http://schemas.microsoft.com/office/drawing/2014/main" id="{8276D1FE-FED5-490D-8E65-893FC688F110}"/>
            </a:ext>
          </a:extLst>
        </xdr:cNvPr>
        <xdr:cNvPicPr>
          <a:picLocks noChangeAspect="1"/>
        </xdr:cNvPicPr>
      </xdr:nvPicPr>
      <xdr:blipFill>
        <a:blip xmlns:r="http://schemas.openxmlformats.org/officeDocument/2006/relationships" r:embed="rId2"/>
        <a:stretch>
          <a:fillRect/>
        </a:stretch>
      </xdr:blipFill>
      <xdr:spPr>
        <a:xfrm>
          <a:off x="0" y="5829300"/>
          <a:ext cx="10971429" cy="3771453"/>
        </a:xfrm>
        <a:prstGeom prst="rect">
          <a:avLst/>
        </a:prstGeom>
      </xdr:spPr>
    </xdr:pic>
    <xdr:clientData/>
  </xdr:twoCellAnchor>
  <xdr:twoCellAnchor editAs="oneCell">
    <xdr:from>
      <xdr:col>0</xdr:col>
      <xdr:colOff>0</xdr:colOff>
      <xdr:row>55</xdr:row>
      <xdr:rowOff>0</xdr:rowOff>
    </xdr:from>
    <xdr:to>
      <xdr:col>8</xdr:col>
      <xdr:colOff>1494042</xdr:colOff>
      <xdr:row>60</xdr:row>
      <xdr:rowOff>123708</xdr:rowOff>
    </xdr:to>
    <xdr:pic>
      <xdr:nvPicPr>
        <xdr:cNvPr id="4" name="图片 3">
          <a:extLst>
            <a:ext uri="{FF2B5EF4-FFF2-40B4-BE49-F238E27FC236}">
              <a16:creationId xmlns="" xmlns:a16="http://schemas.microsoft.com/office/drawing/2014/main" id="{19D03A4E-749A-43E7-8511-EA541CAD9DDD}"/>
            </a:ext>
          </a:extLst>
        </xdr:cNvPr>
        <xdr:cNvPicPr>
          <a:picLocks noChangeAspect="1"/>
        </xdr:cNvPicPr>
      </xdr:nvPicPr>
      <xdr:blipFill>
        <a:blip xmlns:r="http://schemas.openxmlformats.org/officeDocument/2006/relationships" r:embed="rId3"/>
        <a:stretch>
          <a:fillRect/>
        </a:stretch>
      </xdr:blipFill>
      <xdr:spPr>
        <a:xfrm>
          <a:off x="0" y="9429750"/>
          <a:ext cx="11066667" cy="980958"/>
        </a:xfrm>
        <a:prstGeom prst="rect">
          <a:avLst/>
        </a:prstGeom>
      </xdr:spPr>
    </xdr:pic>
    <xdr:clientData/>
  </xdr:twoCellAnchor>
  <xdr:twoCellAnchor editAs="oneCell">
    <xdr:from>
      <xdr:col>0</xdr:col>
      <xdr:colOff>0</xdr:colOff>
      <xdr:row>61</xdr:row>
      <xdr:rowOff>0</xdr:rowOff>
    </xdr:from>
    <xdr:to>
      <xdr:col>8</xdr:col>
      <xdr:colOff>1408328</xdr:colOff>
      <xdr:row>67</xdr:row>
      <xdr:rowOff>37973</xdr:rowOff>
    </xdr:to>
    <xdr:pic>
      <xdr:nvPicPr>
        <xdr:cNvPr id="5" name="图片 4">
          <a:extLst>
            <a:ext uri="{FF2B5EF4-FFF2-40B4-BE49-F238E27FC236}">
              <a16:creationId xmlns="" xmlns:a16="http://schemas.microsoft.com/office/drawing/2014/main" id="{4D292378-49FD-4429-B81D-6D46937105A9}"/>
            </a:ext>
          </a:extLst>
        </xdr:cNvPr>
        <xdr:cNvPicPr>
          <a:picLocks noChangeAspect="1"/>
        </xdr:cNvPicPr>
      </xdr:nvPicPr>
      <xdr:blipFill>
        <a:blip xmlns:r="http://schemas.openxmlformats.org/officeDocument/2006/relationships" r:embed="rId4"/>
        <a:stretch>
          <a:fillRect/>
        </a:stretch>
      </xdr:blipFill>
      <xdr:spPr>
        <a:xfrm>
          <a:off x="0" y="10458450"/>
          <a:ext cx="10980953" cy="1066673"/>
        </a:xfrm>
        <a:prstGeom prst="rect">
          <a:avLst/>
        </a:prstGeom>
      </xdr:spPr>
    </xdr:pic>
    <xdr:clientData/>
  </xdr:twoCellAnchor>
  <xdr:twoCellAnchor editAs="oneCell">
    <xdr:from>
      <xdr:col>0</xdr:col>
      <xdr:colOff>0</xdr:colOff>
      <xdr:row>67</xdr:row>
      <xdr:rowOff>0</xdr:rowOff>
    </xdr:from>
    <xdr:to>
      <xdr:col>8</xdr:col>
      <xdr:colOff>1408328</xdr:colOff>
      <xdr:row>73</xdr:row>
      <xdr:rowOff>18925</xdr:rowOff>
    </xdr:to>
    <xdr:pic>
      <xdr:nvPicPr>
        <xdr:cNvPr id="6" name="图片 5">
          <a:extLst>
            <a:ext uri="{FF2B5EF4-FFF2-40B4-BE49-F238E27FC236}">
              <a16:creationId xmlns="" xmlns:a16="http://schemas.microsoft.com/office/drawing/2014/main" id="{C7628F6B-6413-47A9-BEAB-0B7AB4D17491}"/>
            </a:ext>
          </a:extLst>
        </xdr:cNvPr>
        <xdr:cNvPicPr>
          <a:picLocks noChangeAspect="1"/>
        </xdr:cNvPicPr>
      </xdr:nvPicPr>
      <xdr:blipFill>
        <a:blip xmlns:r="http://schemas.openxmlformats.org/officeDocument/2006/relationships" r:embed="rId5"/>
        <a:stretch>
          <a:fillRect/>
        </a:stretch>
      </xdr:blipFill>
      <xdr:spPr>
        <a:xfrm>
          <a:off x="0" y="11487150"/>
          <a:ext cx="10980953" cy="1047625"/>
        </a:xfrm>
        <a:prstGeom prst="rect">
          <a:avLst/>
        </a:prstGeom>
      </xdr:spPr>
    </xdr:pic>
    <xdr:clientData/>
  </xdr:twoCellAnchor>
  <xdr:twoCellAnchor editAs="oneCell">
    <xdr:from>
      <xdr:col>0</xdr:col>
      <xdr:colOff>0</xdr:colOff>
      <xdr:row>73</xdr:row>
      <xdr:rowOff>0</xdr:rowOff>
    </xdr:from>
    <xdr:to>
      <xdr:col>8</xdr:col>
      <xdr:colOff>1465471</xdr:colOff>
      <xdr:row>78</xdr:row>
      <xdr:rowOff>133232</xdr:rowOff>
    </xdr:to>
    <xdr:pic>
      <xdr:nvPicPr>
        <xdr:cNvPr id="7" name="图片 6">
          <a:extLst>
            <a:ext uri="{FF2B5EF4-FFF2-40B4-BE49-F238E27FC236}">
              <a16:creationId xmlns="" xmlns:a16="http://schemas.microsoft.com/office/drawing/2014/main" id="{058782B6-0945-4DD1-9FB3-508332B0F323}"/>
            </a:ext>
          </a:extLst>
        </xdr:cNvPr>
        <xdr:cNvPicPr>
          <a:picLocks noChangeAspect="1"/>
        </xdr:cNvPicPr>
      </xdr:nvPicPr>
      <xdr:blipFill>
        <a:blip xmlns:r="http://schemas.openxmlformats.org/officeDocument/2006/relationships" r:embed="rId6"/>
        <a:stretch>
          <a:fillRect/>
        </a:stretch>
      </xdr:blipFill>
      <xdr:spPr>
        <a:xfrm>
          <a:off x="0" y="12515850"/>
          <a:ext cx="11038096" cy="990482"/>
        </a:xfrm>
        <a:prstGeom prst="rect">
          <a:avLst/>
        </a:prstGeom>
      </xdr:spPr>
    </xdr:pic>
    <xdr:clientData/>
  </xdr:twoCellAnchor>
  <xdr:twoCellAnchor editAs="oneCell">
    <xdr:from>
      <xdr:col>0</xdr:col>
      <xdr:colOff>0</xdr:colOff>
      <xdr:row>81</xdr:row>
      <xdr:rowOff>0</xdr:rowOff>
    </xdr:from>
    <xdr:to>
      <xdr:col>9</xdr:col>
      <xdr:colOff>55757</xdr:colOff>
      <xdr:row>97</xdr:row>
      <xdr:rowOff>133009</xdr:rowOff>
    </xdr:to>
    <xdr:pic>
      <xdr:nvPicPr>
        <xdr:cNvPr id="8" name="图片 7">
          <a:extLst>
            <a:ext uri="{FF2B5EF4-FFF2-40B4-BE49-F238E27FC236}">
              <a16:creationId xmlns="" xmlns:a16="http://schemas.microsoft.com/office/drawing/2014/main" id="{01A6C4AB-FFAC-4038-B26E-C3D707053505}"/>
            </a:ext>
          </a:extLst>
        </xdr:cNvPr>
        <xdr:cNvPicPr>
          <a:picLocks noChangeAspect="1"/>
        </xdr:cNvPicPr>
      </xdr:nvPicPr>
      <xdr:blipFill>
        <a:blip xmlns:r="http://schemas.openxmlformats.org/officeDocument/2006/relationships" r:embed="rId7"/>
        <a:stretch>
          <a:fillRect/>
        </a:stretch>
      </xdr:blipFill>
      <xdr:spPr>
        <a:xfrm>
          <a:off x="0" y="13887450"/>
          <a:ext cx="11152382" cy="2876209"/>
        </a:xfrm>
        <a:prstGeom prst="rect">
          <a:avLst/>
        </a:prstGeom>
      </xdr:spPr>
    </xdr:pic>
    <xdr:clientData/>
  </xdr:twoCellAnchor>
  <xdr:twoCellAnchor editAs="oneCell">
    <xdr:from>
      <xdr:col>0</xdr:col>
      <xdr:colOff>0</xdr:colOff>
      <xdr:row>97</xdr:row>
      <xdr:rowOff>0</xdr:rowOff>
    </xdr:from>
    <xdr:to>
      <xdr:col>8</xdr:col>
      <xdr:colOff>1370233</xdr:colOff>
      <xdr:row>113</xdr:row>
      <xdr:rowOff>161581</xdr:rowOff>
    </xdr:to>
    <xdr:pic>
      <xdr:nvPicPr>
        <xdr:cNvPr id="9" name="图片 8">
          <a:extLst>
            <a:ext uri="{FF2B5EF4-FFF2-40B4-BE49-F238E27FC236}">
              <a16:creationId xmlns="" xmlns:a16="http://schemas.microsoft.com/office/drawing/2014/main" id="{996638D5-D167-4039-8264-9B386D0FA345}"/>
            </a:ext>
          </a:extLst>
        </xdr:cNvPr>
        <xdr:cNvPicPr>
          <a:picLocks noChangeAspect="1"/>
        </xdr:cNvPicPr>
      </xdr:nvPicPr>
      <xdr:blipFill>
        <a:blip xmlns:r="http://schemas.openxmlformats.org/officeDocument/2006/relationships" r:embed="rId8"/>
        <a:stretch>
          <a:fillRect/>
        </a:stretch>
      </xdr:blipFill>
      <xdr:spPr>
        <a:xfrm>
          <a:off x="0" y="16630650"/>
          <a:ext cx="10942858" cy="2904781"/>
        </a:xfrm>
        <a:prstGeom prst="rect">
          <a:avLst/>
        </a:prstGeom>
      </xdr:spPr>
    </xdr:pic>
    <xdr:clientData/>
  </xdr:twoCellAnchor>
  <xdr:twoCellAnchor editAs="oneCell">
    <xdr:from>
      <xdr:col>0</xdr:col>
      <xdr:colOff>0</xdr:colOff>
      <xdr:row>113</xdr:row>
      <xdr:rowOff>0</xdr:rowOff>
    </xdr:from>
    <xdr:to>
      <xdr:col>8</xdr:col>
      <xdr:colOff>1389281</xdr:colOff>
      <xdr:row>121</xdr:row>
      <xdr:rowOff>171267</xdr:rowOff>
    </xdr:to>
    <xdr:pic>
      <xdr:nvPicPr>
        <xdr:cNvPr id="10" name="图片 9">
          <a:extLst>
            <a:ext uri="{FF2B5EF4-FFF2-40B4-BE49-F238E27FC236}">
              <a16:creationId xmlns="" xmlns:a16="http://schemas.microsoft.com/office/drawing/2014/main" id="{D43A0FA9-2AAD-4534-96B7-B28533981E97}"/>
            </a:ext>
          </a:extLst>
        </xdr:cNvPr>
        <xdr:cNvPicPr>
          <a:picLocks noChangeAspect="1"/>
        </xdr:cNvPicPr>
      </xdr:nvPicPr>
      <xdr:blipFill>
        <a:blip xmlns:r="http://schemas.openxmlformats.org/officeDocument/2006/relationships" r:embed="rId9"/>
        <a:stretch>
          <a:fillRect/>
        </a:stretch>
      </xdr:blipFill>
      <xdr:spPr>
        <a:xfrm>
          <a:off x="0" y="19373850"/>
          <a:ext cx="10961906" cy="1542867"/>
        </a:xfrm>
        <a:prstGeom prst="rect">
          <a:avLst/>
        </a:prstGeom>
      </xdr:spPr>
    </xdr:pic>
    <xdr:clientData/>
  </xdr:twoCellAnchor>
  <xdr:twoCellAnchor editAs="oneCell">
    <xdr:from>
      <xdr:col>0</xdr:col>
      <xdr:colOff>0</xdr:colOff>
      <xdr:row>122</xdr:row>
      <xdr:rowOff>0</xdr:rowOff>
    </xdr:from>
    <xdr:to>
      <xdr:col>9</xdr:col>
      <xdr:colOff>17661</xdr:colOff>
      <xdr:row>135</xdr:row>
      <xdr:rowOff>161642</xdr:rowOff>
    </xdr:to>
    <xdr:pic>
      <xdr:nvPicPr>
        <xdr:cNvPr id="11" name="图片 10">
          <a:extLst>
            <a:ext uri="{FF2B5EF4-FFF2-40B4-BE49-F238E27FC236}">
              <a16:creationId xmlns="" xmlns:a16="http://schemas.microsoft.com/office/drawing/2014/main" id="{9B043E0A-AB6E-4DCA-8927-C09336D193CC}"/>
            </a:ext>
          </a:extLst>
        </xdr:cNvPr>
        <xdr:cNvPicPr>
          <a:picLocks noChangeAspect="1"/>
        </xdr:cNvPicPr>
      </xdr:nvPicPr>
      <xdr:blipFill>
        <a:blip xmlns:r="http://schemas.openxmlformats.org/officeDocument/2006/relationships" r:embed="rId10"/>
        <a:stretch>
          <a:fillRect/>
        </a:stretch>
      </xdr:blipFill>
      <xdr:spPr>
        <a:xfrm>
          <a:off x="0" y="20916900"/>
          <a:ext cx="11114286" cy="2390492"/>
        </a:xfrm>
        <a:prstGeom prst="rect">
          <a:avLst/>
        </a:prstGeom>
      </xdr:spPr>
    </xdr:pic>
    <xdr:clientData/>
  </xdr:twoCellAnchor>
  <xdr:twoCellAnchor editAs="oneCell">
    <xdr:from>
      <xdr:col>0</xdr:col>
      <xdr:colOff>0</xdr:colOff>
      <xdr:row>137</xdr:row>
      <xdr:rowOff>0</xdr:rowOff>
    </xdr:from>
    <xdr:to>
      <xdr:col>8</xdr:col>
      <xdr:colOff>1494042</xdr:colOff>
      <xdr:row>169</xdr:row>
      <xdr:rowOff>56493</xdr:rowOff>
    </xdr:to>
    <xdr:pic>
      <xdr:nvPicPr>
        <xdr:cNvPr id="12" name="图片 11">
          <a:extLst>
            <a:ext uri="{FF2B5EF4-FFF2-40B4-BE49-F238E27FC236}">
              <a16:creationId xmlns="" xmlns:a16="http://schemas.microsoft.com/office/drawing/2014/main" id="{181A72E7-97CF-4534-83D5-BF1F5AB0ECBE}"/>
            </a:ext>
          </a:extLst>
        </xdr:cNvPr>
        <xdr:cNvPicPr>
          <a:picLocks noChangeAspect="1"/>
        </xdr:cNvPicPr>
      </xdr:nvPicPr>
      <xdr:blipFill>
        <a:blip xmlns:r="http://schemas.openxmlformats.org/officeDocument/2006/relationships" r:embed="rId11"/>
        <a:stretch>
          <a:fillRect/>
        </a:stretch>
      </xdr:blipFill>
      <xdr:spPr>
        <a:xfrm>
          <a:off x="0" y="23488650"/>
          <a:ext cx="11066667" cy="5542893"/>
        </a:xfrm>
        <a:prstGeom prst="rect">
          <a:avLst/>
        </a:prstGeom>
      </xdr:spPr>
    </xdr:pic>
    <xdr:clientData/>
  </xdr:twoCellAnchor>
  <xdr:twoCellAnchor editAs="oneCell">
    <xdr:from>
      <xdr:col>0</xdr:col>
      <xdr:colOff>0</xdr:colOff>
      <xdr:row>168</xdr:row>
      <xdr:rowOff>0</xdr:rowOff>
    </xdr:from>
    <xdr:to>
      <xdr:col>9</xdr:col>
      <xdr:colOff>112900</xdr:colOff>
      <xdr:row>201</xdr:row>
      <xdr:rowOff>113616</xdr:rowOff>
    </xdr:to>
    <xdr:pic>
      <xdr:nvPicPr>
        <xdr:cNvPr id="13" name="图片 12">
          <a:extLst>
            <a:ext uri="{FF2B5EF4-FFF2-40B4-BE49-F238E27FC236}">
              <a16:creationId xmlns="" xmlns:a16="http://schemas.microsoft.com/office/drawing/2014/main" id="{9FC184FD-847B-4740-B4D0-5AEC94F5E6F1}"/>
            </a:ext>
          </a:extLst>
        </xdr:cNvPr>
        <xdr:cNvPicPr>
          <a:picLocks noChangeAspect="1"/>
        </xdr:cNvPicPr>
      </xdr:nvPicPr>
      <xdr:blipFill>
        <a:blip xmlns:r="http://schemas.openxmlformats.org/officeDocument/2006/relationships" r:embed="rId12"/>
        <a:stretch>
          <a:fillRect/>
        </a:stretch>
      </xdr:blipFill>
      <xdr:spPr>
        <a:xfrm>
          <a:off x="0" y="28803600"/>
          <a:ext cx="11209525" cy="5771466"/>
        </a:xfrm>
        <a:prstGeom prst="rect">
          <a:avLst/>
        </a:prstGeom>
      </xdr:spPr>
    </xdr:pic>
    <xdr:clientData/>
  </xdr:twoCellAnchor>
  <xdr:twoCellAnchor editAs="oneCell">
    <xdr:from>
      <xdr:col>0</xdr:col>
      <xdr:colOff>0</xdr:colOff>
      <xdr:row>200</xdr:row>
      <xdr:rowOff>0</xdr:rowOff>
    </xdr:from>
    <xdr:to>
      <xdr:col>8</xdr:col>
      <xdr:colOff>1436900</xdr:colOff>
      <xdr:row>206</xdr:row>
      <xdr:rowOff>28449</xdr:rowOff>
    </xdr:to>
    <xdr:pic>
      <xdr:nvPicPr>
        <xdr:cNvPr id="14" name="图片 13">
          <a:extLst>
            <a:ext uri="{FF2B5EF4-FFF2-40B4-BE49-F238E27FC236}">
              <a16:creationId xmlns="" xmlns:a16="http://schemas.microsoft.com/office/drawing/2014/main" id="{34EFFB35-DD50-40A8-B9A5-EF75D1107823}"/>
            </a:ext>
          </a:extLst>
        </xdr:cNvPr>
        <xdr:cNvPicPr>
          <a:picLocks noChangeAspect="1"/>
        </xdr:cNvPicPr>
      </xdr:nvPicPr>
      <xdr:blipFill>
        <a:blip xmlns:r="http://schemas.openxmlformats.org/officeDocument/2006/relationships" r:embed="rId13"/>
        <a:stretch>
          <a:fillRect/>
        </a:stretch>
      </xdr:blipFill>
      <xdr:spPr>
        <a:xfrm>
          <a:off x="0" y="34290000"/>
          <a:ext cx="11009525" cy="1057149"/>
        </a:xfrm>
        <a:prstGeom prst="rect">
          <a:avLst/>
        </a:prstGeom>
      </xdr:spPr>
    </xdr:pic>
    <xdr:clientData/>
  </xdr:twoCellAnchor>
  <xdr:twoCellAnchor editAs="oneCell">
    <xdr:from>
      <xdr:col>0</xdr:col>
      <xdr:colOff>0</xdr:colOff>
      <xdr:row>208</xdr:row>
      <xdr:rowOff>0</xdr:rowOff>
    </xdr:from>
    <xdr:to>
      <xdr:col>9</xdr:col>
      <xdr:colOff>17661</xdr:colOff>
      <xdr:row>225</xdr:row>
      <xdr:rowOff>113941</xdr:rowOff>
    </xdr:to>
    <xdr:pic>
      <xdr:nvPicPr>
        <xdr:cNvPr id="15" name="图片 14">
          <a:extLst>
            <a:ext uri="{FF2B5EF4-FFF2-40B4-BE49-F238E27FC236}">
              <a16:creationId xmlns="" xmlns:a16="http://schemas.microsoft.com/office/drawing/2014/main" id="{868C55E1-AB38-4D96-91B1-C2ABE7668E3B}"/>
            </a:ext>
          </a:extLst>
        </xdr:cNvPr>
        <xdr:cNvPicPr>
          <a:picLocks noChangeAspect="1"/>
        </xdr:cNvPicPr>
      </xdr:nvPicPr>
      <xdr:blipFill>
        <a:blip xmlns:r="http://schemas.openxmlformats.org/officeDocument/2006/relationships" r:embed="rId14"/>
        <a:stretch>
          <a:fillRect/>
        </a:stretch>
      </xdr:blipFill>
      <xdr:spPr>
        <a:xfrm>
          <a:off x="0" y="35661600"/>
          <a:ext cx="11114286" cy="3028591"/>
        </a:xfrm>
        <a:prstGeom prst="rect">
          <a:avLst/>
        </a:prstGeom>
      </xdr:spPr>
    </xdr:pic>
    <xdr:clientData/>
  </xdr:twoCellAnchor>
  <xdr:twoCellAnchor editAs="oneCell">
    <xdr:from>
      <xdr:col>0</xdr:col>
      <xdr:colOff>0</xdr:colOff>
      <xdr:row>225</xdr:row>
      <xdr:rowOff>0</xdr:rowOff>
    </xdr:from>
    <xdr:to>
      <xdr:col>8</xdr:col>
      <xdr:colOff>1398804</xdr:colOff>
      <xdr:row>238</xdr:row>
      <xdr:rowOff>114022</xdr:rowOff>
    </xdr:to>
    <xdr:pic>
      <xdr:nvPicPr>
        <xdr:cNvPr id="16" name="图片 15">
          <a:extLst>
            <a:ext uri="{FF2B5EF4-FFF2-40B4-BE49-F238E27FC236}">
              <a16:creationId xmlns="" xmlns:a16="http://schemas.microsoft.com/office/drawing/2014/main" id="{EDB02269-CE79-408C-B2B1-CFB0B1577144}"/>
            </a:ext>
          </a:extLst>
        </xdr:cNvPr>
        <xdr:cNvPicPr>
          <a:picLocks noChangeAspect="1"/>
        </xdr:cNvPicPr>
      </xdr:nvPicPr>
      <xdr:blipFill>
        <a:blip xmlns:r="http://schemas.openxmlformats.org/officeDocument/2006/relationships" r:embed="rId15"/>
        <a:stretch>
          <a:fillRect/>
        </a:stretch>
      </xdr:blipFill>
      <xdr:spPr>
        <a:xfrm>
          <a:off x="0" y="38576250"/>
          <a:ext cx="10971429" cy="2342872"/>
        </a:xfrm>
        <a:prstGeom prst="rect">
          <a:avLst/>
        </a:prstGeom>
      </xdr:spPr>
    </xdr:pic>
    <xdr:clientData/>
  </xdr:twoCellAnchor>
  <xdr:twoCellAnchor editAs="oneCell">
    <xdr:from>
      <xdr:col>0</xdr:col>
      <xdr:colOff>0</xdr:colOff>
      <xdr:row>238</xdr:row>
      <xdr:rowOff>0</xdr:rowOff>
    </xdr:from>
    <xdr:to>
      <xdr:col>8</xdr:col>
      <xdr:colOff>1370233</xdr:colOff>
      <xdr:row>244</xdr:row>
      <xdr:rowOff>37973</xdr:rowOff>
    </xdr:to>
    <xdr:pic>
      <xdr:nvPicPr>
        <xdr:cNvPr id="17" name="图片 16">
          <a:extLst>
            <a:ext uri="{FF2B5EF4-FFF2-40B4-BE49-F238E27FC236}">
              <a16:creationId xmlns="" xmlns:a16="http://schemas.microsoft.com/office/drawing/2014/main" id="{C5056F0F-02BA-4329-8B9B-4CE5561E7460}"/>
            </a:ext>
          </a:extLst>
        </xdr:cNvPr>
        <xdr:cNvPicPr>
          <a:picLocks noChangeAspect="1"/>
        </xdr:cNvPicPr>
      </xdr:nvPicPr>
      <xdr:blipFill>
        <a:blip xmlns:r="http://schemas.openxmlformats.org/officeDocument/2006/relationships" r:embed="rId16"/>
        <a:stretch>
          <a:fillRect/>
        </a:stretch>
      </xdr:blipFill>
      <xdr:spPr>
        <a:xfrm>
          <a:off x="0" y="40805100"/>
          <a:ext cx="10942858" cy="1066673"/>
        </a:xfrm>
        <a:prstGeom prst="rect">
          <a:avLst/>
        </a:prstGeom>
      </xdr:spPr>
    </xdr:pic>
    <xdr:clientData/>
  </xdr:twoCellAnchor>
  <xdr:twoCellAnchor editAs="oneCell">
    <xdr:from>
      <xdr:col>0</xdr:col>
      <xdr:colOff>0</xdr:colOff>
      <xdr:row>244</xdr:row>
      <xdr:rowOff>0</xdr:rowOff>
    </xdr:from>
    <xdr:to>
      <xdr:col>8</xdr:col>
      <xdr:colOff>1398804</xdr:colOff>
      <xdr:row>271</xdr:row>
      <xdr:rowOff>104215</xdr:rowOff>
    </xdr:to>
    <xdr:pic>
      <xdr:nvPicPr>
        <xdr:cNvPr id="18" name="图片 17">
          <a:extLst>
            <a:ext uri="{FF2B5EF4-FFF2-40B4-BE49-F238E27FC236}">
              <a16:creationId xmlns="" xmlns:a16="http://schemas.microsoft.com/office/drawing/2014/main" id="{9F8CF5EB-9F74-41DC-97BE-105530FAD520}"/>
            </a:ext>
          </a:extLst>
        </xdr:cNvPr>
        <xdr:cNvPicPr>
          <a:picLocks noChangeAspect="1"/>
        </xdr:cNvPicPr>
      </xdr:nvPicPr>
      <xdr:blipFill>
        <a:blip xmlns:r="http://schemas.openxmlformats.org/officeDocument/2006/relationships" r:embed="rId17"/>
        <a:stretch>
          <a:fillRect/>
        </a:stretch>
      </xdr:blipFill>
      <xdr:spPr>
        <a:xfrm>
          <a:off x="0" y="41833800"/>
          <a:ext cx="10971429" cy="4733365"/>
        </a:xfrm>
        <a:prstGeom prst="rect">
          <a:avLst/>
        </a:prstGeom>
      </xdr:spPr>
    </xdr:pic>
    <xdr:clientData/>
  </xdr:twoCellAnchor>
  <xdr:twoCellAnchor editAs="oneCell">
    <xdr:from>
      <xdr:col>0</xdr:col>
      <xdr:colOff>0</xdr:colOff>
      <xdr:row>272</xdr:row>
      <xdr:rowOff>0</xdr:rowOff>
    </xdr:from>
    <xdr:to>
      <xdr:col>9</xdr:col>
      <xdr:colOff>160519</xdr:colOff>
      <xdr:row>290</xdr:row>
      <xdr:rowOff>37730</xdr:rowOff>
    </xdr:to>
    <xdr:pic>
      <xdr:nvPicPr>
        <xdr:cNvPr id="19" name="图片 18">
          <a:extLst>
            <a:ext uri="{FF2B5EF4-FFF2-40B4-BE49-F238E27FC236}">
              <a16:creationId xmlns="" xmlns:a16="http://schemas.microsoft.com/office/drawing/2014/main" id="{9056B6CA-C4F4-45D5-900E-55CE6F25EE88}"/>
            </a:ext>
          </a:extLst>
        </xdr:cNvPr>
        <xdr:cNvPicPr>
          <a:picLocks noChangeAspect="1"/>
        </xdr:cNvPicPr>
      </xdr:nvPicPr>
      <xdr:blipFill>
        <a:blip xmlns:r="http://schemas.openxmlformats.org/officeDocument/2006/relationships" r:embed="rId18"/>
        <a:stretch>
          <a:fillRect/>
        </a:stretch>
      </xdr:blipFill>
      <xdr:spPr>
        <a:xfrm>
          <a:off x="0" y="46634400"/>
          <a:ext cx="11257144" cy="3123830"/>
        </a:xfrm>
        <a:prstGeom prst="rect">
          <a:avLst/>
        </a:prstGeom>
      </xdr:spPr>
    </xdr:pic>
    <xdr:clientData/>
  </xdr:twoCellAnchor>
  <xdr:twoCellAnchor editAs="oneCell">
    <xdr:from>
      <xdr:col>0</xdr:col>
      <xdr:colOff>0</xdr:colOff>
      <xdr:row>289</xdr:row>
      <xdr:rowOff>0</xdr:rowOff>
    </xdr:from>
    <xdr:to>
      <xdr:col>8</xdr:col>
      <xdr:colOff>1313090</xdr:colOff>
      <xdr:row>304</xdr:row>
      <xdr:rowOff>28267</xdr:rowOff>
    </xdr:to>
    <xdr:pic>
      <xdr:nvPicPr>
        <xdr:cNvPr id="20" name="图片 19">
          <a:extLst>
            <a:ext uri="{FF2B5EF4-FFF2-40B4-BE49-F238E27FC236}">
              <a16:creationId xmlns="" xmlns:a16="http://schemas.microsoft.com/office/drawing/2014/main" id="{304F476F-FB1E-4CA3-B7E3-00194B163B43}"/>
            </a:ext>
          </a:extLst>
        </xdr:cNvPr>
        <xdr:cNvPicPr>
          <a:picLocks noChangeAspect="1"/>
        </xdr:cNvPicPr>
      </xdr:nvPicPr>
      <xdr:blipFill>
        <a:blip xmlns:r="http://schemas.openxmlformats.org/officeDocument/2006/relationships" r:embed="rId19"/>
        <a:stretch>
          <a:fillRect/>
        </a:stretch>
      </xdr:blipFill>
      <xdr:spPr>
        <a:xfrm>
          <a:off x="0" y="49549050"/>
          <a:ext cx="10885715" cy="2600017"/>
        </a:xfrm>
        <a:prstGeom prst="rect">
          <a:avLst/>
        </a:prstGeom>
      </xdr:spPr>
    </xdr:pic>
    <xdr:clientData/>
  </xdr:twoCellAnchor>
  <xdr:twoCellAnchor editAs="oneCell">
    <xdr:from>
      <xdr:col>0</xdr:col>
      <xdr:colOff>0</xdr:colOff>
      <xdr:row>304</xdr:row>
      <xdr:rowOff>0</xdr:rowOff>
    </xdr:from>
    <xdr:to>
      <xdr:col>8</xdr:col>
      <xdr:colOff>1408328</xdr:colOff>
      <xdr:row>337</xdr:row>
      <xdr:rowOff>37425</xdr:rowOff>
    </xdr:to>
    <xdr:pic>
      <xdr:nvPicPr>
        <xdr:cNvPr id="21" name="图片 20">
          <a:extLst>
            <a:ext uri="{FF2B5EF4-FFF2-40B4-BE49-F238E27FC236}">
              <a16:creationId xmlns="" xmlns:a16="http://schemas.microsoft.com/office/drawing/2014/main" id="{BAC396A9-F683-4747-BD5D-35794EDF637F}"/>
            </a:ext>
          </a:extLst>
        </xdr:cNvPr>
        <xdr:cNvPicPr>
          <a:picLocks noChangeAspect="1"/>
        </xdr:cNvPicPr>
      </xdr:nvPicPr>
      <xdr:blipFill>
        <a:blip xmlns:r="http://schemas.openxmlformats.org/officeDocument/2006/relationships" r:embed="rId20"/>
        <a:stretch>
          <a:fillRect/>
        </a:stretch>
      </xdr:blipFill>
      <xdr:spPr>
        <a:xfrm>
          <a:off x="0" y="52120800"/>
          <a:ext cx="10980953" cy="5695275"/>
        </a:xfrm>
        <a:prstGeom prst="rect">
          <a:avLst/>
        </a:prstGeom>
      </xdr:spPr>
    </xdr:pic>
    <xdr:clientData/>
  </xdr:twoCellAnchor>
  <xdr:twoCellAnchor editAs="oneCell">
    <xdr:from>
      <xdr:col>0</xdr:col>
      <xdr:colOff>0</xdr:colOff>
      <xdr:row>336</xdr:row>
      <xdr:rowOff>0</xdr:rowOff>
    </xdr:from>
    <xdr:to>
      <xdr:col>8</xdr:col>
      <xdr:colOff>1398804</xdr:colOff>
      <xdr:row>352</xdr:row>
      <xdr:rowOff>18723</xdr:rowOff>
    </xdr:to>
    <xdr:pic>
      <xdr:nvPicPr>
        <xdr:cNvPr id="22" name="图片 21">
          <a:extLst>
            <a:ext uri="{FF2B5EF4-FFF2-40B4-BE49-F238E27FC236}">
              <a16:creationId xmlns="" xmlns:a16="http://schemas.microsoft.com/office/drawing/2014/main" id="{2F907A73-14BE-4675-8D4D-09FFF0891492}"/>
            </a:ext>
          </a:extLst>
        </xdr:cNvPr>
        <xdr:cNvPicPr>
          <a:picLocks noChangeAspect="1"/>
        </xdr:cNvPicPr>
      </xdr:nvPicPr>
      <xdr:blipFill>
        <a:blip xmlns:r="http://schemas.openxmlformats.org/officeDocument/2006/relationships" r:embed="rId21"/>
        <a:stretch>
          <a:fillRect/>
        </a:stretch>
      </xdr:blipFill>
      <xdr:spPr>
        <a:xfrm>
          <a:off x="0" y="57607200"/>
          <a:ext cx="10971429" cy="2761923"/>
        </a:xfrm>
        <a:prstGeom prst="rect">
          <a:avLst/>
        </a:prstGeom>
      </xdr:spPr>
    </xdr:pic>
    <xdr:clientData/>
  </xdr:twoCellAnchor>
  <xdr:twoCellAnchor editAs="oneCell">
    <xdr:from>
      <xdr:col>0</xdr:col>
      <xdr:colOff>0</xdr:colOff>
      <xdr:row>352</xdr:row>
      <xdr:rowOff>0</xdr:rowOff>
    </xdr:from>
    <xdr:to>
      <xdr:col>8</xdr:col>
      <xdr:colOff>1389281</xdr:colOff>
      <xdr:row>385</xdr:row>
      <xdr:rowOff>46949</xdr:rowOff>
    </xdr:to>
    <xdr:pic>
      <xdr:nvPicPr>
        <xdr:cNvPr id="23" name="图片 22">
          <a:extLst>
            <a:ext uri="{FF2B5EF4-FFF2-40B4-BE49-F238E27FC236}">
              <a16:creationId xmlns="" xmlns:a16="http://schemas.microsoft.com/office/drawing/2014/main" id="{21F79E7F-41AB-45BB-A6B6-163CEFDC9DF9}"/>
            </a:ext>
          </a:extLst>
        </xdr:cNvPr>
        <xdr:cNvPicPr>
          <a:picLocks noChangeAspect="1"/>
        </xdr:cNvPicPr>
      </xdr:nvPicPr>
      <xdr:blipFill>
        <a:blip xmlns:r="http://schemas.openxmlformats.org/officeDocument/2006/relationships" r:embed="rId22"/>
        <a:stretch>
          <a:fillRect/>
        </a:stretch>
      </xdr:blipFill>
      <xdr:spPr>
        <a:xfrm>
          <a:off x="0" y="60350400"/>
          <a:ext cx="10961906" cy="57047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11</xdr:col>
      <xdr:colOff>465325</xdr:colOff>
      <xdr:row>33</xdr:row>
      <xdr:rowOff>142472</xdr:rowOff>
    </xdr:to>
    <xdr:pic>
      <xdr:nvPicPr>
        <xdr:cNvPr id="2" name="图片 1">
          <a:extLst>
            <a:ext uri="{FF2B5EF4-FFF2-40B4-BE49-F238E27FC236}">
              <a16:creationId xmlns="" xmlns:a16="http://schemas.microsoft.com/office/drawing/2014/main" id="{21F7AEE3-D844-4323-A15E-390D2852E070}"/>
            </a:ext>
          </a:extLst>
        </xdr:cNvPr>
        <xdr:cNvPicPr>
          <a:picLocks noChangeAspect="1"/>
        </xdr:cNvPicPr>
      </xdr:nvPicPr>
      <xdr:blipFill>
        <a:blip xmlns:r="http://schemas.openxmlformats.org/officeDocument/2006/relationships" r:embed="rId1"/>
        <a:stretch>
          <a:fillRect/>
        </a:stretch>
      </xdr:blipFill>
      <xdr:spPr>
        <a:xfrm>
          <a:off x="0" y="2571750"/>
          <a:ext cx="11209525" cy="3228572"/>
        </a:xfrm>
        <a:prstGeom prst="rect">
          <a:avLst/>
        </a:prstGeom>
      </xdr:spPr>
    </xdr:pic>
    <xdr:clientData/>
  </xdr:twoCellAnchor>
  <xdr:twoCellAnchor editAs="oneCell">
    <xdr:from>
      <xdr:col>0</xdr:col>
      <xdr:colOff>0</xdr:colOff>
      <xdr:row>33</xdr:row>
      <xdr:rowOff>0</xdr:rowOff>
    </xdr:from>
    <xdr:to>
      <xdr:col>11</xdr:col>
      <xdr:colOff>160563</xdr:colOff>
      <xdr:row>60</xdr:row>
      <xdr:rowOff>113707</xdr:rowOff>
    </xdr:to>
    <xdr:pic>
      <xdr:nvPicPr>
        <xdr:cNvPr id="3" name="图片 2">
          <a:extLst>
            <a:ext uri="{FF2B5EF4-FFF2-40B4-BE49-F238E27FC236}">
              <a16:creationId xmlns="" xmlns:a16="http://schemas.microsoft.com/office/drawing/2014/main" id="{85930579-27DF-49B2-A4F0-38E4FCB3666D}"/>
            </a:ext>
          </a:extLst>
        </xdr:cNvPr>
        <xdr:cNvPicPr>
          <a:picLocks noChangeAspect="1"/>
        </xdr:cNvPicPr>
      </xdr:nvPicPr>
      <xdr:blipFill>
        <a:blip xmlns:r="http://schemas.openxmlformats.org/officeDocument/2006/relationships" r:embed="rId2"/>
        <a:stretch>
          <a:fillRect/>
        </a:stretch>
      </xdr:blipFill>
      <xdr:spPr>
        <a:xfrm>
          <a:off x="0" y="5657850"/>
          <a:ext cx="10904763" cy="4742857"/>
        </a:xfrm>
        <a:prstGeom prst="rect">
          <a:avLst/>
        </a:prstGeom>
      </xdr:spPr>
    </xdr:pic>
    <xdr:clientData/>
  </xdr:twoCellAnchor>
  <xdr:twoCellAnchor editAs="oneCell">
    <xdr:from>
      <xdr:col>0</xdr:col>
      <xdr:colOff>0</xdr:colOff>
      <xdr:row>59</xdr:row>
      <xdr:rowOff>0</xdr:rowOff>
    </xdr:from>
    <xdr:to>
      <xdr:col>11</xdr:col>
      <xdr:colOff>293896</xdr:colOff>
      <xdr:row>68</xdr:row>
      <xdr:rowOff>28379</xdr:rowOff>
    </xdr:to>
    <xdr:pic>
      <xdr:nvPicPr>
        <xdr:cNvPr id="4" name="图片 3">
          <a:extLst>
            <a:ext uri="{FF2B5EF4-FFF2-40B4-BE49-F238E27FC236}">
              <a16:creationId xmlns="" xmlns:a16="http://schemas.microsoft.com/office/drawing/2014/main" id="{405C3F85-A759-4269-8968-018F20A8209F}"/>
            </a:ext>
          </a:extLst>
        </xdr:cNvPr>
        <xdr:cNvPicPr>
          <a:picLocks noChangeAspect="1"/>
        </xdr:cNvPicPr>
      </xdr:nvPicPr>
      <xdr:blipFill>
        <a:blip xmlns:r="http://schemas.openxmlformats.org/officeDocument/2006/relationships" r:embed="rId3"/>
        <a:stretch>
          <a:fillRect/>
        </a:stretch>
      </xdr:blipFill>
      <xdr:spPr>
        <a:xfrm>
          <a:off x="0" y="10115550"/>
          <a:ext cx="11038096" cy="1571429"/>
        </a:xfrm>
        <a:prstGeom prst="rect">
          <a:avLst/>
        </a:prstGeom>
      </xdr:spPr>
    </xdr:pic>
    <xdr:clientData/>
  </xdr:twoCellAnchor>
  <xdr:twoCellAnchor editAs="oneCell">
    <xdr:from>
      <xdr:col>0</xdr:col>
      <xdr:colOff>0</xdr:colOff>
      <xdr:row>68</xdr:row>
      <xdr:rowOff>0</xdr:rowOff>
    </xdr:from>
    <xdr:to>
      <xdr:col>11</xdr:col>
      <xdr:colOff>265325</xdr:colOff>
      <xdr:row>75</xdr:row>
      <xdr:rowOff>18898</xdr:rowOff>
    </xdr:to>
    <xdr:pic>
      <xdr:nvPicPr>
        <xdr:cNvPr id="5" name="图片 4">
          <a:extLst>
            <a:ext uri="{FF2B5EF4-FFF2-40B4-BE49-F238E27FC236}">
              <a16:creationId xmlns="" xmlns:a16="http://schemas.microsoft.com/office/drawing/2014/main" id="{AC335EE9-9022-424D-AA29-DB88B0586542}"/>
            </a:ext>
          </a:extLst>
        </xdr:cNvPr>
        <xdr:cNvPicPr>
          <a:picLocks noChangeAspect="1"/>
        </xdr:cNvPicPr>
      </xdr:nvPicPr>
      <xdr:blipFill>
        <a:blip xmlns:r="http://schemas.openxmlformats.org/officeDocument/2006/relationships" r:embed="rId4"/>
        <a:stretch>
          <a:fillRect/>
        </a:stretch>
      </xdr:blipFill>
      <xdr:spPr>
        <a:xfrm>
          <a:off x="0" y="11658600"/>
          <a:ext cx="11009525" cy="1219048"/>
        </a:xfrm>
        <a:prstGeom prst="rect">
          <a:avLst/>
        </a:prstGeom>
      </xdr:spPr>
    </xdr:pic>
    <xdr:clientData/>
  </xdr:twoCellAnchor>
  <xdr:twoCellAnchor editAs="oneCell">
    <xdr:from>
      <xdr:col>0</xdr:col>
      <xdr:colOff>0</xdr:colOff>
      <xdr:row>76</xdr:row>
      <xdr:rowOff>0</xdr:rowOff>
    </xdr:from>
    <xdr:to>
      <xdr:col>11</xdr:col>
      <xdr:colOff>455801</xdr:colOff>
      <xdr:row>94</xdr:row>
      <xdr:rowOff>151995</xdr:rowOff>
    </xdr:to>
    <xdr:pic>
      <xdr:nvPicPr>
        <xdr:cNvPr id="6" name="图片 5">
          <a:extLst>
            <a:ext uri="{FF2B5EF4-FFF2-40B4-BE49-F238E27FC236}">
              <a16:creationId xmlns="" xmlns:a16="http://schemas.microsoft.com/office/drawing/2014/main" id="{DBAF15EB-60B2-43D8-861E-0543C94D479D}"/>
            </a:ext>
          </a:extLst>
        </xdr:cNvPr>
        <xdr:cNvPicPr>
          <a:picLocks noChangeAspect="1"/>
        </xdr:cNvPicPr>
      </xdr:nvPicPr>
      <xdr:blipFill>
        <a:blip xmlns:r="http://schemas.openxmlformats.org/officeDocument/2006/relationships" r:embed="rId5"/>
        <a:stretch>
          <a:fillRect/>
        </a:stretch>
      </xdr:blipFill>
      <xdr:spPr>
        <a:xfrm>
          <a:off x="0" y="13030200"/>
          <a:ext cx="11200001" cy="3238095"/>
        </a:xfrm>
        <a:prstGeom prst="rect">
          <a:avLst/>
        </a:prstGeom>
      </xdr:spPr>
    </xdr:pic>
    <xdr:clientData/>
  </xdr:twoCellAnchor>
  <xdr:twoCellAnchor editAs="oneCell">
    <xdr:from>
      <xdr:col>0</xdr:col>
      <xdr:colOff>0</xdr:colOff>
      <xdr:row>94</xdr:row>
      <xdr:rowOff>0</xdr:rowOff>
    </xdr:from>
    <xdr:to>
      <xdr:col>11</xdr:col>
      <xdr:colOff>131991</xdr:colOff>
      <xdr:row>124</xdr:row>
      <xdr:rowOff>27929</xdr:rowOff>
    </xdr:to>
    <xdr:pic>
      <xdr:nvPicPr>
        <xdr:cNvPr id="7" name="图片 6">
          <a:extLst>
            <a:ext uri="{FF2B5EF4-FFF2-40B4-BE49-F238E27FC236}">
              <a16:creationId xmlns="" xmlns:a16="http://schemas.microsoft.com/office/drawing/2014/main" id="{35127A3C-0EC9-41C9-AEB2-D1B1A1CD1A44}"/>
            </a:ext>
          </a:extLst>
        </xdr:cNvPr>
        <xdr:cNvPicPr>
          <a:picLocks noChangeAspect="1"/>
        </xdr:cNvPicPr>
      </xdr:nvPicPr>
      <xdr:blipFill>
        <a:blip xmlns:r="http://schemas.openxmlformats.org/officeDocument/2006/relationships" r:embed="rId6"/>
        <a:stretch>
          <a:fillRect/>
        </a:stretch>
      </xdr:blipFill>
      <xdr:spPr>
        <a:xfrm>
          <a:off x="0" y="16116300"/>
          <a:ext cx="10876191" cy="5171429"/>
        </a:xfrm>
        <a:prstGeom prst="rect">
          <a:avLst/>
        </a:prstGeom>
      </xdr:spPr>
    </xdr:pic>
    <xdr:clientData/>
  </xdr:twoCellAnchor>
  <xdr:twoCellAnchor editAs="oneCell">
    <xdr:from>
      <xdr:col>0</xdr:col>
      <xdr:colOff>0</xdr:colOff>
      <xdr:row>123</xdr:row>
      <xdr:rowOff>0</xdr:rowOff>
    </xdr:from>
    <xdr:to>
      <xdr:col>11</xdr:col>
      <xdr:colOff>65325</xdr:colOff>
      <xdr:row>133</xdr:row>
      <xdr:rowOff>66453</xdr:rowOff>
    </xdr:to>
    <xdr:pic>
      <xdr:nvPicPr>
        <xdr:cNvPr id="8" name="图片 7">
          <a:extLst>
            <a:ext uri="{FF2B5EF4-FFF2-40B4-BE49-F238E27FC236}">
              <a16:creationId xmlns="" xmlns:a16="http://schemas.microsoft.com/office/drawing/2014/main" id="{06B3D0A5-FC44-467E-8D44-66B7F43AC742}"/>
            </a:ext>
          </a:extLst>
        </xdr:cNvPr>
        <xdr:cNvPicPr>
          <a:picLocks noChangeAspect="1"/>
        </xdr:cNvPicPr>
      </xdr:nvPicPr>
      <xdr:blipFill>
        <a:blip xmlns:r="http://schemas.openxmlformats.org/officeDocument/2006/relationships" r:embed="rId7"/>
        <a:stretch>
          <a:fillRect/>
        </a:stretch>
      </xdr:blipFill>
      <xdr:spPr>
        <a:xfrm>
          <a:off x="0" y="21088350"/>
          <a:ext cx="10809525" cy="1780953"/>
        </a:xfrm>
        <a:prstGeom prst="rect">
          <a:avLst/>
        </a:prstGeom>
      </xdr:spPr>
    </xdr:pic>
    <xdr:clientData/>
  </xdr:twoCellAnchor>
  <xdr:twoCellAnchor editAs="oneCell">
    <xdr:from>
      <xdr:col>0</xdr:col>
      <xdr:colOff>0</xdr:colOff>
      <xdr:row>133</xdr:row>
      <xdr:rowOff>0</xdr:rowOff>
    </xdr:from>
    <xdr:to>
      <xdr:col>11</xdr:col>
      <xdr:colOff>189134</xdr:colOff>
      <xdr:row>151</xdr:row>
      <xdr:rowOff>161519</xdr:rowOff>
    </xdr:to>
    <xdr:pic>
      <xdr:nvPicPr>
        <xdr:cNvPr id="9" name="图片 8">
          <a:extLst>
            <a:ext uri="{FF2B5EF4-FFF2-40B4-BE49-F238E27FC236}">
              <a16:creationId xmlns="" xmlns:a16="http://schemas.microsoft.com/office/drawing/2014/main" id="{884AB89D-DF72-433D-AC44-576CAAE97E7B}"/>
            </a:ext>
          </a:extLst>
        </xdr:cNvPr>
        <xdr:cNvPicPr>
          <a:picLocks noChangeAspect="1"/>
        </xdr:cNvPicPr>
      </xdr:nvPicPr>
      <xdr:blipFill>
        <a:blip xmlns:r="http://schemas.openxmlformats.org/officeDocument/2006/relationships" r:embed="rId8"/>
        <a:stretch>
          <a:fillRect/>
        </a:stretch>
      </xdr:blipFill>
      <xdr:spPr>
        <a:xfrm>
          <a:off x="0" y="22802850"/>
          <a:ext cx="10933334" cy="3247619"/>
        </a:xfrm>
        <a:prstGeom prst="rect">
          <a:avLst/>
        </a:prstGeom>
      </xdr:spPr>
    </xdr:pic>
    <xdr:clientData/>
  </xdr:twoCellAnchor>
  <xdr:twoCellAnchor editAs="oneCell">
    <xdr:from>
      <xdr:col>0</xdr:col>
      <xdr:colOff>0</xdr:colOff>
      <xdr:row>153</xdr:row>
      <xdr:rowOff>0</xdr:rowOff>
    </xdr:from>
    <xdr:to>
      <xdr:col>11</xdr:col>
      <xdr:colOff>379610</xdr:colOff>
      <xdr:row>171</xdr:row>
      <xdr:rowOff>171043</xdr:rowOff>
    </xdr:to>
    <xdr:pic>
      <xdr:nvPicPr>
        <xdr:cNvPr id="10" name="图片 9">
          <a:extLst>
            <a:ext uri="{FF2B5EF4-FFF2-40B4-BE49-F238E27FC236}">
              <a16:creationId xmlns="" xmlns:a16="http://schemas.microsoft.com/office/drawing/2014/main" id="{7F773925-79E4-4B69-A11D-F5B25783DC84}"/>
            </a:ext>
          </a:extLst>
        </xdr:cNvPr>
        <xdr:cNvPicPr>
          <a:picLocks noChangeAspect="1"/>
        </xdr:cNvPicPr>
      </xdr:nvPicPr>
      <xdr:blipFill>
        <a:blip xmlns:r="http://schemas.openxmlformats.org/officeDocument/2006/relationships" r:embed="rId9"/>
        <a:stretch>
          <a:fillRect/>
        </a:stretch>
      </xdr:blipFill>
      <xdr:spPr>
        <a:xfrm>
          <a:off x="0" y="26231850"/>
          <a:ext cx="11123810" cy="3257143"/>
        </a:xfrm>
        <a:prstGeom prst="rect">
          <a:avLst/>
        </a:prstGeom>
      </xdr:spPr>
    </xdr:pic>
    <xdr:clientData/>
  </xdr:twoCellAnchor>
  <xdr:twoCellAnchor editAs="oneCell">
    <xdr:from>
      <xdr:col>0</xdr:col>
      <xdr:colOff>0</xdr:colOff>
      <xdr:row>171</xdr:row>
      <xdr:rowOff>0</xdr:rowOff>
    </xdr:from>
    <xdr:to>
      <xdr:col>11</xdr:col>
      <xdr:colOff>103420</xdr:colOff>
      <xdr:row>196</xdr:row>
      <xdr:rowOff>66131</xdr:rowOff>
    </xdr:to>
    <xdr:pic>
      <xdr:nvPicPr>
        <xdr:cNvPr id="11" name="图片 10">
          <a:extLst>
            <a:ext uri="{FF2B5EF4-FFF2-40B4-BE49-F238E27FC236}">
              <a16:creationId xmlns="" xmlns:a16="http://schemas.microsoft.com/office/drawing/2014/main" id="{8C08961D-B7C4-4209-8B84-7F17C11D85E9}"/>
            </a:ext>
          </a:extLst>
        </xdr:cNvPr>
        <xdr:cNvPicPr>
          <a:picLocks noChangeAspect="1"/>
        </xdr:cNvPicPr>
      </xdr:nvPicPr>
      <xdr:blipFill>
        <a:blip xmlns:r="http://schemas.openxmlformats.org/officeDocument/2006/relationships" r:embed="rId10"/>
        <a:stretch>
          <a:fillRect/>
        </a:stretch>
      </xdr:blipFill>
      <xdr:spPr>
        <a:xfrm>
          <a:off x="0" y="29317950"/>
          <a:ext cx="10847620" cy="4352381"/>
        </a:xfrm>
        <a:prstGeom prst="rect">
          <a:avLst/>
        </a:prstGeom>
      </xdr:spPr>
    </xdr:pic>
    <xdr:clientData/>
  </xdr:twoCellAnchor>
  <xdr:twoCellAnchor editAs="oneCell">
    <xdr:from>
      <xdr:col>0</xdr:col>
      <xdr:colOff>0</xdr:colOff>
      <xdr:row>195</xdr:row>
      <xdr:rowOff>0</xdr:rowOff>
    </xdr:from>
    <xdr:to>
      <xdr:col>11</xdr:col>
      <xdr:colOff>236753</xdr:colOff>
      <xdr:row>201</xdr:row>
      <xdr:rowOff>57014</xdr:rowOff>
    </xdr:to>
    <xdr:pic>
      <xdr:nvPicPr>
        <xdr:cNvPr id="12" name="图片 11">
          <a:extLst>
            <a:ext uri="{FF2B5EF4-FFF2-40B4-BE49-F238E27FC236}">
              <a16:creationId xmlns="" xmlns:a16="http://schemas.microsoft.com/office/drawing/2014/main" id="{CDC234B3-5D83-4480-9EE7-4C247BD59B0C}"/>
            </a:ext>
          </a:extLst>
        </xdr:cNvPr>
        <xdr:cNvPicPr>
          <a:picLocks noChangeAspect="1"/>
        </xdr:cNvPicPr>
      </xdr:nvPicPr>
      <xdr:blipFill>
        <a:blip xmlns:r="http://schemas.openxmlformats.org/officeDocument/2006/relationships" r:embed="rId11"/>
        <a:stretch>
          <a:fillRect/>
        </a:stretch>
      </xdr:blipFill>
      <xdr:spPr>
        <a:xfrm>
          <a:off x="0" y="33432750"/>
          <a:ext cx="10980953" cy="1085714"/>
        </a:xfrm>
        <a:prstGeom prst="rect">
          <a:avLst/>
        </a:prstGeom>
      </xdr:spPr>
    </xdr:pic>
    <xdr:clientData/>
  </xdr:twoCellAnchor>
  <xdr:twoCellAnchor editAs="oneCell">
    <xdr:from>
      <xdr:col>0</xdr:col>
      <xdr:colOff>0</xdr:colOff>
      <xdr:row>203</xdr:row>
      <xdr:rowOff>0</xdr:rowOff>
    </xdr:from>
    <xdr:to>
      <xdr:col>11</xdr:col>
      <xdr:colOff>379610</xdr:colOff>
      <xdr:row>221</xdr:row>
      <xdr:rowOff>161519</xdr:rowOff>
    </xdr:to>
    <xdr:pic>
      <xdr:nvPicPr>
        <xdr:cNvPr id="13" name="图片 12">
          <a:extLst>
            <a:ext uri="{FF2B5EF4-FFF2-40B4-BE49-F238E27FC236}">
              <a16:creationId xmlns="" xmlns:a16="http://schemas.microsoft.com/office/drawing/2014/main" id="{16A6D15E-B35D-4B1E-B5A6-BC5886F2DFA2}"/>
            </a:ext>
          </a:extLst>
        </xdr:cNvPr>
        <xdr:cNvPicPr>
          <a:picLocks noChangeAspect="1"/>
        </xdr:cNvPicPr>
      </xdr:nvPicPr>
      <xdr:blipFill>
        <a:blip xmlns:r="http://schemas.openxmlformats.org/officeDocument/2006/relationships" r:embed="rId12"/>
        <a:stretch>
          <a:fillRect/>
        </a:stretch>
      </xdr:blipFill>
      <xdr:spPr>
        <a:xfrm>
          <a:off x="0" y="34804350"/>
          <a:ext cx="11123810" cy="3247619"/>
        </a:xfrm>
        <a:prstGeom prst="rect">
          <a:avLst/>
        </a:prstGeom>
      </xdr:spPr>
    </xdr:pic>
    <xdr:clientData/>
  </xdr:twoCellAnchor>
  <xdr:twoCellAnchor editAs="oneCell">
    <xdr:from>
      <xdr:col>0</xdr:col>
      <xdr:colOff>0</xdr:colOff>
      <xdr:row>221</xdr:row>
      <xdr:rowOff>0</xdr:rowOff>
    </xdr:from>
    <xdr:to>
      <xdr:col>11</xdr:col>
      <xdr:colOff>293896</xdr:colOff>
      <xdr:row>250</xdr:row>
      <xdr:rowOff>27950</xdr:rowOff>
    </xdr:to>
    <xdr:pic>
      <xdr:nvPicPr>
        <xdr:cNvPr id="14" name="图片 13">
          <a:extLst>
            <a:ext uri="{FF2B5EF4-FFF2-40B4-BE49-F238E27FC236}">
              <a16:creationId xmlns="" xmlns:a16="http://schemas.microsoft.com/office/drawing/2014/main" id="{1A265F04-74B7-411B-9F5D-7ECFB707AD42}"/>
            </a:ext>
          </a:extLst>
        </xdr:cNvPr>
        <xdr:cNvPicPr>
          <a:picLocks noChangeAspect="1"/>
        </xdr:cNvPicPr>
      </xdr:nvPicPr>
      <xdr:blipFill>
        <a:blip xmlns:r="http://schemas.openxmlformats.org/officeDocument/2006/relationships" r:embed="rId13"/>
        <a:stretch>
          <a:fillRect/>
        </a:stretch>
      </xdr:blipFill>
      <xdr:spPr>
        <a:xfrm>
          <a:off x="0" y="37890450"/>
          <a:ext cx="11038096" cy="5000000"/>
        </a:xfrm>
        <a:prstGeom prst="rect">
          <a:avLst/>
        </a:prstGeom>
      </xdr:spPr>
    </xdr:pic>
    <xdr:clientData/>
  </xdr:twoCellAnchor>
  <xdr:twoCellAnchor editAs="oneCell">
    <xdr:from>
      <xdr:col>0</xdr:col>
      <xdr:colOff>0</xdr:colOff>
      <xdr:row>249</xdr:row>
      <xdr:rowOff>0</xdr:rowOff>
    </xdr:from>
    <xdr:to>
      <xdr:col>11</xdr:col>
      <xdr:colOff>246277</xdr:colOff>
      <xdr:row>280</xdr:row>
      <xdr:rowOff>123146</xdr:rowOff>
    </xdr:to>
    <xdr:pic>
      <xdr:nvPicPr>
        <xdr:cNvPr id="15" name="图片 14">
          <a:extLst>
            <a:ext uri="{FF2B5EF4-FFF2-40B4-BE49-F238E27FC236}">
              <a16:creationId xmlns="" xmlns:a16="http://schemas.microsoft.com/office/drawing/2014/main" id="{409D56D8-AF03-4AE2-A965-AC4B94EE0DAA}"/>
            </a:ext>
          </a:extLst>
        </xdr:cNvPr>
        <xdr:cNvPicPr>
          <a:picLocks noChangeAspect="1"/>
        </xdr:cNvPicPr>
      </xdr:nvPicPr>
      <xdr:blipFill>
        <a:blip xmlns:r="http://schemas.openxmlformats.org/officeDocument/2006/relationships" r:embed="rId14"/>
        <a:stretch>
          <a:fillRect/>
        </a:stretch>
      </xdr:blipFill>
      <xdr:spPr>
        <a:xfrm>
          <a:off x="0" y="42691050"/>
          <a:ext cx="10990477" cy="5438096"/>
        </a:xfrm>
        <a:prstGeom prst="rect">
          <a:avLst/>
        </a:prstGeom>
      </xdr:spPr>
    </xdr:pic>
    <xdr:clientData/>
  </xdr:twoCellAnchor>
  <xdr:twoCellAnchor editAs="oneCell">
    <xdr:from>
      <xdr:col>0</xdr:col>
      <xdr:colOff>0</xdr:colOff>
      <xdr:row>281</xdr:row>
      <xdr:rowOff>0</xdr:rowOff>
    </xdr:from>
    <xdr:to>
      <xdr:col>11</xdr:col>
      <xdr:colOff>493896</xdr:colOff>
      <xdr:row>300</xdr:row>
      <xdr:rowOff>56736</xdr:rowOff>
    </xdr:to>
    <xdr:pic>
      <xdr:nvPicPr>
        <xdr:cNvPr id="16" name="图片 15">
          <a:extLst>
            <a:ext uri="{FF2B5EF4-FFF2-40B4-BE49-F238E27FC236}">
              <a16:creationId xmlns="" xmlns:a16="http://schemas.microsoft.com/office/drawing/2014/main" id="{007B647E-1D40-43EE-B4A7-E2263D238581}"/>
            </a:ext>
          </a:extLst>
        </xdr:cNvPr>
        <xdr:cNvPicPr>
          <a:picLocks noChangeAspect="1"/>
        </xdr:cNvPicPr>
      </xdr:nvPicPr>
      <xdr:blipFill>
        <a:blip xmlns:r="http://schemas.openxmlformats.org/officeDocument/2006/relationships" r:embed="rId15"/>
        <a:stretch>
          <a:fillRect/>
        </a:stretch>
      </xdr:blipFill>
      <xdr:spPr>
        <a:xfrm>
          <a:off x="0" y="48177450"/>
          <a:ext cx="11238096" cy="3314286"/>
        </a:xfrm>
        <a:prstGeom prst="rect">
          <a:avLst/>
        </a:prstGeom>
      </xdr:spPr>
    </xdr:pic>
    <xdr:clientData/>
  </xdr:twoCellAnchor>
  <xdr:twoCellAnchor editAs="oneCell">
    <xdr:from>
      <xdr:col>0</xdr:col>
      <xdr:colOff>0</xdr:colOff>
      <xdr:row>300</xdr:row>
      <xdr:rowOff>0</xdr:rowOff>
    </xdr:from>
    <xdr:to>
      <xdr:col>11</xdr:col>
      <xdr:colOff>198658</xdr:colOff>
      <xdr:row>330</xdr:row>
      <xdr:rowOff>161262</xdr:rowOff>
    </xdr:to>
    <xdr:pic>
      <xdr:nvPicPr>
        <xdr:cNvPr id="17" name="图片 16">
          <a:extLst>
            <a:ext uri="{FF2B5EF4-FFF2-40B4-BE49-F238E27FC236}">
              <a16:creationId xmlns="" xmlns:a16="http://schemas.microsoft.com/office/drawing/2014/main" id="{DC8A7D51-E910-4D4E-9695-EB52E1DFBD08}"/>
            </a:ext>
          </a:extLst>
        </xdr:cNvPr>
        <xdr:cNvPicPr>
          <a:picLocks noChangeAspect="1"/>
        </xdr:cNvPicPr>
      </xdr:nvPicPr>
      <xdr:blipFill>
        <a:blip xmlns:r="http://schemas.openxmlformats.org/officeDocument/2006/relationships" r:embed="rId16"/>
        <a:stretch>
          <a:fillRect/>
        </a:stretch>
      </xdr:blipFill>
      <xdr:spPr>
        <a:xfrm>
          <a:off x="0" y="51435000"/>
          <a:ext cx="10942858" cy="5304762"/>
        </a:xfrm>
        <a:prstGeom prst="rect">
          <a:avLst/>
        </a:prstGeom>
      </xdr:spPr>
    </xdr:pic>
    <xdr:clientData/>
  </xdr:twoCellAnchor>
  <xdr:twoCellAnchor editAs="oneCell">
    <xdr:from>
      <xdr:col>0</xdr:col>
      <xdr:colOff>0</xdr:colOff>
      <xdr:row>330</xdr:row>
      <xdr:rowOff>0</xdr:rowOff>
    </xdr:from>
    <xdr:to>
      <xdr:col>11</xdr:col>
      <xdr:colOff>198658</xdr:colOff>
      <xdr:row>346</xdr:row>
      <xdr:rowOff>142514</xdr:rowOff>
    </xdr:to>
    <xdr:pic>
      <xdr:nvPicPr>
        <xdr:cNvPr id="18" name="图片 17">
          <a:extLst>
            <a:ext uri="{FF2B5EF4-FFF2-40B4-BE49-F238E27FC236}">
              <a16:creationId xmlns="" xmlns:a16="http://schemas.microsoft.com/office/drawing/2014/main" id="{927DDB98-776C-426C-804A-3247470B74E2}"/>
            </a:ext>
          </a:extLst>
        </xdr:cNvPr>
        <xdr:cNvPicPr>
          <a:picLocks noChangeAspect="1"/>
        </xdr:cNvPicPr>
      </xdr:nvPicPr>
      <xdr:blipFill>
        <a:blip xmlns:r="http://schemas.openxmlformats.org/officeDocument/2006/relationships" r:embed="rId17"/>
        <a:stretch>
          <a:fillRect/>
        </a:stretch>
      </xdr:blipFill>
      <xdr:spPr>
        <a:xfrm>
          <a:off x="0" y="56578500"/>
          <a:ext cx="10942858" cy="2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4310;&#2419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房源清单"/>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2023-2024住宅"/>
      <sheetName val="2023-2024仓储"/>
      <sheetName val="2023-2024车位"/>
      <sheetName val="典型户型修正"/>
      <sheetName val="存贷款利率"/>
      <sheetName val="2024住宅"/>
      <sheetName val="2024仓储"/>
      <sheetName val="2024车位"/>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efreshError="1"/>
      <sheetData sheetId="14">
        <row r="17">
          <cell r="C17" t="str">
            <v>项目类型</v>
          </cell>
        </row>
        <row r="19">
          <cell r="C19" t="str">
            <v>住宅-洋房</v>
          </cell>
        </row>
        <row r="20">
          <cell r="C20" t="str">
            <v>地下仓储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4">
          <cell r="A74" t="str">
            <v>交易情况</v>
          </cell>
          <cell r="C74" t="str">
            <v>正常</v>
          </cell>
        </row>
        <row r="76">
          <cell r="B76" t="str">
            <v>用途</v>
          </cell>
          <cell r="C76" t="str">
            <v>住宅</v>
          </cell>
          <cell r="D76" t="str">
            <v>综合</v>
          </cell>
        </row>
        <row r="107">
          <cell r="B107" t="str">
            <v>毗邻道路的类型与等级</v>
          </cell>
        </row>
        <row r="109">
          <cell r="B109" t="str">
            <v>土地级别</v>
          </cell>
          <cell r="C109" t="str">
            <v>八级</v>
          </cell>
          <cell r="D109" t="str">
            <v>九级</v>
          </cell>
          <cell r="E109" t="str">
            <v>十级</v>
          </cell>
        </row>
        <row r="120">
          <cell r="B120" t="str">
            <v>宗地形状</v>
          </cell>
          <cell r="C120" t="str">
            <v>较规则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20" refreshError="1"/>
      <sheetData sheetId="21" refreshError="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row>
        <row r="105">
          <cell r="B105" t="str">
            <v>建筑结构</v>
          </cell>
        </row>
        <row r="107">
          <cell r="B107" t="str">
            <v>建筑品质</v>
          </cell>
        </row>
        <row r="109">
          <cell r="B109" t="str">
            <v>公共部分装修</v>
          </cell>
          <cell r="C109" t="str">
            <v>精装修</v>
          </cell>
        </row>
        <row r="114">
          <cell r="B114" t="str">
            <v>物业管理</v>
          </cell>
        </row>
        <row r="116">
          <cell r="B116" t="str">
            <v>市政基础设施</v>
          </cell>
        </row>
        <row r="118">
          <cell r="B118" t="str">
            <v>房型</v>
          </cell>
        </row>
        <row r="122">
          <cell r="B122" t="str">
            <v>内部装修</v>
          </cell>
          <cell r="C122" t="str">
            <v>精装修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efreshError="1"/>
      <sheetData sheetId="44" refreshError="1"/>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cb/FRCi"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估价对象为北京市房地产，为所有。根据《国有土地使用证》[]，估价对象（分摊）出让国有建设用地使用权面积为14295.23平方米，建筑面积为36323.87平方米。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估价对象为北京市房地产,属开发建设的居住项目，该项目尚在开发建设中。根据《国有土地使用证》[]，估价对象（分摊）出让国有建设用地使用权面积为14295.23平方米，规划建筑面积为36323.87平方米。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2024年9月30日（评估专业人员实地查勘之日）</v>
      </c>
    </row>
    <row r="13" spans="1:2">
      <c r="A13" s="1118" t="s">
        <v>529</v>
      </c>
      <c r="B13" s="1119"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本次评估采用的主估价方法为成本法和假设开发法。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50479</v>
      </c>
    </row>
    <row r="21" spans="1:2">
      <c r="A21" s="1118" t="s">
        <v>537</v>
      </c>
      <c r="B21" s="1119">
        <f ca="1">'预评函-2'!D7</f>
        <v>13897</v>
      </c>
    </row>
    <row r="22" spans="1:2">
      <c r="A22" s="1118" t="s">
        <v>538</v>
      </c>
      <c r="B22" s="1119" t="str">
        <f ca="1">'预评函-2'!D6</f>
        <v>伍亿零肆佰柒拾玖万元整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50479</v>
      </c>
    </row>
    <row r="31" spans="1:2">
      <c r="A31" s="1118" t="s">
        <v>576</v>
      </c>
      <c r="B31" s="1119">
        <f ca="1">'预评函-2'!D15</f>
        <v>13897</v>
      </c>
    </row>
    <row r="32" spans="1:2">
      <c r="A32" s="1118" t="s">
        <v>543</v>
      </c>
      <c r="B32" s="1119" t="str">
        <f ca="1">'预评函-2'!D14</f>
        <v>伍亿零肆佰柒拾玖万元整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36323.870000000003</v>
      </c>
    </row>
    <row r="44" spans="1:2">
      <c r="A44" s="1118" t="s">
        <v>575</v>
      </c>
      <c r="B44" s="1119" t="str">
        <f>'预评函-3'!C2</f>
        <v>(分摊)土地面积</v>
      </c>
    </row>
    <row r="45" spans="1:2">
      <c r="A45" s="1118" t="s">
        <v>547</v>
      </c>
      <c r="B45" s="1119">
        <f>'预评函-3'!C4</f>
        <v>14295.23</v>
      </c>
    </row>
    <row r="46" spans="1:2">
      <c r="A46" s="1118" t="s">
        <v>573</v>
      </c>
      <c r="B46" s="1119" t="str">
        <f>'预评函-3'!D2</f>
        <v>出让国有建设用地使用权价值</v>
      </c>
    </row>
    <row r="47" spans="1:2">
      <c r="A47" s="1118" t="s">
        <v>548</v>
      </c>
      <c r="B47" s="1119">
        <f ca="1">'预评函-3'!D4</f>
        <v>34679</v>
      </c>
    </row>
    <row r="48" spans="1:2">
      <c r="A48" s="1118" t="s">
        <v>549</v>
      </c>
      <c r="B48" s="1119">
        <f ca="1">'预评函-3'!E4</f>
        <v>9547</v>
      </c>
    </row>
    <row r="49" spans="1:2">
      <c r="A49" s="1118" t="s">
        <v>550</v>
      </c>
      <c r="B49" s="1119" t="str">
        <f ca="1">'预评函-3'!D5</f>
        <v>叁亿肆仟陆佰柒拾玖万元整</v>
      </c>
    </row>
    <row r="50" spans="1:2">
      <c r="A50" s="1118" t="s">
        <v>574</v>
      </c>
      <c r="B50" s="1119" t="str">
        <f>'预评函-3'!F2</f>
        <v>在建建筑物价值</v>
      </c>
    </row>
    <row r="51" spans="1:2">
      <c r="A51" s="1118" t="s">
        <v>551</v>
      </c>
      <c r="B51" s="1119">
        <f ca="1">'预评函-3'!F4</f>
        <v>15800</v>
      </c>
    </row>
    <row r="52" spans="1:2">
      <c r="A52" s="1118" t="s">
        <v>552</v>
      </c>
      <c r="B52" s="1119">
        <f ca="1">'预评函-3'!G4</f>
        <v>4350</v>
      </c>
    </row>
    <row r="53" spans="1:2">
      <c r="A53" s="1118" t="s">
        <v>580</v>
      </c>
      <c r="B53" s="1119" t="str">
        <f ca="1">'预评函-3'!F5</f>
        <v>壹亿伍仟捌佰万元整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9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446" t="s">
        <v>385</v>
      </c>
      <c r="C54" s="1444" t="s">
        <v>583</v>
      </c>
    </row>
    <row r="55" spans="1:4">
      <c r="A55" s="3296"/>
      <c r="B55" s="1446" t="s">
        <v>386</v>
      </c>
      <c r="C55" s="1444" t="s">
        <v>584</v>
      </c>
    </row>
    <row r="56" spans="1:4">
      <c r="A56" s="3296"/>
      <c r="B56" s="1446" t="s">
        <v>387</v>
      </c>
      <c r="C56" s="1444" t="s">
        <v>588</v>
      </c>
    </row>
    <row r="57" spans="1:4">
      <c r="A57" s="329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97" t="s">
        <v>2580</v>
      </c>
      <c r="J2" s="3297"/>
      <c r="K2" s="3297"/>
      <c r="L2" s="3297"/>
      <c r="M2" s="3297"/>
      <c r="N2" s="3297"/>
      <c r="O2" s="3297"/>
      <c r="P2" s="3297"/>
      <c r="Q2" s="3297"/>
      <c r="R2" s="3297"/>
    </row>
    <row r="3" spans="1:18">
      <c r="A3" s="2762" t="s">
        <v>2501</v>
      </c>
      <c r="B3" s="2763">
        <f>项目基本情况!D3</f>
        <v>45565</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2.21</v>
      </c>
      <c r="D5" s="2767">
        <f>IF(ISERROR(ROUND(POWER(1+E5,A5-C5)*(POWER(1+E5,C5)-1)/(POWER(1+E5,A5)-1),3)),0,ROUND(POWER(1+E5,A5-C5)*(POWER(1+E5,C5)-1)/(POWER(1+E5,A5)-1),4))</f>
        <v>0.10489999999999999</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12.22</v>
      </c>
      <c r="D6" s="2767">
        <f>IF(ISERROR(ROUND(POWER(1+E6,A6-C6)*(POWER(1+E6,C6)-1)/(POWER(1+E6,A6)-1),3)),0,ROUND(POWER(1+E6,A6-C6)*(POWER(1+E6,C6)-1)/(POWER(1+E6,A6)-1),4))</f>
        <v>0.44309999999999999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32.24</v>
      </c>
      <c r="D7" s="2767">
        <f>IF(ISERROR(ROUND(POWER(1+E7,A7-C7)*(POWER(1+E7,C7)-1)/(POWER(1+E7,A7)-1),3)),0,ROUND(POWER(1+E7,A7-C7)*(POWER(1+E7,C7)-1)/(POWER(1+E7,A7)-1),4))</f>
        <v>0.76690000000000003</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3">
      <c r="A17" s="2762" t="s">
        <v>2517</v>
      </c>
      <c r="B17" s="2770">
        <v>4810</v>
      </c>
      <c r="C17" s="2764"/>
      <c r="D17" s="2760"/>
      <c r="E17" s="2760"/>
      <c r="F17" s="2761"/>
    </row>
    <row r="18" spans="1:13" ht="14.25" thickBot="1">
      <c r="A18" s="2772" t="s">
        <v>2516</v>
      </c>
      <c r="B18" s="2773">
        <f>ROUND(B17*F11/F12,2)</f>
        <v>5541.87</v>
      </c>
      <c r="C18" s="2773">
        <f>ROUND(F11/F12,4)</f>
        <v>1.1521999999999999</v>
      </c>
      <c r="D18" s="2774"/>
      <c r="E18" s="2774"/>
      <c r="F18" s="2775"/>
    </row>
    <row r="19" spans="1:13" ht="14.25" thickBot="1"/>
    <row r="20" spans="1:13" s="2808" customFormat="1" ht="14.25" thickTop="1">
      <c r="A20" s="2805" t="s">
        <v>2519</v>
      </c>
      <c r="B20" s="2806"/>
      <c r="C20" s="2806"/>
      <c r="D20" s="2806"/>
      <c r="E20" s="2806"/>
      <c r="F20" s="2806"/>
      <c r="G20" s="2807"/>
      <c r="I20" s="2809" t="s">
        <v>2564</v>
      </c>
      <c r="J20" s="2809" t="s">
        <v>2569</v>
      </c>
      <c r="K20" s="2809"/>
      <c r="L20" s="2809"/>
      <c r="M20" s="2809"/>
    </row>
    <row r="21" spans="1:13">
      <c r="A21" s="2776"/>
      <c r="B21" s="2777" t="s">
        <v>2520</v>
      </c>
      <c r="C21" s="2777" t="s">
        <v>2521</v>
      </c>
      <c r="D21" s="2777" t="s">
        <v>2522</v>
      </c>
      <c r="E21" s="2777" t="s">
        <v>2523</v>
      </c>
      <c r="F21" s="2777" t="s">
        <v>2524</v>
      </c>
      <c r="G21" s="2778" t="s">
        <v>2525</v>
      </c>
      <c r="I21" s="2799">
        <v>5</v>
      </c>
      <c r="J21" s="2799">
        <v>54.2</v>
      </c>
    </row>
    <row r="22" spans="1:13">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M23" s="2799" t="s">
        <v>2568</v>
      </c>
    </row>
    <row r="24" spans="1:13">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M24" s="2799">
        <v>10</v>
      </c>
    </row>
    <row r="25" spans="1:13">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M25" s="2799">
        <v>8</v>
      </c>
    </row>
    <row r="26" spans="1:13">
      <c r="A26" s="2781"/>
      <c r="B26" s="2782"/>
      <c r="C26" s="2782"/>
      <c r="D26" s="2782"/>
      <c r="E26" s="2782"/>
      <c r="F26" s="2782"/>
      <c r="G26" s="2783"/>
      <c r="I26" s="2799">
        <v>30</v>
      </c>
      <c r="J26" s="2799">
        <v>90.5</v>
      </c>
      <c r="K26" s="2799">
        <f t="shared" si="2"/>
        <v>4.2000000000000028</v>
      </c>
      <c r="L26" s="2799" t="s">
        <v>2571</v>
      </c>
      <c r="M26" s="2799">
        <v>5</v>
      </c>
    </row>
    <row r="27" spans="1:13">
      <c r="A27" s="2781" t="s">
        <v>2530</v>
      </c>
      <c r="B27" s="2782"/>
      <c r="C27" s="2782"/>
      <c r="D27" s="2782"/>
      <c r="E27" s="2782"/>
      <c r="F27" s="2782"/>
      <c r="G27" s="2783"/>
      <c r="I27" s="2799">
        <v>35</v>
      </c>
      <c r="J27" s="2799">
        <v>93.8</v>
      </c>
      <c r="K27" s="2799">
        <f t="shared" si="2"/>
        <v>3.2999999999999972</v>
      </c>
      <c r="L27" s="2799" t="s">
        <v>2572</v>
      </c>
      <c r="M27" s="2799">
        <v>3</v>
      </c>
    </row>
    <row r="28" spans="1:13">
      <c r="A28" s="2781" t="s">
        <v>2531</v>
      </c>
      <c r="B28" s="2782"/>
      <c r="C28" s="2782"/>
      <c r="D28" s="2782"/>
      <c r="E28" s="2782"/>
      <c r="F28" s="2782"/>
      <c r="G28" s="2783"/>
      <c r="I28" s="2799">
        <v>40</v>
      </c>
      <c r="J28" s="2799">
        <v>96.4</v>
      </c>
      <c r="K28" s="2799">
        <f t="shared" si="2"/>
        <v>2.6000000000000085</v>
      </c>
      <c r="L28" s="2799" t="s">
        <v>2573</v>
      </c>
      <c r="M28" s="2799">
        <v>2</v>
      </c>
    </row>
    <row r="29" spans="1:13">
      <c r="A29" s="2781" t="s">
        <v>2532</v>
      </c>
      <c r="B29" s="2782"/>
      <c r="C29" s="2782"/>
      <c r="D29" s="2782"/>
      <c r="E29" s="2782"/>
      <c r="F29" s="2782"/>
      <c r="G29" s="2783"/>
      <c r="I29" s="2799">
        <v>45</v>
      </c>
      <c r="J29" s="2799">
        <v>98.4</v>
      </c>
      <c r="K29" s="2799">
        <f t="shared" si="2"/>
        <v>2</v>
      </c>
    </row>
    <row r="30" spans="1:13">
      <c r="A30" s="2781" t="s">
        <v>2533</v>
      </c>
      <c r="B30" s="2782"/>
      <c r="C30" s="2782"/>
      <c r="D30" s="2782"/>
      <c r="E30" s="2782"/>
      <c r="F30" s="2782"/>
      <c r="G30" s="2783"/>
      <c r="I30" s="2799">
        <v>50</v>
      </c>
      <c r="J30" s="2799">
        <v>100</v>
      </c>
      <c r="K30" s="2799">
        <f t="shared" si="2"/>
        <v>1.5999999999999943</v>
      </c>
    </row>
    <row r="31" spans="1:13">
      <c r="A31" s="2781" t="s">
        <v>2534</v>
      </c>
      <c r="B31" s="2782"/>
      <c r="C31" s="2782"/>
      <c r="D31" s="2782"/>
      <c r="E31" s="2782"/>
      <c r="F31" s="2782"/>
      <c r="G31" s="2783"/>
      <c r="I31" s="2799" t="s">
        <v>2565</v>
      </c>
    </row>
    <row r="32" spans="1:13">
      <c r="A32" s="2781" t="s">
        <v>2535</v>
      </c>
      <c r="B32" s="2782"/>
      <c r="C32" s="2782"/>
      <c r="D32" s="2782"/>
      <c r="E32" s="2782"/>
      <c r="F32" s="2782"/>
      <c r="G32" s="2783"/>
    </row>
    <row r="33" spans="1:13">
      <c r="A33" s="2781" t="s">
        <v>2536</v>
      </c>
      <c r="B33" s="2782"/>
      <c r="C33" s="2782"/>
      <c r="D33" s="2782"/>
      <c r="E33" s="2782"/>
      <c r="F33" s="2782"/>
      <c r="G33" s="2783"/>
      <c r="I33" s="2799" t="s">
        <v>2564</v>
      </c>
      <c r="J33" s="2799" t="s">
        <v>2574</v>
      </c>
    </row>
    <row r="34" spans="1:13">
      <c r="A34" s="2781" t="s">
        <v>2537</v>
      </c>
      <c r="B34" s="2782"/>
      <c r="C34" s="2782"/>
      <c r="D34" s="2782"/>
      <c r="E34" s="2782"/>
      <c r="F34" s="2782"/>
      <c r="G34" s="2783"/>
      <c r="I34" s="2799">
        <v>5</v>
      </c>
      <c r="J34" s="2799">
        <v>55.1</v>
      </c>
    </row>
    <row r="35" spans="1:13">
      <c r="A35" s="2781" t="s">
        <v>2538</v>
      </c>
      <c r="B35" s="2782"/>
      <c r="C35" s="2782"/>
      <c r="D35" s="2782"/>
      <c r="E35" s="2782"/>
      <c r="F35" s="2782"/>
      <c r="G35" s="2783"/>
      <c r="I35" s="2799">
        <v>10</v>
      </c>
      <c r="J35" s="2799">
        <v>67</v>
      </c>
      <c r="K35" s="2799">
        <f>J35-J34</f>
        <v>11.899999999999999</v>
      </c>
    </row>
    <row r="36" spans="1:13">
      <c r="A36" s="2781" t="s">
        <v>2539</v>
      </c>
      <c r="B36" s="2782"/>
      <c r="C36" s="2782"/>
      <c r="D36" s="2782"/>
      <c r="E36" s="2782"/>
      <c r="F36" s="2782"/>
      <c r="G36" s="2783"/>
      <c r="I36" s="2799">
        <v>15</v>
      </c>
      <c r="J36" s="2799">
        <v>76.3</v>
      </c>
      <c r="K36" s="2799">
        <f t="shared" ref="K36:K41" si="3">J36-J35</f>
        <v>9.2999999999999972</v>
      </c>
      <c r="L36" s="2799" t="s">
        <v>2567</v>
      </c>
      <c r="M36" s="2799" t="s">
        <v>2568</v>
      </c>
    </row>
    <row r="37" spans="1:13">
      <c r="A37" s="2781" t="s">
        <v>2540</v>
      </c>
      <c r="B37" s="2782"/>
      <c r="C37" s="2782"/>
      <c r="D37" s="2782"/>
      <c r="E37" s="2782"/>
      <c r="F37" s="2782"/>
      <c r="G37" s="2783"/>
      <c r="I37" s="2799">
        <v>20</v>
      </c>
      <c r="J37" s="2799">
        <v>83.6</v>
      </c>
      <c r="K37" s="2799">
        <f t="shared" si="3"/>
        <v>7.2999999999999972</v>
      </c>
      <c r="L37" s="2799" t="s">
        <v>2566</v>
      </c>
      <c r="M37" s="2799">
        <v>10</v>
      </c>
    </row>
    <row r="38" spans="1:13">
      <c r="A38" s="2781" t="s">
        <v>2541</v>
      </c>
      <c r="B38" s="2782"/>
      <c r="C38" s="2782"/>
      <c r="D38" s="2782"/>
      <c r="E38" s="2782"/>
      <c r="F38" s="2782"/>
      <c r="G38" s="2783"/>
      <c r="I38" s="2799">
        <v>25</v>
      </c>
      <c r="J38" s="2799">
        <v>89.3</v>
      </c>
      <c r="K38" s="2799">
        <f t="shared" si="3"/>
        <v>5.7000000000000028</v>
      </c>
      <c r="L38" s="2799" t="s">
        <v>2570</v>
      </c>
      <c r="M38" s="2799">
        <v>8</v>
      </c>
    </row>
    <row r="39" spans="1:13">
      <c r="A39" s="2781"/>
      <c r="B39" s="2782"/>
      <c r="C39" s="2782"/>
      <c r="D39" s="2782"/>
      <c r="E39" s="2782"/>
      <c r="F39" s="2782"/>
      <c r="G39" s="2783"/>
      <c r="I39" s="2799">
        <v>30</v>
      </c>
      <c r="J39" s="2799">
        <v>93.8</v>
      </c>
      <c r="K39" s="2799">
        <f t="shared" si="3"/>
        <v>4.5</v>
      </c>
      <c r="L39" s="2799" t="s">
        <v>2571</v>
      </c>
      <c r="M39" s="2799">
        <v>6</v>
      </c>
    </row>
    <row r="40" spans="1:13">
      <c r="A40" s="2784" t="s">
        <v>2542</v>
      </c>
      <c r="B40" s="2785"/>
      <c r="C40" s="2785"/>
      <c r="D40" s="2785"/>
      <c r="E40" s="2785"/>
      <c r="F40" s="2785"/>
      <c r="G40" s="2786"/>
      <c r="I40" s="2799">
        <v>35</v>
      </c>
      <c r="J40" s="2799">
        <v>97.2</v>
      </c>
      <c r="K40" s="2799">
        <f t="shared" si="3"/>
        <v>3.4000000000000057</v>
      </c>
      <c r="L40" s="2799" t="s">
        <v>2572</v>
      </c>
      <c r="M40" s="2799">
        <v>3</v>
      </c>
    </row>
    <row r="41" spans="1:13">
      <c r="A41" s="2787" t="s">
        <v>2543</v>
      </c>
      <c r="B41" s="2788" t="s">
        <v>2544</v>
      </c>
      <c r="C41" s="2789" t="s">
        <v>2545</v>
      </c>
      <c r="D41" s="2789" t="s">
        <v>2546</v>
      </c>
      <c r="E41" s="2790"/>
      <c r="F41" s="2791"/>
      <c r="G41" s="2792"/>
      <c r="I41" s="2799">
        <v>40</v>
      </c>
      <c r="J41" s="2799">
        <v>100</v>
      </c>
      <c r="K41" s="2799">
        <f t="shared" si="3"/>
        <v>2.7999999999999972</v>
      </c>
    </row>
    <row r="42" spans="1:13">
      <c r="A42" s="2787" t="s">
        <v>2547</v>
      </c>
      <c r="B42" s="2788" t="s">
        <v>2548</v>
      </c>
      <c r="C42" s="2789" t="s">
        <v>2549</v>
      </c>
      <c r="D42" s="2793" t="s">
        <v>2550</v>
      </c>
      <c r="E42" s="2785" t="s">
        <v>2551</v>
      </c>
      <c r="F42" s="2785"/>
      <c r="G42" s="2786"/>
    </row>
    <row r="43" spans="1:13">
      <c r="A43" s="2787" t="s">
        <v>2552</v>
      </c>
      <c r="B43" s="2788" t="s">
        <v>2553</v>
      </c>
      <c r="C43" s="2789" t="s">
        <v>2554</v>
      </c>
      <c r="D43" s="2789" t="s">
        <v>2555</v>
      </c>
      <c r="E43" s="2790" t="s">
        <v>2556</v>
      </c>
      <c r="F43" s="2791"/>
      <c r="G43" s="2792"/>
      <c r="I43" s="2799" t="s">
        <v>2564</v>
      </c>
      <c r="J43" s="2799" t="s">
        <v>2575</v>
      </c>
    </row>
    <row r="44" spans="1:13">
      <c r="A44" s="2787" t="s">
        <v>2557</v>
      </c>
      <c r="B44" s="2788" t="s">
        <v>2558</v>
      </c>
      <c r="C44" s="2789" t="s">
        <v>2559</v>
      </c>
      <c r="D44" s="2793">
        <v>0.5</v>
      </c>
      <c r="E44" s="2790" t="s">
        <v>2560</v>
      </c>
      <c r="F44" s="2791"/>
      <c r="G44" s="2792"/>
      <c r="I44" s="2799">
        <v>30</v>
      </c>
      <c r="J44" s="2799">
        <v>81.7</v>
      </c>
    </row>
    <row r="45" spans="1:13" ht="14.25" thickBot="1">
      <c r="A45" s="2794" t="s">
        <v>2561</v>
      </c>
      <c r="B45" s="2795" t="s">
        <v>2548</v>
      </c>
      <c r="C45" s="2796" t="s">
        <v>2548</v>
      </c>
      <c r="D45" s="2796" t="s">
        <v>2562</v>
      </c>
      <c r="E45" s="2797" t="s">
        <v>2563</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3" sqref="I33"/>
    </sheetView>
  </sheetViews>
  <sheetFormatPr defaultColWidth="10" defaultRowHeight="12.75"/>
  <cols>
    <col min="1" max="1" width="16.875" style="1617" customWidth="1"/>
    <col min="2" max="2" width="10" style="1617" customWidth="1"/>
    <col min="3" max="3" width="11.5" style="1617" customWidth="1"/>
    <col min="4" max="4" width="12" style="1617" customWidth="1"/>
    <col min="5" max="5" width="12.625" style="1617" customWidth="1"/>
    <col min="6" max="6" width="12.5" style="1617" customWidth="1"/>
    <col min="7" max="7" width="14"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98" t="str">
        <f>IF(B10="北京市","北京市",C10)&amp;F10&amp;IF(结果表!G1="在建","出让国有建设用地使用权及在建建筑物",IF(结果表!G1="土地","出让国有建设用地使用权",))&amp;B9&amp;"预评估"</f>
        <v>北京市房地产抵押价值预评估</v>
      </c>
      <c r="C1" s="3299"/>
      <c r="D1" s="3299"/>
      <c r="E1" s="3299"/>
      <c r="F1" s="3299"/>
      <c r="G1" s="3299"/>
      <c r="H1" s="3299"/>
      <c r="I1" s="330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2168</v>
      </c>
      <c r="B3" s="2184">
        <v>45565</v>
      </c>
      <c r="C3" s="2185" t="s">
        <v>2169</v>
      </c>
      <c r="D3" s="2184">
        <f>B3</f>
        <v>45565</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3497</v>
      </c>
      <c r="C8" s="2200"/>
      <c r="D8" s="3301" t="s">
        <v>2175</v>
      </c>
      <c r="E8" s="2201" t="s">
        <v>3498</v>
      </c>
      <c r="F8" s="2202"/>
      <c r="G8" s="2441"/>
      <c r="H8" s="2441"/>
      <c r="I8" s="2441"/>
      <c r="J8" s="2244"/>
      <c r="K8" s="2399"/>
      <c r="L8" s="2398"/>
      <c r="M8" s="2398"/>
      <c r="N8" s="2244"/>
      <c r="O8" s="1669"/>
      <c r="P8" s="2244"/>
      <c r="Q8" s="2244"/>
      <c r="R8" s="2244"/>
    </row>
    <row r="9" spans="1:30" ht="13.5" thickBot="1">
      <c r="A9" s="2203" t="s">
        <v>2176</v>
      </c>
      <c r="B9" s="2204" t="s">
        <v>3498</v>
      </c>
      <c r="C9" s="2205"/>
      <c r="D9" s="3302"/>
      <c r="E9" s="2204"/>
      <c r="F9" s="2206"/>
      <c r="G9" s="2442"/>
      <c r="H9" s="2442"/>
      <c r="I9" s="2442"/>
      <c r="J9" s="2244"/>
      <c r="K9" s="2401"/>
      <c r="L9" s="2398"/>
      <c r="M9" s="2398"/>
      <c r="N9" s="2244"/>
      <c r="O9" s="1669"/>
      <c r="P9" s="2244"/>
      <c r="Q9" s="2244"/>
      <c r="R9" s="2244"/>
    </row>
    <row r="10" spans="1:30" ht="13.5" thickTop="1">
      <c r="A10" s="2207" t="s">
        <v>2177</v>
      </c>
      <c r="B10" s="2208" t="s">
        <v>3499</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3500</v>
      </c>
      <c r="C11" s="2213"/>
      <c r="D11" s="2214"/>
      <c r="E11" s="2181"/>
      <c r="F11" s="2181"/>
      <c r="G11" s="2181"/>
      <c r="H11" s="2181"/>
      <c r="I11" s="2181"/>
      <c r="J11" s="2801"/>
      <c r="K11" s="2398"/>
      <c r="L11" s="2398"/>
      <c r="M11" s="2398"/>
      <c r="N11" s="2244"/>
      <c r="O11" s="1669"/>
      <c r="P11" s="2244"/>
      <c r="Q11" s="2244"/>
      <c r="R11" s="2244"/>
    </row>
    <row r="12" spans="1:30">
      <c r="A12" s="2215" t="s">
        <v>2180</v>
      </c>
      <c r="B12" s="315" t="s">
        <v>2181</v>
      </c>
      <c r="C12" s="2216" t="s">
        <v>2182</v>
      </c>
      <c r="D12" s="2216" t="s">
        <v>2183</v>
      </c>
      <c r="E12" s="2216" t="s">
        <v>2184</v>
      </c>
      <c r="F12" s="2216" t="s">
        <v>2185</v>
      </c>
      <c r="G12" s="2216" t="s">
        <v>2186</v>
      </c>
      <c r="H12" s="2216" t="s">
        <v>2187</v>
      </c>
      <c r="I12" s="2800" t="s">
        <v>2576</v>
      </c>
      <c r="J12" s="2802"/>
      <c r="K12" s="2398"/>
      <c r="L12" s="2398"/>
      <c r="M12" s="2244"/>
      <c r="N12" s="1669"/>
      <c r="O12" s="2244"/>
      <c r="P12" s="2244"/>
      <c r="Q12" s="2244"/>
      <c r="AD12" s="1617"/>
    </row>
    <row r="13" spans="1:30">
      <c r="A13" s="3121" t="s">
        <v>3332</v>
      </c>
      <c r="B13" s="2217" t="s">
        <v>2188</v>
      </c>
      <c r="C13" s="3219">
        <v>70714</v>
      </c>
      <c r="D13" s="3219">
        <v>59756</v>
      </c>
      <c r="E13" s="3219"/>
      <c r="F13" s="3219">
        <v>63409</v>
      </c>
      <c r="G13" s="3219">
        <v>63409</v>
      </c>
      <c r="H13" s="803"/>
      <c r="I13" s="803"/>
      <c r="J13" s="2802"/>
      <c r="K13" s="2398"/>
      <c r="L13" s="2398"/>
      <c r="M13" s="2244"/>
      <c r="N13" s="1669"/>
      <c r="O13" s="2244"/>
      <c r="P13" s="2244"/>
      <c r="Q13" s="2244"/>
      <c r="AD13" s="1617"/>
    </row>
    <row r="14" spans="1:30">
      <c r="A14" s="1018"/>
      <c r="B14" s="2217" t="s">
        <v>2189</v>
      </c>
      <c r="C14" s="2218">
        <v>70</v>
      </c>
      <c r="D14" s="2218">
        <v>40</v>
      </c>
      <c r="E14" s="2218"/>
      <c r="F14" s="2218">
        <v>50</v>
      </c>
      <c r="G14" s="2218">
        <v>50</v>
      </c>
      <c r="H14" s="2218"/>
      <c r="I14" s="2218"/>
      <c r="J14" s="2803"/>
      <c r="K14" s="2398"/>
      <c r="L14" s="2398"/>
      <c r="M14" s="2244"/>
      <c r="N14" s="1669"/>
      <c r="O14" s="2244"/>
      <c r="P14" s="2244"/>
      <c r="Q14" s="2244"/>
      <c r="AD14" s="1617"/>
    </row>
    <row r="15" spans="1:30">
      <c r="A15" s="312"/>
      <c r="B15" s="2219" t="s">
        <v>2190</v>
      </c>
      <c r="C15" s="2220">
        <f>IF(A13="出让",IF(C13="","",ROUNDDOWN(MIN((C13-$D$3)/365,C14),2)),C14)</f>
        <v>68.900000000000006</v>
      </c>
      <c r="D15" s="2220">
        <f>IF(A13="出让",IF(D13="","",ROUNDDOWN(MIN((D13-$D$3)/365,D14),2)),D14)</f>
        <v>38.869999999999997</v>
      </c>
      <c r="E15" s="2220" t="str">
        <f>IF(A13="出让",IF(E13="","",ROUNDDOWN(MIN((E13-$D$3)/365,E14),2)),E14)</f>
        <v/>
      </c>
      <c r="F15" s="2220">
        <f>IF(A13="出让",IF(F13="","",ROUNDDOWN(MIN((F13-$D$3)/365,F14),2)),F14)</f>
        <v>48.88</v>
      </c>
      <c r="G15" s="2220">
        <f>IF(A13="出让",IF(G13="","",ROUNDDOWN(MIN((G13-$D$3)/365,G14),2)),G14)</f>
        <v>48.88</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2191</v>
      </c>
      <c r="B16" s="3308"/>
      <c r="C16" s="3309"/>
      <c r="D16" s="3310"/>
      <c r="E16" s="2221" t="s">
        <v>2192</v>
      </c>
      <c r="F16" s="3311"/>
      <c r="G16" s="3312"/>
      <c r="H16" s="3312"/>
      <c r="I16" s="3313"/>
      <c r="J16" s="2244"/>
      <c r="K16" s="2402"/>
      <c r="L16" s="1669"/>
      <c r="M16" s="1669"/>
      <c r="N16" s="2244"/>
      <c r="O16" s="1669"/>
      <c r="P16" s="2244"/>
      <c r="Q16" s="2244"/>
      <c r="R16" s="2244"/>
    </row>
    <row r="17" spans="1:28">
      <c r="A17" s="305" t="s">
        <v>2193</v>
      </c>
      <c r="B17" s="294" t="s">
        <v>2194</v>
      </c>
      <c r="C17" s="8">
        <f>'数据-汇总表'!E3</f>
        <v>36323.870000000003</v>
      </c>
      <c r="D17" s="1255" t="s">
        <v>2195</v>
      </c>
      <c r="E17" s="3314" t="s">
        <v>2196</v>
      </c>
      <c r="F17" s="3315"/>
      <c r="G17" s="3315"/>
      <c r="H17" s="3315"/>
      <c r="I17" s="3316"/>
      <c r="J17" s="2244"/>
      <c r="K17" s="2403"/>
      <c r="L17" s="1669"/>
      <c r="M17" s="1669"/>
      <c r="N17" s="2244"/>
      <c r="O17" s="1669"/>
      <c r="P17" s="2244"/>
      <c r="Q17" s="2244"/>
      <c r="R17" s="2244"/>
      <c r="S17" s="2244"/>
      <c r="T17" s="2244"/>
      <c r="U17" s="2244"/>
      <c r="V17" s="2244"/>
    </row>
    <row r="18" spans="1:28" ht="24.75" thickBot="1">
      <c r="A18" s="2222" t="s">
        <v>2197</v>
      </c>
      <c r="B18" s="1027" t="s">
        <v>2198</v>
      </c>
      <c r="C18" s="2223">
        <f>'数据-汇总表'!D3</f>
        <v>14295.23</v>
      </c>
      <c r="D18" s="1029" t="s">
        <v>2199</v>
      </c>
      <c r="E18" s="3317" t="s">
        <v>2200</v>
      </c>
      <c r="F18" s="3318"/>
      <c r="G18" s="3318"/>
      <c r="H18" s="3318"/>
      <c r="I18" s="3319"/>
      <c r="J18" s="2244"/>
      <c r="K18" s="2403"/>
      <c r="L18" s="1669"/>
      <c r="M18" s="1669"/>
      <c r="N18" s="2244"/>
      <c r="O18" s="1669"/>
      <c r="P18" s="2244"/>
      <c r="Q18" s="2244"/>
      <c r="R18" s="2244"/>
      <c r="S18" s="2244"/>
      <c r="T18" s="2244"/>
      <c r="U18" s="2244"/>
      <c r="V18" s="2244"/>
    </row>
    <row r="19" spans="1:28" ht="25.5" thickTop="1" thickBot="1">
      <c r="A19" s="319" t="s">
        <v>1055</v>
      </c>
      <c r="B19" s="299"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304" t="s">
        <v>2204</v>
      </c>
      <c r="C20" s="3305"/>
      <c r="D20" s="3306" t="s">
        <v>2205</v>
      </c>
      <c r="E20" s="3307"/>
      <c r="F20" s="2429" t="s">
        <v>1056</v>
      </c>
      <c r="G20" s="2441"/>
      <c r="H20" s="2441"/>
      <c r="I20" s="2441"/>
      <c r="J20" s="2244"/>
      <c r="K20" s="3303"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1057</v>
      </c>
      <c r="D21" s="1459" t="s">
        <v>2208</v>
      </c>
      <c r="E21" s="2418" t="s">
        <v>1057</v>
      </c>
      <c r="F21" s="2430"/>
      <c r="G21" s="2441"/>
      <c r="H21" s="2441"/>
      <c r="I21" s="2441"/>
      <c r="J21" s="2244"/>
      <c r="K21" s="330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1058</v>
      </c>
      <c r="D22" s="2441"/>
      <c r="E22" s="2441"/>
      <c r="F22" s="2441"/>
      <c r="G22" s="2441"/>
      <c r="H22" s="2441"/>
      <c r="I22" s="2441"/>
      <c r="J22" s="2244"/>
      <c r="K22" s="330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321" t="s">
        <v>2212</v>
      </c>
      <c r="B27" s="312" t="s">
        <v>2213</v>
      </c>
      <c r="C27" s="2224" t="s">
        <v>3501</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321"/>
      <c r="B28" s="294" t="s">
        <v>2214</v>
      </c>
      <c r="C28" s="2226" t="s">
        <v>3502</v>
      </c>
      <c r="D28" s="2227"/>
      <c r="E28" s="2441"/>
      <c r="F28" s="2441"/>
      <c r="G28" s="2441"/>
      <c r="H28" s="2441"/>
      <c r="I28" s="2441"/>
      <c r="J28" s="2244"/>
      <c r="K28" s="2401"/>
      <c r="L28" s="2398"/>
      <c r="M28" s="2398"/>
      <c r="N28" s="2244"/>
      <c r="O28" s="1669"/>
      <c r="P28" s="2244"/>
      <c r="Q28" s="2244"/>
      <c r="R28" s="2244"/>
      <c r="S28" s="2244"/>
      <c r="T28" s="2244"/>
      <c r="U28" s="2244"/>
      <c r="V28" s="2244"/>
    </row>
    <row r="29" spans="1:28">
      <c r="A29" s="3321"/>
      <c r="B29" s="294" t="s">
        <v>2215</v>
      </c>
      <c r="C29" s="2228" t="s">
        <v>3503</v>
      </c>
      <c r="D29" s="2229"/>
      <c r="E29" s="2441"/>
      <c r="F29" s="2441"/>
      <c r="G29" s="2441"/>
      <c r="H29" s="2441"/>
      <c r="I29" s="2441"/>
      <c r="J29" s="2244"/>
      <c r="K29" s="2401"/>
      <c r="L29" s="2398"/>
      <c r="M29" s="2398"/>
      <c r="N29" s="2244"/>
      <c r="O29" s="1669"/>
      <c r="P29" s="2244"/>
      <c r="Q29" s="2244"/>
      <c r="R29" s="2244"/>
      <c r="S29" s="2244"/>
      <c r="T29" s="2244"/>
      <c r="U29" s="2244"/>
      <c r="V29" s="2244"/>
    </row>
    <row r="30" spans="1:28">
      <c r="A30" s="3322"/>
      <c r="B30" s="294" t="s">
        <v>2216</v>
      </c>
      <c r="C30" s="3323"/>
      <c r="D30" s="3324"/>
      <c r="E30" s="2441"/>
      <c r="F30" s="2441"/>
      <c r="G30" s="2441"/>
      <c r="H30" s="2441"/>
      <c r="I30" s="2441"/>
      <c r="J30" s="2244"/>
      <c r="K30" s="2401"/>
      <c r="L30" s="2398"/>
      <c r="M30" s="2398"/>
      <c r="N30" s="2244"/>
      <c r="O30" s="1669"/>
      <c r="P30" s="2244"/>
      <c r="Q30" s="2244"/>
      <c r="R30" s="2244"/>
      <c r="S30" s="2244"/>
      <c r="T30" s="2244"/>
      <c r="U30" s="2244"/>
      <c r="V30" s="2244"/>
    </row>
    <row r="31" spans="1:28">
      <c r="A31" s="3325" t="s">
        <v>2217</v>
      </c>
      <c r="B31" s="2230" t="s">
        <v>3504</v>
      </c>
      <c r="C31" s="12" t="str">
        <f>IF(B31="现房","成新及维护状况正常否",IF(B31="在建","工程状态是否正常",IF(B31="土地","是否闲置","-")))</f>
        <v>工程状态是否正常</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32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32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2218</v>
      </c>
      <c r="B34" s="1869" t="s">
        <v>3505</v>
      </c>
      <c r="C34" s="1869" t="s">
        <v>3506</v>
      </c>
      <c r="D34" s="1869" t="s">
        <v>3507</v>
      </c>
      <c r="E34" s="1869" t="s">
        <v>3508</v>
      </c>
      <c r="F34" s="1869" t="s">
        <v>3509</v>
      </c>
      <c r="G34" s="1869"/>
      <c r="H34" s="1869"/>
      <c r="I34" s="2441"/>
      <c r="J34" s="2244"/>
      <c r="K34" s="8">
        <f>COUNTIF(B34:H34,"——")</f>
        <v>0</v>
      </c>
      <c r="L34" s="315" t="s">
        <v>2219</v>
      </c>
      <c r="M34" s="315" t="s">
        <v>2220</v>
      </c>
      <c r="N34" s="315" t="s">
        <v>2221</v>
      </c>
      <c r="O34" s="315" t="s">
        <v>2222</v>
      </c>
      <c r="P34" s="315" t="s">
        <v>2223</v>
      </c>
      <c r="Q34" s="315" t="s">
        <v>2224</v>
      </c>
      <c r="R34" s="315" t="s">
        <v>2225</v>
      </c>
      <c r="S34" s="3320" t="s">
        <v>2226</v>
      </c>
      <c r="T34" s="315" t="str">
        <f>NUMBERSTRING(7-K34,1)&amp;"通"</f>
        <v>七通</v>
      </c>
      <c r="U34" s="2244"/>
      <c r="V34" s="2244"/>
    </row>
    <row r="35" spans="1:30">
      <c r="A35" s="2235"/>
      <c r="B35" s="3320" t="s">
        <v>2227</v>
      </c>
      <c r="C35" s="3320"/>
      <c r="D35" s="3320"/>
      <c r="E35" s="3320"/>
      <c r="F35" s="8">
        <f>C10</f>
        <v>0</v>
      </c>
      <c r="G35" s="2441"/>
      <c r="H35" s="2441"/>
      <c r="I35" s="2441"/>
      <c r="J35" s="2244"/>
      <c r="K35" s="315"/>
      <c r="L35" s="315" t="str">
        <f>B34</f>
        <v>通路</v>
      </c>
      <c r="M35" s="138" t="str">
        <f>B34&amp;"、"&amp;C34</f>
        <v>通路、通电</v>
      </c>
      <c r="N35" s="138" t="str">
        <f>B34&amp;"、"&amp;C34&amp;"、"&amp;D34</f>
        <v>通路、通电、通上水</v>
      </c>
      <c r="O35" s="138" t="str">
        <f>B34&amp;"、"&amp;C34&amp;"、"&amp;D34&amp;"、"&amp;E34</f>
        <v>通路、通电、通上水、通下水</v>
      </c>
      <c r="P35" s="138" t="str">
        <f>B34&amp;"、"&amp;C34&amp;"、"&amp;D34&amp;"、"&amp;E34&amp;"、"&amp;F34</f>
        <v>通路、通电、通上水、通下水、通热</v>
      </c>
      <c r="Q35" s="138" t="str">
        <f>B34&amp;"、"&amp;C34&amp;"、"&amp;D34&amp;"、"&amp;E34&amp;"、"&amp;F34&amp;"、"&amp;G34</f>
        <v>通路、通电、通上水、通下水、通热、</v>
      </c>
      <c r="R35" s="138" t="str">
        <f>B34&amp;"、"&amp;C34&amp;"、"&amp;D34&amp;"、"&amp;E34&amp;"、"&amp;F34&amp;"、"&amp;G34&amp;"、"&amp;H34</f>
        <v>通路、通电、通上水、通下水、通热、、</v>
      </c>
      <c r="S35" s="3320"/>
      <c r="T35" s="138" t="str">
        <f>IF(T34="一通",L35,IF(T34="二通",M35,IF(T34="三通",N35,IF(T34="四通",O35,IF(T34="五通",P35,IF(T34="六通",Q35,R35))))))</f>
        <v>通路、通电、通上水、通下水、通热、、</v>
      </c>
      <c r="U35" s="2244"/>
      <c r="V35" s="2244"/>
    </row>
    <row r="36" spans="1:30">
      <c r="A36" s="2182"/>
      <c r="B36" s="8" t="s">
        <v>2183</v>
      </c>
      <c r="C36" s="8" t="s">
        <v>2184</v>
      </c>
      <c r="D36" s="8" t="s">
        <v>2182</v>
      </c>
      <c r="E36" s="8" t="s">
        <v>2187</v>
      </c>
      <c r="F36" s="2800" t="s">
        <v>2579</v>
      </c>
      <c r="G36" s="2441"/>
      <c r="H36" s="2441"/>
      <c r="I36" s="2441"/>
      <c r="J36" s="2244"/>
      <c r="K36" s="2401"/>
      <c r="L36" s="2398"/>
      <c r="M36" s="2398"/>
      <c r="N36" s="2244"/>
      <c r="O36" s="1669"/>
      <c r="P36" s="2244"/>
      <c r="Q36" s="2244"/>
      <c r="R36" s="2244"/>
      <c r="S36" s="2244"/>
      <c r="T36" s="2244"/>
      <c r="U36" s="2244"/>
      <c r="V36" s="2244"/>
    </row>
    <row r="37" spans="1:30">
      <c r="A37" s="2414" t="s">
        <v>2228</v>
      </c>
      <c r="B37" s="2236" t="s">
        <v>306</v>
      </c>
      <c r="C37" s="2236" t="s">
        <v>306</v>
      </c>
      <c r="D37" s="2236" t="s">
        <v>306</v>
      </c>
      <c r="E37" s="2236"/>
      <c r="F37" s="2236" t="s">
        <v>306</v>
      </c>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面积及建安取值!B6</f>
        <v>15311.45</v>
      </c>
      <c r="B3" s="11">
        <f>IF(C3="否",G5-AT5,G5)</f>
        <v>38906.050000000003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42909.94</v>
      </c>
      <c r="H5" s="13">
        <f t="shared" ref="H5:AT5" si="0">SUM(H13:H656)</f>
        <v>36323.870000000003</v>
      </c>
      <c r="I5" s="13">
        <f t="shared" si="0"/>
        <v>23729.450000000004</v>
      </c>
      <c r="J5" s="13">
        <f t="shared" si="0"/>
        <v>0</v>
      </c>
      <c r="K5" s="13">
        <f t="shared" si="0"/>
        <v>2354.37</v>
      </c>
      <c r="L5" s="13">
        <f t="shared" si="0"/>
        <v>0</v>
      </c>
      <c r="M5" s="13">
        <f t="shared" si="0"/>
        <v>10240.049999999999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2582.1799999999998</v>
      </c>
      <c r="AD5" s="13">
        <f t="shared" si="0"/>
        <v>206.11</v>
      </c>
      <c r="AE5" s="13">
        <f t="shared" si="0"/>
        <v>206.11</v>
      </c>
      <c r="AF5" s="13">
        <f t="shared" si="0"/>
        <v>518.42999999999995</v>
      </c>
      <c r="AG5" s="13">
        <f t="shared" si="0"/>
        <v>518.42999999999995</v>
      </c>
      <c r="AH5" s="13">
        <f t="shared" si="0"/>
        <v>104.07</v>
      </c>
      <c r="AI5" s="13">
        <f t="shared" si="0"/>
        <v>104.07</v>
      </c>
      <c r="AJ5" s="13">
        <f t="shared" si="0"/>
        <v>52.23</v>
      </c>
      <c r="AK5" s="13">
        <f t="shared" si="0"/>
        <v>52.23</v>
      </c>
      <c r="AL5" s="13">
        <f t="shared" si="0"/>
        <v>47.43</v>
      </c>
      <c r="AM5" s="13">
        <f t="shared" si="0"/>
        <v>47.43</v>
      </c>
      <c r="AN5" s="13">
        <f t="shared" si="0"/>
        <v>1653.91</v>
      </c>
      <c r="AO5" s="13">
        <f t="shared" si="0"/>
        <v>1653.91</v>
      </c>
      <c r="AP5" s="13">
        <f t="shared" si="0"/>
        <v>0</v>
      </c>
      <c r="AQ5" s="13">
        <f t="shared" si="0"/>
        <v>0</v>
      </c>
      <c r="AR5" s="13">
        <f t="shared" si="0"/>
        <v>0</v>
      </c>
      <c r="AS5" s="13">
        <f t="shared" si="0"/>
        <v>0</v>
      </c>
      <c r="AT5" s="13">
        <f t="shared" si="0"/>
        <v>4003.89</v>
      </c>
      <c r="AU5" s="1257"/>
      <c r="AV5" s="12" t="s">
        <v>1071</v>
      </c>
      <c r="AW5" s="1258"/>
      <c r="AX5" s="1258"/>
      <c r="AY5" s="14" t="s">
        <v>2</v>
      </c>
      <c r="AZ5" s="15">
        <f t="shared" ref="AZ5:BT5" si="1">SUM(AZ13:AZ656)</f>
        <v>36323.870000000003</v>
      </c>
      <c r="BA5" s="15">
        <f t="shared" si="1"/>
        <v>36323.870000000003</v>
      </c>
      <c r="BB5" s="15">
        <f t="shared" si="1"/>
        <v>23729.450000000004</v>
      </c>
      <c r="BC5" s="15">
        <f t="shared" si="1"/>
        <v>2354.37</v>
      </c>
      <c r="BD5" s="15">
        <f t="shared" si="1"/>
        <v>10240.049999999999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15311.46</v>
      </c>
      <c r="F6" s="13" t="s">
        <v>0</v>
      </c>
      <c r="G6" s="13" t="s">
        <v>1</v>
      </c>
      <c r="H6" s="17">
        <f>SUMIF(I$12:AB$12,"总值",I6:AB6)</f>
        <v>14295.23</v>
      </c>
      <c r="I6" s="13">
        <f t="shared" ref="I6:AB6" si="2">ROUND($A$3*I5/$B$3,2)</f>
        <v>9338.7099999999991</v>
      </c>
      <c r="J6" s="13">
        <f t="shared" si="2"/>
        <v>0</v>
      </c>
      <c r="K6" s="13">
        <f t="shared" si="2"/>
        <v>926.56</v>
      </c>
      <c r="L6" s="13">
        <f t="shared" si="2"/>
        <v>0</v>
      </c>
      <c r="M6" s="13">
        <f t="shared" si="2"/>
        <v>4029.96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1016.23</v>
      </c>
      <c r="AD6" s="13">
        <f t="shared" ref="AD6:AS6" si="3">ROUND($A$3*AD5/$B$3,2)</f>
        <v>81.11</v>
      </c>
      <c r="AE6" s="13">
        <f t="shared" si="3"/>
        <v>81.11</v>
      </c>
      <c r="AF6" s="13">
        <f t="shared" si="3"/>
        <v>204.03</v>
      </c>
      <c r="AG6" s="13">
        <f t="shared" si="3"/>
        <v>204.03</v>
      </c>
      <c r="AH6" s="13">
        <f t="shared" si="3"/>
        <v>40.96</v>
      </c>
      <c r="AI6" s="13">
        <f t="shared" si="3"/>
        <v>40.96</v>
      </c>
      <c r="AJ6" s="13">
        <f t="shared" si="3"/>
        <v>20.56</v>
      </c>
      <c r="AK6" s="13">
        <f t="shared" si="3"/>
        <v>20.56</v>
      </c>
      <c r="AL6" s="13">
        <f t="shared" si="3"/>
        <v>18.670000000000002</v>
      </c>
      <c r="AM6" s="13">
        <f t="shared" si="3"/>
        <v>18.670000000000002</v>
      </c>
      <c r="AN6" s="13">
        <f t="shared" si="3"/>
        <v>650.9</v>
      </c>
      <c r="AO6" s="13">
        <f t="shared" si="3"/>
        <v>650.9</v>
      </c>
      <c r="AP6" s="13">
        <f t="shared" si="3"/>
        <v>0</v>
      </c>
      <c r="AQ6" s="13">
        <f t="shared" si="3"/>
        <v>0</v>
      </c>
      <c r="AR6" s="13">
        <f t="shared" si="3"/>
        <v>0</v>
      </c>
      <c r="AS6" s="13">
        <f t="shared" si="3"/>
        <v>0</v>
      </c>
      <c r="AT6" s="17">
        <f>IF(C3="是",ROUND($A$3*AT5/$B$3,2),0)</f>
        <v>0</v>
      </c>
      <c r="AU6" s="1475"/>
      <c r="AV6" s="12" t="s">
        <v>1072</v>
      </c>
      <c r="AW6" s="1473"/>
      <c r="AX6" s="1473"/>
      <c r="AY6" s="18">
        <f>IF(AY3&gt;0,AY3,ROUND($A$3*AZ5/$B$3,2))</f>
        <v>14295.23</v>
      </c>
      <c r="AZ6" s="13" t="s">
        <v>2</v>
      </c>
      <c r="BA6" s="13">
        <f>ROUND($AY$6*BA5/$AZ$5,2)</f>
        <v>14295.23</v>
      </c>
      <c r="BB6" s="13">
        <f>ROUND($AY$6*BB5/$AZ$5,2)</f>
        <v>9338.7099999999991</v>
      </c>
      <c r="BC6" s="13">
        <f t="shared" ref="BC6:BH6" si="4">ROUND($AY$6*BC5/$AZ$5,2)</f>
        <v>926.56</v>
      </c>
      <c r="BD6" s="13">
        <f t="shared" si="4"/>
        <v>4029.96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3427</v>
      </c>
      <c r="J9" s="761"/>
      <c r="K9" s="1490" t="s">
        <v>3428</v>
      </c>
      <c r="L9" s="761"/>
      <c r="M9" s="1490" t="s">
        <v>3428</v>
      </c>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3470</v>
      </c>
      <c r="J10" s="761"/>
      <c r="K10" s="1496" t="s">
        <v>3334</v>
      </c>
      <c r="L10" s="761"/>
      <c r="M10" s="1496" t="s">
        <v>3333</v>
      </c>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仓储</v>
      </c>
      <c r="BD11" s="1486" t="str">
        <f>M10</f>
        <v>车库</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3510</v>
      </c>
      <c r="E13" s="13">
        <f>IF($C$3="是",ROUND($A$3*G13/$B$3,2),ROUND($A$3*(G13-AT13)/$B$3,2))</f>
        <v>15311.45</v>
      </c>
      <c r="F13" s="29"/>
      <c r="G13" s="30">
        <f>H13+AC13+AT13</f>
        <v>42909.94</v>
      </c>
      <c r="H13" s="17">
        <f>SUMIF(I$12:AB$12,"总值",I13:AB13)</f>
        <v>36323.870000000003</v>
      </c>
      <c r="I13" s="1513">
        <f>面积及建安取值!C52-房源清单!F457</f>
        <v>23729.450000000004</v>
      </c>
      <c r="J13" s="1513"/>
      <c r="K13" s="1513">
        <f>面积及建安取值!H52</f>
        <v>2354.37</v>
      </c>
      <c r="L13" s="1513"/>
      <c r="M13" s="1513">
        <f>面积及建安取值!G52</f>
        <v>10240.049999999999</v>
      </c>
      <c r="N13" s="1513"/>
      <c r="O13" s="1513"/>
      <c r="P13" s="1513"/>
      <c r="Q13" s="1513"/>
      <c r="R13" s="1513"/>
      <c r="S13" s="1513"/>
      <c r="T13" s="1513"/>
      <c r="U13" s="1513"/>
      <c r="V13" s="1513"/>
      <c r="W13" s="1513"/>
      <c r="X13" s="1513"/>
      <c r="Y13" s="1513"/>
      <c r="Z13" s="1513"/>
      <c r="AA13" s="1513"/>
      <c r="AB13" s="1513"/>
      <c r="AC13" s="13">
        <f>SUMIF(AD$12:AS$12,"总值",AD13:AS13)</f>
        <v>2582.1799999999998</v>
      </c>
      <c r="AD13" s="989">
        <f>面积及建安取值!E52</f>
        <v>206.11</v>
      </c>
      <c r="AE13" s="989">
        <f>AD13</f>
        <v>206.11</v>
      </c>
      <c r="AF13" s="989">
        <f>面积及建安取值!J52</f>
        <v>518.42999999999995</v>
      </c>
      <c r="AG13" s="989">
        <f>AF13</f>
        <v>518.42999999999995</v>
      </c>
      <c r="AH13" s="989">
        <f>面积及建安取值!D52</f>
        <v>104.07</v>
      </c>
      <c r="AI13" s="989">
        <f>AH13</f>
        <v>104.07</v>
      </c>
      <c r="AJ13" s="989">
        <f>面积及建安取值!I52</f>
        <v>52.23</v>
      </c>
      <c r="AK13" s="989">
        <f>AJ13</f>
        <v>52.23</v>
      </c>
      <c r="AL13" s="989">
        <f>面积及建安取值!F52</f>
        <v>47.43</v>
      </c>
      <c r="AM13" s="989">
        <f>AL13</f>
        <v>47.43</v>
      </c>
      <c r="AN13" s="989">
        <f>面积及建安取值!K52</f>
        <v>1653.91</v>
      </c>
      <c r="AO13" s="989">
        <f>AN13</f>
        <v>1653.91</v>
      </c>
      <c r="AP13" s="989"/>
      <c r="AQ13" s="989"/>
      <c r="AR13" s="989"/>
      <c r="AS13" s="989"/>
      <c r="AT13" s="29">
        <f>面积及建安取值!L52</f>
        <v>4003.89</v>
      </c>
      <c r="AU13" s="1514"/>
      <c r="AV13" s="8">
        <f t="shared" ref="AV13:AX17" si="6">A13</f>
        <v>0</v>
      </c>
      <c r="AW13" s="8">
        <f t="shared" si="6"/>
        <v>0</v>
      </c>
      <c r="AX13" s="8">
        <f t="shared" si="6"/>
        <v>0</v>
      </c>
      <c r="AY13" s="1259">
        <f>ROUND($AY$6*AZ13/$AZ$5,2)</f>
        <v>14295.23</v>
      </c>
      <c r="AZ13" s="13">
        <f>BA13+BL13</f>
        <v>36323.870000000003</v>
      </c>
      <c r="BA13" s="13">
        <f>SUM(BB13:BK13)</f>
        <v>36323.870000000003</v>
      </c>
      <c r="BB13" s="13">
        <f>IF($D13="是",I13-J13,0)</f>
        <v>23729.450000000004</v>
      </c>
      <c r="BC13" s="13">
        <f>IF($D13="是",K13-L13,0)</f>
        <v>2354.37</v>
      </c>
      <c r="BD13" s="13">
        <f>IF($D13="是",M13-N13,0)</f>
        <v>10240.049999999999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
  <sheetViews>
    <sheetView topLeftCell="A25" workbookViewId="0">
      <selection activeCell="O34" sqref="O34"/>
    </sheetView>
  </sheetViews>
  <sheetFormatPr defaultColWidth="9" defaultRowHeight="12"/>
  <cols>
    <col min="1" max="1" width="15.875" style="3144" customWidth="1"/>
    <col min="2" max="2" width="9.75" style="3144" customWidth="1"/>
    <col min="3" max="3" width="9.375" style="3144" bestFit="1" customWidth="1"/>
    <col min="4" max="6" width="9" style="3144"/>
    <col min="7" max="7" width="10.25" style="3144" bestFit="1" customWidth="1"/>
    <col min="8" max="8" width="9.5" style="3144" bestFit="1" customWidth="1"/>
    <col min="9" max="10" width="9" style="3144"/>
    <col min="11" max="11" width="9.5" style="3144" bestFit="1" customWidth="1"/>
    <col min="12" max="12" width="11.25" style="3144" bestFit="1" customWidth="1"/>
    <col min="13" max="13" width="10.25" style="3144" bestFit="1" customWidth="1"/>
    <col min="14" max="14" width="9.125" style="3144" bestFit="1" customWidth="1"/>
    <col min="15" max="15" width="9.125" style="3144" customWidth="1"/>
    <col min="16" max="16" width="9" style="3144"/>
    <col min="17" max="17" width="16.875" style="3144" customWidth="1"/>
    <col min="18" max="18" width="9.375" style="3144" customWidth="1"/>
    <col min="19" max="19" width="12.75" style="3144" bestFit="1" customWidth="1"/>
    <col min="20" max="20" width="9" style="3144"/>
    <col min="21" max="21" width="9.5" style="3144" bestFit="1" customWidth="1"/>
    <col min="22" max="23" width="9" style="3144"/>
    <col min="24" max="24" width="11.25" style="3144" bestFit="1" customWidth="1"/>
    <col min="25" max="16384" width="9" style="3144"/>
  </cols>
  <sheetData>
    <row r="1" spans="1:25" ht="36">
      <c r="A1" s="3144" t="s">
        <v>3383</v>
      </c>
      <c r="B1" s="3144" t="s">
        <v>3384</v>
      </c>
      <c r="C1" s="3144" t="s">
        <v>3385</v>
      </c>
      <c r="D1" s="3144" t="s">
        <v>3386</v>
      </c>
      <c r="E1" s="3144" t="s">
        <v>3387</v>
      </c>
      <c r="F1" s="3144" t="s">
        <v>3388</v>
      </c>
      <c r="G1" s="3144" t="s">
        <v>3389</v>
      </c>
      <c r="H1" s="3144" t="s">
        <v>3390</v>
      </c>
      <c r="I1" s="3144" t="s">
        <v>3391</v>
      </c>
      <c r="J1" s="3144" t="s">
        <v>3392</v>
      </c>
      <c r="K1" s="3144" t="s">
        <v>3393</v>
      </c>
      <c r="L1" s="3144" t="s">
        <v>3394</v>
      </c>
      <c r="M1" s="3144" t="s">
        <v>3395</v>
      </c>
      <c r="N1" s="3144" t="s">
        <v>3396</v>
      </c>
    </row>
    <row r="2" spans="1:25" ht="48">
      <c r="A2" s="3144" t="s">
        <v>3397</v>
      </c>
      <c r="B2" s="3144" t="s">
        <v>3398</v>
      </c>
      <c r="C2" s="3144">
        <v>25569.013999999999</v>
      </c>
      <c r="D2" s="3144">
        <v>52000</v>
      </c>
      <c r="F2" s="3144">
        <v>40910.422400000003</v>
      </c>
      <c r="G2" s="3145">
        <v>45147</v>
      </c>
      <c r="J2" s="3144">
        <f>E2*0.03</f>
        <v>0</v>
      </c>
      <c r="K2" s="3144">
        <f>ROUND(D2/F2*10000,0)</f>
        <v>12711</v>
      </c>
      <c r="L2" s="3144">
        <f>M2+N2</f>
        <v>60757.429999999993</v>
      </c>
      <c r="M2" s="3144">
        <v>40910.42</v>
      </c>
      <c r="N2" s="3144">
        <v>19847.009999999998</v>
      </c>
    </row>
    <row r="3" spans="1:25" ht="38.25">
      <c r="A3" s="3144" t="s">
        <v>3399</v>
      </c>
      <c r="C3" s="3144">
        <v>25569.360000000001</v>
      </c>
      <c r="G3" s="3145"/>
    </row>
    <row r="4" spans="1:25">
      <c r="G4" s="3145"/>
    </row>
    <row r="5" spans="1:25">
      <c r="C5" s="3144" t="s">
        <v>3400</v>
      </c>
      <c r="D5" s="3144">
        <f>SUM(E5:I5)</f>
        <v>52000</v>
      </c>
      <c r="E5" s="3146">
        <v>10500</v>
      </c>
      <c r="F5" s="3146">
        <v>500</v>
      </c>
      <c r="G5" s="3146">
        <v>14900</v>
      </c>
      <c r="H5" s="3146">
        <v>100</v>
      </c>
      <c r="I5" s="3146">
        <v>26000</v>
      </c>
    </row>
    <row r="6" spans="1:25">
      <c r="A6" s="3144" t="s">
        <v>3401</v>
      </c>
      <c r="B6" s="3144">
        <f>ROUND(C3*'数据-汇总表'!E3/B52,2)</f>
        <v>15311.45</v>
      </c>
      <c r="C6" s="3144" t="s">
        <v>3402</v>
      </c>
      <c r="D6" s="3144">
        <f>5895643/10000</f>
        <v>589.5643</v>
      </c>
      <c r="E6" s="3146">
        <v>589.5643</v>
      </c>
      <c r="F6" s="3146"/>
      <c r="G6" s="3146"/>
      <c r="H6" s="3146"/>
      <c r="I6" s="3146"/>
    </row>
    <row r="7" spans="1:25">
      <c r="C7" s="3144" t="s">
        <v>3403</v>
      </c>
      <c r="D7" s="3144">
        <f>D2-D5</f>
        <v>0</v>
      </c>
    </row>
    <row r="8" spans="1:25">
      <c r="C8" s="3144" t="s">
        <v>3404</v>
      </c>
      <c r="D8" s="3144">
        <f>ROUND((D2+D6)*0.03,0)</f>
        <v>1578</v>
      </c>
      <c r="E8" s="3146">
        <v>1560</v>
      </c>
      <c r="F8" s="3144">
        <f>176869.29/10000</f>
        <v>17.686928999999999</v>
      </c>
      <c r="G8" s="3147"/>
      <c r="H8" s="3147"/>
      <c r="I8" s="3147"/>
      <c r="J8" s="3147"/>
      <c r="K8" s="3147"/>
      <c r="L8" s="3147"/>
      <c r="M8" s="3147"/>
      <c r="N8" s="3147"/>
      <c r="O8" s="3147"/>
    </row>
    <row r="9" spans="1:25">
      <c r="F9" s="3146"/>
      <c r="H9" s="3147"/>
      <c r="I9" s="3147"/>
      <c r="J9" s="3147"/>
      <c r="K9" s="3147"/>
      <c r="L9" s="3147"/>
      <c r="M9" s="3147"/>
      <c r="N9" s="3147"/>
      <c r="O9" s="3147"/>
      <c r="P9" s="3147"/>
    </row>
    <row r="10" spans="1:25" ht="25.5" customHeight="1" thickBot="1">
      <c r="A10" s="3329" t="s">
        <v>3405</v>
      </c>
      <c r="B10" s="3329"/>
      <c r="C10" s="3330"/>
      <c r="D10" s="3330"/>
      <c r="E10" s="3330"/>
      <c r="F10" s="3330"/>
      <c r="G10" s="3329"/>
      <c r="H10" s="3329"/>
      <c r="I10" s="3329"/>
      <c r="J10" s="3329"/>
      <c r="K10" s="3329"/>
      <c r="L10" s="3329"/>
      <c r="M10" s="3329"/>
      <c r="N10" s="3329"/>
      <c r="O10" s="3147"/>
      <c r="P10" s="3147"/>
    </row>
    <row r="11" spans="1:25">
      <c r="A11" s="3148"/>
      <c r="B11" s="3149"/>
      <c r="C11" s="3331" t="s">
        <v>3406</v>
      </c>
      <c r="D11" s="3332"/>
      <c r="E11" s="3333"/>
      <c r="F11" s="3334"/>
      <c r="G11" s="3335" t="s">
        <v>3407</v>
      </c>
      <c r="H11" s="3336"/>
      <c r="I11" s="3336"/>
      <c r="J11" s="3336"/>
      <c r="K11" s="3336"/>
      <c r="L11" s="3336"/>
      <c r="M11" s="3148"/>
      <c r="N11" s="3148"/>
      <c r="P11" s="3150"/>
      <c r="Q11" s="3150"/>
      <c r="R11" s="3150"/>
    </row>
    <row r="12" spans="1:25" ht="24">
      <c r="A12" s="3148" t="s">
        <v>3408</v>
      </c>
      <c r="B12" s="3149" t="s">
        <v>3409</v>
      </c>
      <c r="C12" s="3151" t="s">
        <v>2552</v>
      </c>
      <c r="D12" s="3148" t="s">
        <v>3410</v>
      </c>
      <c r="E12" s="3149" t="s">
        <v>3411</v>
      </c>
      <c r="F12" s="3152" t="s">
        <v>3412</v>
      </c>
      <c r="G12" s="3153" t="s">
        <v>3413</v>
      </c>
      <c r="H12" s="3148" t="s">
        <v>3414</v>
      </c>
      <c r="I12" s="3148" t="s">
        <v>3415</v>
      </c>
      <c r="J12" s="3148" t="s">
        <v>3416</v>
      </c>
      <c r="K12" s="3148" t="s">
        <v>3417</v>
      </c>
      <c r="L12" s="3148" t="s">
        <v>3418</v>
      </c>
      <c r="M12" s="3148" t="s">
        <v>3419</v>
      </c>
      <c r="N12" s="3148" t="s">
        <v>3420</v>
      </c>
      <c r="P12" s="3150"/>
      <c r="Q12" s="3150"/>
      <c r="R12" s="3150"/>
    </row>
    <row r="13" spans="1:25" s="3147" customFormat="1" ht="14.25" customHeight="1">
      <c r="A13" s="3154" t="s">
        <v>3421</v>
      </c>
      <c r="B13" s="3155">
        <f>SUM(C13:L13)</f>
        <v>7335.63</v>
      </c>
      <c r="C13" s="3156">
        <v>6867.2</v>
      </c>
      <c r="D13" s="3154"/>
      <c r="E13" s="3155"/>
      <c r="F13" s="3157"/>
      <c r="G13" s="3158"/>
      <c r="H13" s="3154">
        <v>375.87</v>
      </c>
      <c r="I13" s="3154"/>
      <c r="J13" s="3154"/>
      <c r="K13" s="3154">
        <v>92.56</v>
      </c>
      <c r="L13" s="3154"/>
      <c r="M13" s="3154">
        <v>8</v>
      </c>
      <c r="N13" s="3154">
        <f>SUM(G13:K13)</f>
        <v>468.43</v>
      </c>
      <c r="P13" s="3159" t="s">
        <v>3422</v>
      </c>
      <c r="Q13" s="3159" t="s">
        <v>3423</v>
      </c>
      <c r="R13" s="3337" t="s">
        <v>3424</v>
      </c>
      <c r="S13" s="3337"/>
      <c r="T13" s="3337"/>
      <c r="U13" s="3150"/>
      <c r="V13" s="3154" t="s">
        <v>3488</v>
      </c>
      <c r="W13" s="3154" t="s">
        <v>3489</v>
      </c>
      <c r="X13" s="3154" t="s">
        <v>3490</v>
      </c>
      <c r="Y13" s="3154" t="s">
        <v>3491</v>
      </c>
    </row>
    <row r="14" spans="1:25" s="3147" customFormat="1" ht="14.25">
      <c r="A14" s="3154" t="s">
        <v>3425</v>
      </c>
      <c r="B14" s="3155">
        <f t="shared" ref="B14:B27" si="0">SUM(C14:L14)</f>
        <v>2520.6799999999998</v>
      </c>
      <c r="C14" s="3156">
        <v>2168.64</v>
      </c>
      <c r="D14" s="3154"/>
      <c r="E14" s="3155"/>
      <c r="F14" s="3157"/>
      <c r="G14" s="3158"/>
      <c r="H14" s="3154">
        <v>270.45999999999998</v>
      </c>
      <c r="I14" s="3154"/>
      <c r="J14" s="3154"/>
      <c r="K14" s="3154">
        <v>81.58</v>
      </c>
      <c r="L14" s="3154"/>
      <c r="M14" s="3154">
        <v>8</v>
      </c>
      <c r="N14" s="3154">
        <f t="shared" ref="N14:N27" si="1">SUM(G14:K14)</f>
        <v>352.03999999999996</v>
      </c>
      <c r="P14" s="3159"/>
      <c r="Q14" s="3159"/>
      <c r="R14" s="3159" t="s">
        <v>3426</v>
      </c>
      <c r="S14" s="3159" t="s">
        <v>3427</v>
      </c>
      <c r="T14" s="3159" t="s">
        <v>3428</v>
      </c>
      <c r="U14" s="3150"/>
      <c r="V14" s="3154" t="s">
        <v>3492</v>
      </c>
      <c r="W14" s="3154">
        <f>R15</f>
        <v>40496.17</v>
      </c>
      <c r="X14" s="3154">
        <v>5500</v>
      </c>
      <c r="Y14" s="3154">
        <f>W14*X14</f>
        <v>222728935</v>
      </c>
    </row>
    <row r="15" spans="1:25" s="3147" customFormat="1" ht="14.25">
      <c r="A15" s="3154" t="s">
        <v>3429</v>
      </c>
      <c r="B15" s="3155">
        <f t="shared" si="0"/>
        <v>2214.56</v>
      </c>
      <c r="C15" s="3156">
        <v>1906.55</v>
      </c>
      <c r="D15" s="3154"/>
      <c r="E15" s="3155"/>
      <c r="F15" s="3157"/>
      <c r="G15" s="3158"/>
      <c r="H15" s="3154">
        <v>239.2</v>
      </c>
      <c r="I15" s="3154"/>
      <c r="J15" s="3154"/>
      <c r="K15" s="3154">
        <v>68.81</v>
      </c>
      <c r="L15" s="3154"/>
      <c r="M15" s="3154">
        <v>8</v>
      </c>
      <c r="N15" s="3154">
        <f t="shared" si="1"/>
        <v>308.01</v>
      </c>
      <c r="P15" s="3337" t="s">
        <v>3430</v>
      </c>
      <c r="Q15" s="3159" t="s">
        <v>3431</v>
      </c>
      <c r="R15" s="3160">
        <f>S15</f>
        <v>40496.17</v>
      </c>
      <c r="S15" s="3160">
        <f>C28</f>
        <v>40496.17</v>
      </c>
      <c r="T15" s="3160">
        <v>0</v>
      </c>
      <c r="U15" s="3150"/>
      <c r="V15" s="3154" t="s">
        <v>3493</v>
      </c>
      <c r="W15" s="3154">
        <f>R16</f>
        <v>3300.17</v>
      </c>
      <c r="X15" s="3154">
        <v>4500</v>
      </c>
      <c r="Y15" s="3154">
        <f t="shared" ref="Y15:Y18" si="2">W15*X15</f>
        <v>14850765</v>
      </c>
    </row>
    <row r="16" spans="1:25" s="3147" customFormat="1" ht="14.25">
      <c r="A16" s="3154" t="s">
        <v>3432</v>
      </c>
      <c r="B16" s="3155">
        <f t="shared" si="0"/>
        <v>3717.57</v>
      </c>
      <c r="C16" s="3156">
        <v>3493.42</v>
      </c>
      <c r="D16" s="3154"/>
      <c r="E16" s="3155"/>
      <c r="F16" s="3157"/>
      <c r="G16" s="3158"/>
      <c r="H16" s="3154">
        <v>150.94</v>
      </c>
      <c r="I16" s="3154"/>
      <c r="J16" s="3154"/>
      <c r="K16" s="3154">
        <v>73.209999999999994</v>
      </c>
      <c r="L16" s="3154"/>
      <c r="M16" s="3154">
        <v>8</v>
      </c>
      <c r="N16" s="3154">
        <f t="shared" si="1"/>
        <v>224.14999999999998</v>
      </c>
      <c r="P16" s="3337"/>
      <c r="Q16" s="3159" t="s">
        <v>3414</v>
      </c>
      <c r="R16" s="3160">
        <f>T16</f>
        <v>3300.17</v>
      </c>
      <c r="S16" s="3160">
        <v>0</v>
      </c>
      <c r="T16" s="3160">
        <f>H28</f>
        <v>3300.17</v>
      </c>
      <c r="U16" s="3150"/>
      <c r="V16" s="3154" t="s">
        <v>3494</v>
      </c>
      <c r="W16" s="3154">
        <f>R17</f>
        <v>10594.97</v>
      </c>
      <c r="X16" s="3154">
        <v>4500</v>
      </c>
      <c r="Y16" s="3154">
        <f t="shared" si="2"/>
        <v>47677365</v>
      </c>
    </row>
    <row r="17" spans="1:28" s="3147" customFormat="1" ht="24">
      <c r="A17" s="3154" t="s">
        <v>3433</v>
      </c>
      <c r="B17" s="3155">
        <f t="shared" si="0"/>
        <v>3717.57</v>
      </c>
      <c r="C17" s="3156">
        <v>3493.42</v>
      </c>
      <c r="D17" s="3154"/>
      <c r="E17" s="3155"/>
      <c r="F17" s="3157"/>
      <c r="G17" s="3158"/>
      <c r="H17" s="3154">
        <v>150.58000000000001</v>
      </c>
      <c r="I17" s="3154"/>
      <c r="J17" s="3154"/>
      <c r="K17" s="3154">
        <v>73.569999999999993</v>
      </c>
      <c r="L17" s="3154"/>
      <c r="M17" s="3154">
        <v>8</v>
      </c>
      <c r="N17" s="3154">
        <f t="shared" si="1"/>
        <v>224.15</v>
      </c>
      <c r="P17" s="3337"/>
      <c r="Q17" s="3159" t="s">
        <v>3413</v>
      </c>
      <c r="R17" s="3160">
        <f>T17</f>
        <v>10594.97</v>
      </c>
      <c r="S17" s="3160">
        <v>0</v>
      </c>
      <c r="T17" s="3160">
        <f>G28</f>
        <v>10594.97</v>
      </c>
      <c r="U17" s="3150"/>
      <c r="V17" s="3154" t="s">
        <v>3495</v>
      </c>
      <c r="W17" s="3154">
        <f>R21</f>
        <v>2362.6</v>
      </c>
      <c r="X17" s="3154">
        <v>4500</v>
      </c>
      <c r="Y17" s="3154">
        <f t="shared" si="2"/>
        <v>10631700</v>
      </c>
    </row>
    <row r="18" spans="1:28" s="3147" customFormat="1" ht="14.25">
      <c r="A18" s="3154" t="s">
        <v>3434</v>
      </c>
      <c r="B18" s="3155">
        <f t="shared" si="0"/>
        <v>2517.34</v>
      </c>
      <c r="C18" s="3156">
        <v>2168.64</v>
      </c>
      <c r="D18" s="3154"/>
      <c r="E18" s="3155"/>
      <c r="F18" s="3157"/>
      <c r="G18" s="3158"/>
      <c r="H18" s="3154">
        <v>264.64999999999998</v>
      </c>
      <c r="I18" s="3154"/>
      <c r="J18" s="3154"/>
      <c r="K18" s="3154">
        <v>84.05</v>
      </c>
      <c r="L18" s="3154"/>
      <c r="M18" s="3154">
        <v>8</v>
      </c>
      <c r="N18" s="3154">
        <f t="shared" si="1"/>
        <v>348.7</v>
      </c>
      <c r="P18" s="3327" t="s">
        <v>3409</v>
      </c>
      <c r="Q18" s="3328"/>
      <c r="R18" s="3161">
        <f>SUM(R15:R17)</f>
        <v>54391.31</v>
      </c>
      <c r="S18" s="3161">
        <f>SUM(S15:S17)</f>
        <v>40496.17</v>
      </c>
      <c r="T18" s="3161">
        <f>SUM(T15:T17)</f>
        <v>13895.14</v>
      </c>
      <c r="U18" s="3150"/>
      <c r="V18" s="3154" t="s">
        <v>3496</v>
      </c>
      <c r="W18" s="3154">
        <f>R24</f>
        <v>4003.52</v>
      </c>
      <c r="X18" s="3154">
        <v>4500</v>
      </c>
      <c r="Y18" s="3154">
        <f t="shared" si="2"/>
        <v>18015840</v>
      </c>
    </row>
    <row r="19" spans="1:28" s="3147" customFormat="1" ht="14.25">
      <c r="A19" s="3154" t="s">
        <v>3435</v>
      </c>
      <c r="B19" s="3155">
        <f t="shared" si="0"/>
        <v>2217.3200000000002</v>
      </c>
      <c r="C19" s="3156">
        <v>1906.55</v>
      </c>
      <c r="D19" s="3154"/>
      <c r="E19" s="3155"/>
      <c r="F19" s="3157"/>
      <c r="G19" s="3158"/>
      <c r="H19" s="3154">
        <v>239.45</v>
      </c>
      <c r="I19" s="3154"/>
      <c r="J19" s="3154"/>
      <c r="K19" s="3154">
        <v>71.319999999999993</v>
      </c>
      <c r="L19" s="3154"/>
      <c r="M19" s="3154">
        <v>8</v>
      </c>
      <c r="N19" s="3154">
        <f t="shared" si="1"/>
        <v>310.77</v>
      </c>
      <c r="P19" s="3337" t="s">
        <v>3436</v>
      </c>
      <c r="Q19" s="3159" t="s">
        <v>3437</v>
      </c>
      <c r="R19" s="3160">
        <f>T19+S19</f>
        <v>1924.24</v>
      </c>
      <c r="S19" s="3160">
        <f>F24</f>
        <v>47.41</v>
      </c>
      <c r="T19" s="3160">
        <f>K28</f>
        <v>1876.83</v>
      </c>
      <c r="U19" s="3150"/>
      <c r="V19" s="3154" t="s">
        <v>3491</v>
      </c>
      <c r="W19" s="3154">
        <f>SUM(W14:W18)</f>
        <v>60757.429999999993</v>
      </c>
      <c r="X19" s="3154">
        <f>Y19/W19</f>
        <v>5166.5221027288353</v>
      </c>
      <c r="Y19" s="3154">
        <f>SUM(Y14:Y18)</f>
        <v>313904605</v>
      </c>
    </row>
    <row r="20" spans="1:28" s="3147" customFormat="1" ht="24">
      <c r="A20" s="3154" t="s">
        <v>3438</v>
      </c>
      <c r="B20" s="3155">
        <f t="shared" si="0"/>
        <v>3927.9700000000003</v>
      </c>
      <c r="C20" s="3156">
        <v>3677.34</v>
      </c>
      <c r="D20" s="3154"/>
      <c r="E20" s="3155"/>
      <c r="F20" s="3157"/>
      <c r="G20" s="3158"/>
      <c r="H20" s="3154">
        <v>177.01</v>
      </c>
      <c r="I20" s="3154"/>
      <c r="J20" s="3154"/>
      <c r="K20" s="3154">
        <v>73.62</v>
      </c>
      <c r="L20" s="3154"/>
      <c r="M20" s="3154">
        <v>8</v>
      </c>
      <c r="N20" s="3154">
        <f t="shared" si="1"/>
        <v>250.63</v>
      </c>
      <c r="P20" s="3337"/>
      <c r="Q20" s="3159" t="s">
        <v>3439</v>
      </c>
      <c r="R20" s="3160">
        <f>S20+T20</f>
        <v>438.36</v>
      </c>
      <c r="S20" s="3160">
        <f>D28+E28</f>
        <v>308.36</v>
      </c>
      <c r="T20" s="3160">
        <f>I28+J28</f>
        <v>130</v>
      </c>
      <c r="U20" s="3150"/>
      <c r="V20" s="3154" t="s">
        <v>3517</v>
      </c>
      <c r="W20" s="3154">
        <f>R18</f>
        <v>54391.31</v>
      </c>
      <c r="X20" s="3154">
        <f>Y19/W20</f>
        <v>5771.2271500723191</v>
      </c>
      <c r="Y20" s="3154"/>
    </row>
    <row r="21" spans="1:28" s="3147" customFormat="1" ht="24">
      <c r="A21" s="3154" t="s">
        <v>3440</v>
      </c>
      <c r="B21" s="3155">
        <f t="shared" si="0"/>
        <v>3916.26</v>
      </c>
      <c r="C21" s="3156">
        <v>3677.34</v>
      </c>
      <c r="D21" s="3154"/>
      <c r="E21" s="3155"/>
      <c r="F21" s="3157"/>
      <c r="G21" s="3158"/>
      <c r="H21" s="3154">
        <v>165.3</v>
      </c>
      <c r="I21" s="3154"/>
      <c r="J21" s="3154"/>
      <c r="K21" s="3154">
        <v>73.62</v>
      </c>
      <c r="L21" s="3154"/>
      <c r="M21" s="3154">
        <v>8</v>
      </c>
      <c r="N21" s="3154">
        <f t="shared" si="1"/>
        <v>238.92000000000002</v>
      </c>
      <c r="P21" s="3327" t="s">
        <v>3409</v>
      </c>
      <c r="Q21" s="3328"/>
      <c r="R21" s="3161">
        <f>S21+T21</f>
        <v>2362.6</v>
      </c>
      <c r="S21" s="3161">
        <f>SUM(S19:S20)</f>
        <v>355.77</v>
      </c>
      <c r="T21" s="3161">
        <f>SUM(T19:T20)</f>
        <v>2006.83</v>
      </c>
      <c r="U21" s="3150"/>
      <c r="V21" s="3154" t="s">
        <v>3518</v>
      </c>
      <c r="W21" s="3154">
        <f>'数据-汇总表'!E3</f>
        <v>36323.870000000003</v>
      </c>
      <c r="X21" s="3154">
        <f>Y19/W21</f>
        <v>8641.8271235966859</v>
      </c>
      <c r="Y21" s="3154"/>
    </row>
    <row r="22" spans="1:28" s="3147" customFormat="1" ht="14.25">
      <c r="A22" s="3154" t="s">
        <v>3441</v>
      </c>
      <c r="B22" s="3155">
        <f t="shared" si="0"/>
        <v>2520.3000000000002</v>
      </c>
      <c r="C22" s="3156">
        <v>2168.64</v>
      </c>
      <c r="D22" s="3154"/>
      <c r="E22" s="3155"/>
      <c r="F22" s="3157"/>
      <c r="G22" s="3158"/>
      <c r="H22" s="3154">
        <v>264.64999999999998</v>
      </c>
      <c r="I22" s="3154"/>
      <c r="J22" s="3154"/>
      <c r="K22" s="3154">
        <v>87.01</v>
      </c>
      <c r="L22" s="3154"/>
      <c r="M22" s="3154">
        <v>8</v>
      </c>
      <c r="N22" s="3154">
        <f t="shared" si="1"/>
        <v>351.65999999999997</v>
      </c>
      <c r="P22" s="3327" t="s">
        <v>3426</v>
      </c>
      <c r="Q22" s="3328"/>
      <c r="R22" s="3161">
        <f>R21+R18</f>
        <v>56753.909999999996</v>
      </c>
      <c r="S22" s="3161">
        <f>S21+S18</f>
        <v>40851.939999999995</v>
      </c>
      <c r="T22" s="3161">
        <f>T21+T18</f>
        <v>15901.97</v>
      </c>
      <c r="U22" s="3150"/>
      <c r="V22" s="3150"/>
    </row>
    <row r="23" spans="1:28" s="3147" customFormat="1">
      <c r="A23" s="3154" t="s">
        <v>3442</v>
      </c>
      <c r="B23" s="3155">
        <f t="shared" si="0"/>
        <v>2214.0099999999998</v>
      </c>
      <c r="C23" s="3156">
        <v>1906.55</v>
      </c>
      <c r="D23" s="3154"/>
      <c r="E23" s="3155"/>
      <c r="F23" s="3157"/>
      <c r="G23" s="3158"/>
      <c r="H23" s="3154">
        <v>239.51</v>
      </c>
      <c r="I23" s="3154"/>
      <c r="J23" s="3154"/>
      <c r="K23" s="3154">
        <v>67.95</v>
      </c>
      <c r="L23" s="3154"/>
      <c r="M23" s="3154">
        <v>8</v>
      </c>
      <c r="N23" s="3154">
        <f t="shared" si="1"/>
        <v>307.45999999999998</v>
      </c>
      <c r="P23" s="3150"/>
      <c r="Q23" s="3150"/>
      <c r="R23" s="3150"/>
      <c r="S23" s="3150"/>
      <c r="T23" s="3150"/>
      <c r="U23" s="3150"/>
      <c r="V23" s="3150"/>
    </row>
    <row r="24" spans="1:28" s="3147" customFormat="1">
      <c r="A24" s="3154" t="s">
        <v>3443</v>
      </c>
      <c r="B24" s="3155">
        <f t="shared" si="0"/>
        <v>4516.83</v>
      </c>
      <c r="C24" s="3156">
        <v>4039.46</v>
      </c>
      <c r="D24" s="3154"/>
      <c r="E24" s="3155"/>
      <c r="F24" s="3157">
        <v>47.41</v>
      </c>
      <c r="G24" s="3158"/>
      <c r="H24" s="3154">
        <v>343.98</v>
      </c>
      <c r="I24" s="3154"/>
      <c r="J24" s="3154"/>
      <c r="K24" s="3154">
        <v>85.98</v>
      </c>
      <c r="L24" s="3154"/>
      <c r="M24" s="3154">
        <v>8</v>
      </c>
      <c r="N24" s="3154">
        <f t="shared" si="1"/>
        <v>429.96000000000004</v>
      </c>
      <c r="P24" s="3150" t="s">
        <v>3444</v>
      </c>
      <c r="Q24" s="3150"/>
      <c r="R24" s="3150">
        <f>L28</f>
        <v>4003.52</v>
      </c>
      <c r="S24" s="3150"/>
      <c r="T24" s="3150"/>
      <c r="U24" s="3150"/>
      <c r="V24" s="3150"/>
    </row>
    <row r="25" spans="1:28" s="3147" customFormat="1">
      <c r="A25" s="3154" t="s">
        <v>3445</v>
      </c>
      <c r="B25" s="3155">
        <f t="shared" si="0"/>
        <v>3526.9700000000003</v>
      </c>
      <c r="C25" s="3156">
        <v>3022.42</v>
      </c>
      <c r="D25" s="3154"/>
      <c r="E25" s="3155"/>
      <c r="F25" s="3157"/>
      <c r="G25" s="3158"/>
      <c r="H25" s="3154">
        <v>418.57</v>
      </c>
      <c r="I25" s="3154"/>
      <c r="J25" s="3154"/>
      <c r="K25" s="3154">
        <v>85.98</v>
      </c>
      <c r="L25" s="3154"/>
      <c r="M25" s="3154">
        <v>6</v>
      </c>
      <c r="N25" s="3154">
        <f t="shared" si="1"/>
        <v>504.55</v>
      </c>
      <c r="Q25" s="3147" t="s">
        <v>3446</v>
      </c>
      <c r="R25" s="3147" t="s">
        <v>3447</v>
      </c>
      <c r="S25" s="3147" t="s">
        <v>3448</v>
      </c>
      <c r="U25" s="3150"/>
      <c r="V25" s="3150"/>
    </row>
    <row r="26" spans="1:28" s="3147" customFormat="1">
      <c r="A26" s="3154" t="s">
        <v>3449</v>
      </c>
      <c r="B26" s="3155">
        <f t="shared" si="0"/>
        <v>308.36</v>
      </c>
      <c r="C26" s="3156"/>
      <c r="D26" s="3154">
        <v>104</v>
      </c>
      <c r="E26" s="3157">
        <v>204.36</v>
      </c>
      <c r="F26" s="3157"/>
      <c r="G26" s="3158"/>
      <c r="H26" s="3154"/>
      <c r="I26" s="3154"/>
      <c r="J26" s="3154"/>
      <c r="K26" s="3154"/>
      <c r="L26" s="3154"/>
      <c r="M26" s="3154">
        <v>2</v>
      </c>
      <c r="N26" s="3154">
        <f t="shared" si="1"/>
        <v>0</v>
      </c>
      <c r="P26" s="3144" t="s">
        <v>3450</v>
      </c>
      <c r="Q26" s="3144">
        <v>3945.04</v>
      </c>
      <c r="R26" s="3144">
        <f>ROUND(Q26/S28,0)</f>
        <v>113</v>
      </c>
      <c r="S26" s="3144"/>
      <c r="T26" s="3144"/>
      <c r="U26" s="3144"/>
      <c r="V26" s="3144"/>
    </row>
    <row r="27" spans="1:28" s="3147" customFormat="1">
      <c r="A27" s="3154" t="s">
        <v>3451</v>
      </c>
      <c r="B27" s="3155">
        <f t="shared" si="0"/>
        <v>15586.06</v>
      </c>
      <c r="C27" s="3156"/>
      <c r="D27" s="3154"/>
      <c r="E27" s="3155"/>
      <c r="F27" s="3157"/>
      <c r="G27" s="3158">
        <v>10594.97</v>
      </c>
      <c r="H27" s="3154"/>
      <c r="I27" s="3154">
        <v>50</v>
      </c>
      <c r="J27" s="3154">
        <v>80</v>
      </c>
      <c r="K27" s="3154">
        <f>442.57+415</f>
        <v>857.56999999999994</v>
      </c>
      <c r="L27" s="3154">
        <f>28.53+29.95+3945.04</f>
        <v>4003.52</v>
      </c>
      <c r="M27" s="3154">
        <v>1</v>
      </c>
      <c r="N27" s="3154">
        <f t="shared" si="1"/>
        <v>11582.539999999999</v>
      </c>
      <c r="P27" s="3144" t="s">
        <v>3452</v>
      </c>
      <c r="Q27" s="3144">
        <f>G28</f>
        <v>10594.97</v>
      </c>
      <c r="R27" s="3144">
        <f>ROUND(Q27/S28,0)</f>
        <v>303</v>
      </c>
      <c r="S27" s="3144"/>
      <c r="T27" s="3144"/>
      <c r="U27" s="3144"/>
      <c r="V27" s="3144"/>
      <c r="W27" s="3144"/>
      <c r="X27" s="3144"/>
      <c r="Y27" s="3144"/>
    </row>
    <row r="28" spans="1:28" s="3167" customFormat="1">
      <c r="A28" s="3162" t="s">
        <v>2592</v>
      </c>
      <c r="B28" s="3163">
        <f>SUM(B13:B27)</f>
        <v>60757.430000000008</v>
      </c>
      <c r="C28" s="3164">
        <f>SUM(C13:C27)</f>
        <v>40496.17</v>
      </c>
      <c r="D28" s="3162">
        <f t="shared" ref="D28:L28" si="3">SUM(D13:D27)</f>
        <v>104</v>
      </c>
      <c r="E28" s="3162">
        <f t="shared" si="3"/>
        <v>204.36</v>
      </c>
      <c r="F28" s="3165">
        <f t="shared" si="3"/>
        <v>47.41</v>
      </c>
      <c r="G28" s="3166">
        <f t="shared" si="3"/>
        <v>10594.97</v>
      </c>
      <c r="H28" s="3162">
        <f t="shared" si="3"/>
        <v>3300.17</v>
      </c>
      <c r="I28" s="3162">
        <f t="shared" si="3"/>
        <v>50</v>
      </c>
      <c r="J28" s="3162">
        <f t="shared" si="3"/>
        <v>80</v>
      </c>
      <c r="K28" s="3162">
        <f t="shared" si="3"/>
        <v>1876.83</v>
      </c>
      <c r="L28" s="3162">
        <f t="shared" si="3"/>
        <v>4003.52</v>
      </c>
      <c r="M28" s="3162"/>
      <c r="N28" s="3162"/>
      <c r="P28" s="3144"/>
      <c r="Q28" s="3144">
        <f>Q26+Q27</f>
        <v>14540.009999999998</v>
      </c>
      <c r="R28" s="3144">
        <v>416</v>
      </c>
      <c r="S28" s="3144">
        <f>ROUND(Q28/R28,0)</f>
        <v>35</v>
      </c>
      <c r="T28" s="3144"/>
    </row>
    <row r="29" spans="1:28" ht="12.75" thickBot="1">
      <c r="A29" s="3148" t="s">
        <v>3453</v>
      </c>
      <c r="B29" s="3149">
        <f>B28-L28</f>
        <v>56753.910000000011</v>
      </c>
      <c r="C29" s="3168"/>
      <c r="D29" s="3169"/>
      <c r="E29" s="3170"/>
      <c r="F29" s="3171"/>
      <c r="G29" s="3153"/>
      <c r="H29" s="3148"/>
      <c r="I29" s="3148"/>
      <c r="J29" s="3148"/>
      <c r="K29" s="3148"/>
      <c r="L29" s="3148"/>
      <c r="M29" s="3148"/>
      <c r="N29" s="3148"/>
      <c r="P29" s="3341"/>
      <c r="Q29" s="3341"/>
      <c r="R29" s="3341"/>
      <c r="S29" s="3341"/>
      <c r="T29" s="3341"/>
      <c r="U29" s="3341"/>
      <c r="V29" s="3341"/>
      <c r="W29" s="3341"/>
      <c r="X29" s="3341"/>
      <c r="Y29" s="3341"/>
      <c r="Z29" s="3341"/>
      <c r="AA29" s="3341"/>
      <c r="AB29" s="3341"/>
    </row>
    <row r="30" spans="1:28">
      <c r="P30" s="3341"/>
      <c r="Q30" s="3172"/>
      <c r="R30" s="3341"/>
      <c r="S30" s="3341"/>
      <c r="T30" s="3341"/>
      <c r="U30" s="3341"/>
      <c r="V30" s="3341"/>
      <c r="W30" s="3341"/>
      <c r="X30" s="3341"/>
      <c r="Y30" s="3341"/>
      <c r="Z30" s="3341"/>
      <c r="AA30" s="3341"/>
      <c r="AB30" s="3341"/>
    </row>
    <row r="34" spans="1:25" ht="22.5" customHeight="1" thickBot="1">
      <c r="A34" s="3342" t="s">
        <v>3454</v>
      </c>
      <c r="B34" s="3342"/>
      <c r="C34" s="3343"/>
      <c r="D34" s="3343"/>
      <c r="E34" s="3343"/>
      <c r="F34" s="3343"/>
      <c r="G34" s="3342"/>
      <c r="H34" s="3342"/>
      <c r="I34" s="3342"/>
      <c r="J34" s="3342"/>
      <c r="K34" s="3342"/>
      <c r="L34" s="3342"/>
      <c r="M34" s="3342"/>
      <c r="N34" s="3342"/>
      <c r="O34" s="3252">
        <v>0.6</v>
      </c>
    </row>
    <row r="35" spans="1:25">
      <c r="A35" s="3148"/>
      <c r="B35" s="3149"/>
      <c r="C35" s="3331" t="s">
        <v>3406</v>
      </c>
      <c r="D35" s="3332"/>
      <c r="E35" s="3333"/>
      <c r="F35" s="3334"/>
      <c r="G35" s="3335" t="s">
        <v>3407</v>
      </c>
      <c r="H35" s="3336"/>
      <c r="I35" s="3336"/>
      <c r="J35" s="3336"/>
      <c r="K35" s="3336"/>
      <c r="L35" s="3336"/>
      <c r="M35" s="3148"/>
      <c r="N35" s="3148"/>
    </row>
    <row r="36" spans="1:25" ht="24">
      <c r="A36" s="3148" t="s">
        <v>3408</v>
      </c>
      <c r="B36" s="3149" t="s">
        <v>3409</v>
      </c>
      <c r="C36" s="3151" t="s">
        <v>2552</v>
      </c>
      <c r="D36" s="3148" t="s">
        <v>3410</v>
      </c>
      <c r="E36" s="3149" t="s">
        <v>3411</v>
      </c>
      <c r="F36" s="3152" t="s">
        <v>3412</v>
      </c>
      <c r="G36" s="3153" t="s">
        <v>3413</v>
      </c>
      <c r="H36" s="3148" t="s">
        <v>3414</v>
      </c>
      <c r="I36" s="3148" t="s">
        <v>3415</v>
      </c>
      <c r="J36" s="3148" t="s">
        <v>3416</v>
      </c>
      <c r="K36" s="3148" t="s">
        <v>3417</v>
      </c>
      <c r="L36" s="3148" t="s">
        <v>3418</v>
      </c>
      <c r="M36" s="3148" t="s">
        <v>3419</v>
      </c>
      <c r="N36" s="3148" t="s">
        <v>3420</v>
      </c>
      <c r="P36" s="3173" t="s">
        <v>3422</v>
      </c>
      <c r="Q36" s="3173" t="s">
        <v>3423</v>
      </c>
      <c r="R36" s="3338" t="s">
        <v>3424</v>
      </c>
      <c r="S36" s="3338"/>
      <c r="T36" s="3338"/>
      <c r="V36" s="3254" t="s">
        <v>3488</v>
      </c>
      <c r="W36" s="3254" t="s">
        <v>3489</v>
      </c>
      <c r="X36" s="3254" t="s">
        <v>3490</v>
      </c>
      <c r="Y36" s="3254" t="s">
        <v>3491</v>
      </c>
    </row>
    <row r="37" spans="1:25" ht="14.25">
      <c r="A37" s="3154" t="s">
        <v>3421</v>
      </c>
      <c r="B37" s="3155">
        <f>SUM(C37:L37)</f>
        <v>7338.2</v>
      </c>
      <c r="C37" s="3156">
        <v>6953.4</v>
      </c>
      <c r="D37" s="3154"/>
      <c r="E37" s="3155"/>
      <c r="F37" s="3157"/>
      <c r="G37" s="3158"/>
      <c r="H37" s="3154">
        <v>32.83</v>
      </c>
      <c r="I37" s="3154"/>
      <c r="J37" s="3154"/>
      <c r="K37" s="3154">
        <v>351.97</v>
      </c>
      <c r="L37" s="3154"/>
      <c r="M37" s="3154">
        <v>8</v>
      </c>
      <c r="N37" s="3154">
        <f>SUM(G37:K37)</f>
        <v>384.8</v>
      </c>
      <c r="O37" s="3252">
        <f>7/M37*$O$34</f>
        <v>0.52500000000000002</v>
      </c>
      <c r="P37" s="3173"/>
      <c r="Q37" s="3173"/>
      <c r="R37" s="3173" t="s">
        <v>3426</v>
      </c>
      <c r="S37" s="3173" t="s">
        <v>3427</v>
      </c>
      <c r="T37" s="3173" t="s">
        <v>3428</v>
      </c>
      <c r="V37" s="3254" t="s">
        <v>3492</v>
      </c>
      <c r="W37" s="3254">
        <f>R38</f>
        <v>41478.560000000005</v>
      </c>
      <c r="X37" s="3254">
        <v>5500</v>
      </c>
      <c r="Y37" s="3254">
        <f>W37*X37</f>
        <v>228132080.00000003</v>
      </c>
    </row>
    <row r="38" spans="1:25" ht="14.25">
      <c r="A38" s="3154" t="s">
        <v>3425</v>
      </c>
      <c r="B38" s="3155">
        <f t="shared" ref="B38:B51" si="4">SUM(C38:L38)</f>
        <v>2526.4699999999998</v>
      </c>
      <c r="C38" s="3156">
        <v>2246.56</v>
      </c>
      <c r="D38" s="3154"/>
      <c r="E38" s="3155"/>
      <c r="F38" s="3157"/>
      <c r="G38" s="3158"/>
      <c r="H38" s="3154">
        <v>264.01</v>
      </c>
      <c r="I38" s="3154"/>
      <c r="J38" s="3154"/>
      <c r="K38" s="3154">
        <v>15.9</v>
      </c>
      <c r="L38" s="3154"/>
      <c r="M38" s="3154">
        <v>8</v>
      </c>
      <c r="N38" s="3154">
        <f t="shared" ref="N38:N51" si="5">SUM(G38:K38)</f>
        <v>279.90999999999997</v>
      </c>
      <c r="O38" s="3252">
        <f>6/M38*$O$34</f>
        <v>0.44999999999999996</v>
      </c>
      <c r="P38" s="3338" t="s">
        <v>3430</v>
      </c>
      <c r="Q38" s="3173" t="s">
        <v>3431</v>
      </c>
      <c r="R38" s="3174">
        <f>S38</f>
        <v>41478.560000000005</v>
      </c>
      <c r="S38" s="3174">
        <f>C52</f>
        <v>41478.560000000005</v>
      </c>
      <c r="T38" s="3174">
        <v>0</v>
      </c>
      <c r="V38" s="3254" t="s">
        <v>3493</v>
      </c>
      <c r="W38" s="3254">
        <f>R39</f>
        <v>2354.37</v>
      </c>
      <c r="X38" s="3254">
        <v>4500</v>
      </c>
      <c r="Y38" s="3254">
        <f t="shared" ref="Y38:Y41" si="6">W38*X38</f>
        <v>10594665</v>
      </c>
    </row>
    <row r="39" spans="1:25" ht="14.25">
      <c r="A39" s="3154" t="s">
        <v>3429</v>
      </c>
      <c r="B39" s="3155">
        <f t="shared" si="4"/>
        <v>2222.52</v>
      </c>
      <c r="C39" s="3156">
        <v>1971.44</v>
      </c>
      <c r="D39" s="3154"/>
      <c r="E39" s="3155"/>
      <c r="F39" s="3157"/>
      <c r="G39" s="3158"/>
      <c r="H39" s="3154">
        <v>237.77</v>
      </c>
      <c r="I39" s="3154"/>
      <c r="J39" s="3154"/>
      <c r="K39" s="3154">
        <v>13.31</v>
      </c>
      <c r="L39" s="3154"/>
      <c r="M39" s="3154">
        <v>8</v>
      </c>
      <c r="N39" s="3154">
        <f t="shared" si="5"/>
        <v>251.08</v>
      </c>
      <c r="O39" s="3252">
        <f>3/M39*$O$34</f>
        <v>0.22499999999999998</v>
      </c>
      <c r="P39" s="3338"/>
      <c r="Q39" s="3173" t="s">
        <v>3414</v>
      </c>
      <c r="R39" s="3174">
        <f>T39</f>
        <v>2354.37</v>
      </c>
      <c r="S39" s="3174">
        <v>0</v>
      </c>
      <c r="T39" s="3174">
        <f>H52</f>
        <v>2354.37</v>
      </c>
      <c r="V39" s="3254" t="s">
        <v>3494</v>
      </c>
      <c r="W39" s="3254">
        <f>R40</f>
        <v>10240.049999999999</v>
      </c>
      <c r="X39" s="3254">
        <v>4500</v>
      </c>
      <c r="Y39" s="3254">
        <f t="shared" si="6"/>
        <v>46080225</v>
      </c>
    </row>
    <row r="40" spans="1:25" ht="24">
      <c r="A40" s="3154" t="s">
        <v>3432</v>
      </c>
      <c r="B40" s="3155">
        <f t="shared" si="4"/>
        <v>3720.56</v>
      </c>
      <c r="C40" s="3156">
        <v>3562.4</v>
      </c>
      <c r="D40" s="3154"/>
      <c r="E40" s="3155"/>
      <c r="F40" s="3157"/>
      <c r="G40" s="3158"/>
      <c r="H40" s="3154">
        <v>7.2</v>
      </c>
      <c r="I40" s="3154"/>
      <c r="J40" s="3154"/>
      <c r="K40" s="3154">
        <v>150.96</v>
      </c>
      <c r="L40" s="3154"/>
      <c r="M40" s="3154">
        <v>8</v>
      </c>
      <c r="N40" s="3154">
        <f t="shared" si="5"/>
        <v>158.16</v>
      </c>
      <c r="O40" s="3252">
        <f>3/M40*$O$34</f>
        <v>0.22499999999999998</v>
      </c>
      <c r="P40" s="3338"/>
      <c r="Q40" s="3173" t="s">
        <v>3413</v>
      </c>
      <c r="R40" s="3174">
        <f>T40</f>
        <v>10240.049999999999</v>
      </c>
      <c r="S40" s="3174">
        <v>0</v>
      </c>
      <c r="T40" s="3174">
        <f>G51</f>
        <v>10240.049999999999</v>
      </c>
      <c r="V40" s="3254" t="s">
        <v>3495</v>
      </c>
      <c r="W40" s="3254">
        <f>R44</f>
        <v>2582.1800000000003</v>
      </c>
      <c r="X40" s="3254">
        <v>4500</v>
      </c>
      <c r="Y40" s="3254">
        <f t="shared" si="6"/>
        <v>11619810.000000002</v>
      </c>
    </row>
    <row r="41" spans="1:25" ht="14.25">
      <c r="A41" s="3154" t="s">
        <v>3433</v>
      </c>
      <c r="B41" s="3155">
        <f t="shared" si="4"/>
        <v>3720.0199999999995</v>
      </c>
      <c r="C41" s="3156">
        <v>3562.24</v>
      </c>
      <c r="D41" s="3154"/>
      <c r="E41" s="3155"/>
      <c r="F41" s="3157"/>
      <c r="G41" s="3158"/>
      <c r="H41" s="3154">
        <v>7.2</v>
      </c>
      <c r="I41" s="3154"/>
      <c r="J41" s="3154"/>
      <c r="K41" s="3154">
        <v>150.58000000000001</v>
      </c>
      <c r="L41" s="3154"/>
      <c r="M41" s="3154">
        <v>8</v>
      </c>
      <c r="N41" s="3154">
        <f t="shared" si="5"/>
        <v>157.78</v>
      </c>
      <c r="O41" s="3252">
        <f>3/M41*$O$34</f>
        <v>0.22499999999999998</v>
      </c>
      <c r="P41" s="3339" t="s">
        <v>3409</v>
      </c>
      <c r="Q41" s="3340"/>
      <c r="R41" s="3175">
        <f>SUM(R38:R40)</f>
        <v>54072.98000000001</v>
      </c>
      <c r="S41" s="3175">
        <f>SUM(S38:S40)</f>
        <v>41478.560000000005</v>
      </c>
      <c r="T41" s="3175">
        <f>SUM(T38:T40)</f>
        <v>12594.419999999998</v>
      </c>
      <c r="V41" s="3254" t="s">
        <v>3496</v>
      </c>
      <c r="W41" s="3254">
        <f>R47</f>
        <v>4003.89</v>
      </c>
      <c r="X41" s="3254">
        <v>4500</v>
      </c>
      <c r="Y41" s="3254">
        <f t="shared" si="6"/>
        <v>18017505</v>
      </c>
    </row>
    <row r="42" spans="1:25" ht="14.25">
      <c r="A42" s="3154" t="s">
        <v>3434</v>
      </c>
      <c r="B42" s="3155">
        <f t="shared" si="4"/>
        <v>2530.48</v>
      </c>
      <c r="C42" s="3156">
        <v>2250.56</v>
      </c>
      <c r="D42" s="3154"/>
      <c r="E42" s="3155"/>
      <c r="F42" s="3157"/>
      <c r="G42" s="3158"/>
      <c r="H42" s="3154">
        <v>264.02</v>
      </c>
      <c r="I42" s="3154"/>
      <c r="J42" s="3154"/>
      <c r="K42" s="3154">
        <v>15.9</v>
      </c>
      <c r="L42" s="3154"/>
      <c r="M42" s="3154">
        <v>8</v>
      </c>
      <c r="N42" s="3154">
        <f t="shared" si="5"/>
        <v>279.91999999999996</v>
      </c>
      <c r="O42" s="3252">
        <f>6/M42*$O$34</f>
        <v>0.44999999999999996</v>
      </c>
      <c r="P42" s="3338" t="s">
        <v>3436</v>
      </c>
      <c r="Q42" s="3173" t="s">
        <v>3437</v>
      </c>
      <c r="R42" s="3174">
        <f>T42+S42</f>
        <v>1701.3400000000001</v>
      </c>
      <c r="S42" s="3174">
        <f>F52</f>
        <v>47.43</v>
      </c>
      <c r="T42" s="3174">
        <f>K52</f>
        <v>1653.91</v>
      </c>
      <c r="V42" s="3254" t="s">
        <v>3491</v>
      </c>
      <c r="W42" s="3254">
        <f>SUM(W37:W41)</f>
        <v>60659.05000000001</v>
      </c>
      <c r="X42" s="3254">
        <f>Y42/W42</f>
        <v>5183.7983779831693</v>
      </c>
      <c r="Y42" s="3254">
        <f>SUM(Y37:Y41)</f>
        <v>314444285</v>
      </c>
    </row>
    <row r="43" spans="1:25" ht="24">
      <c r="A43" s="3154" t="s">
        <v>3435</v>
      </c>
      <c r="B43" s="3155">
        <f t="shared" si="4"/>
        <v>2226.79</v>
      </c>
      <c r="C43" s="3156">
        <v>1975.2</v>
      </c>
      <c r="D43" s="3154"/>
      <c r="E43" s="3155"/>
      <c r="F43" s="3157"/>
      <c r="G43" s="3158"/>
      <c r="H43" s="3154">
        <v>238.28</v>
      </c>
      <c r="I43" s="3154"/>
      <c r="J43" s="3154"/>
      <c r="K43" s="3154">
        <v>13.31</v>
      </c>
      <c r="L43" s="3154"/>
      <c r="M43" s="3154">
        <v>8</v>
      </c>
      <c r="N43" s="3154">
        <f t="shared" si="5"/>
        <v>251.59</v>
      </c>
      <c r="O43" s="3252">
        <f>6/M43*$O$34</f>
        <v>0.44999999999999996</v>
      </c>
      <c r="P43" s="3338"/>
      <c r="Q43" s="3173" t="s">
        <v>3439</v>
      </c>
      <c r="R43" s="3174">
        <f>S43+T43</f>
        <v>880.83999999999992</v>
      </c>
      <c r="S43" s="3174">
        <f>D52+E52</f>
        <v>310.18</v>
      </c>
      <c r="T43" s="3174">
        <f>I52+J52</f>
        <v>570.66</v>
      </c>
      <c r="V43" s="3254" t="s">
        <v>3517</v>
      </c>
      <c r="W43" s="3254">
        <f>R41</f>
        <v>54072.98000000001</v>
      </c>
      <c r="X43" s="3254">
        <f>Y42/W43</f>
        <v>5815.183202405341</v>
      </c>
      <c r="Y43" s="3254"/>
    </row>
    <row r="44" spans="1:25" ht="24">
      <c r="A44" s="3154" t="s">
        <v>3438</v>
      </c>
      <c r="B44" s="3155">
        <f t="shared" si="4"/>
        <v>3936.78</v>
      </c>
      <c r="C44" s="3156">
        <v>3750.44</v>
      </c>
      <c r="D44" s="3154"/>
      <c r="E44" s="3155"/>
      <c r="F44" s="3157"/>
      <c r="G44" s="3158"/>
      <c r="H44" s="3154">
        <v>26.26</v>
      </c>
      <c r="I44" s="3154"/>
      <c r="J44" s="3154"/>
      <c r="K44" s="3154">
        <v>160.08000000000001</v>
      </c>
      <c r="L44" s="3154"/>
      <c r="M44" s="3154">
        <v>8</v>
      </c>
      <c r="N44" s="3154">
        <f t="shared" si="5"/>
        <v>186.34</v>
      </c>
      <c r="O44" s="3252">
        <f>6/M44*$O$34</f>
        <v>0.44999999999999996</v>
      </c>
      <c r="P44" s="3339" t="s">
        <v>3409</v>
      </c>
      <c r="Q44" s="3340"/>
      <c r="R44" s="3175">
        <f>S44+T44</f>
        <v>2582.1800000000003</v>
      </c>
      <c r="S44" s="3175">
        <f>SUM(S42:S43)</f>
        <v>357.61</v>
      </c>
      <c r="T44" s="3175">
        <f>SUM(T42:T43)</f>
        <v>2224.5700000000002</v>
      </c>
      <c r="V44" s="3255" t="s">
        <v>3518</v>
      </c>
      <c r="W44" s="3255">
        <f>'数据-汇总表'!E3</f>
        <v>36323.870000000003</v>
      </c>
      <c r="X44" s="3255">
        <f>Y42/W44</f>
        <v>8656.6845713300918</v>
      </c>
      <c r="Y44" s="3255"/>
    </row>
    <row r="45" spans="1:25" ht="14.25">
      <c r="A45" s="3154" t="s">
        <v>3440</v>
      </c>
      <c r="B45" s="3155">
        <f t="shared" si="4"/>
        <v>3925.7499999999995</v>
      </c>
      <c r="C45" s="3156">
        <v>3746.6</v>
      </c>
      <c r="D45" s="3154"/>
      <c r="E45" s="3155"/>
      <c r="F45" s="3157"/>
      <c r="G45" s="3158"/>
      <c r="H45" s="3154">
        <v>13.97</v>
      </c>
      <c r="I45" s="3154"/>
      <c r="J45" s="3154"/>
      <c r="K45" s="3154">
        <v>165.18</v>
      </c>
      <c r="L45" s="3154"/>
      <c r="M45" s="3154">
        <v>8</v>
      </c>
      <c r="N45" s="3154">
        <f t="shared" si="5"/>
        <v>179.15</v>
      </c>
      <c r="O45" s="3252">
        <f t="shared" ref="O39:O49" si="7">6/M45*$O$34</f>
        <v>0.44999999999999996</v>
      </c>
      <c r="P45" s="3339" t="s">
        <v>3426</v>
      </c>
      <c r="Q45" s="3340"/>
      <c r="R45" s="3175">
        <f>R44+R41</f>
        <v>56655.160000000011</v>
      </c>
      <c r="S45" s="3175">
        <f>S44+S41</f>
        <v>41836.170000000006</v>
      </c>
      <c r="T45" s="3175">
        <f>T44+T41</f>
        <v>14818.989999999998</v>
      </c>
    </row>
    <row r="46" spans="1:25">
      <c r="A46" s="3154" t="s">
        <v>3441</v>
      </c>
      <c r="B46" s="3155">
        <f t="shared" si="4"/>
        <v>2533.2000000000003</v>
      </c>
      <c r="C46" s="3156">
        <v>2253.2800000000002</v>
      </c>
      <c r="D46" s="3154"/>
      <c r="E46" s="3155"/>
      <c r="F46" s="3157"/>
      <c r="G46" s="3158"/>
      <c r="H46" s="3154">
        <v>264.02</v>
      </c>
      <c r="I46" s="3154"/>
      <c r="J46" s="3154"/>
      <c r="K46" s="3154">
        <v>15.9</v>
      </c>
      <c r="L46" s="3154"/>
      <c r="M46" s="3154">
        <v>8</v>
      </c>
      <c r="N46" s="3154">
        <f t="shared" si="5"/>
        <v>279.91999999999996</v>
      </c>
      <c r="O46" s="3252">
        <f>8/M46*$O$34</f>
        <v>0.6</v>
      </c>
      <c r="P46" s="3150"/>
      <c r="Q46" s="3150"/>
      <c r="R46" s="3150"/>
      <c r="S46" s="3150"/>
      <c r="T46" s="3150"/>
    </row>
    <row r="47" spans="1:25">
      <c r="A47" s="3154" t="s">
        <v>3442</v>
      </c>
      <c r="B47" s="3155">
        <f t="shared" si="4"/>
        <v>2224.4299999999998</v>
      </c>
      <c r="C47" s="3156">
        <v>1972.64</v>
      </c>
      <c r="D47" s="3154"/>
      <c r="E47" s="3155"/>
      <c r="F47" s="3157"/>
      <c r="G47" s="3158"/>
      <c r="H47" s="3154">
        <v>238.48</v>
      </c>
      <c r="I47" s="3154"/>
      <c r="J47" s="3154"/>
      <c r="K47" s="3154">
        <v>13.31</v>
      </c>
      <c r="L47" s="3154"/>
      <c r="M47" s="3154">
        <v>8</v>
      </c>
      <c r="N47" s="3154">
        <f t="shared" si="5"/>
        <v>251.79</v>
      </c>
      <c r="O47" s="3252">
        <f>7/M47*$O$34</f>
        <v>0.52500000000000002</v>
      </c>
      <c r="P47" s="3150" t="s">
        <v>3444</v>
      </c>
      <c r="Q47" s="3150"/>
      <c r="R47" s="3150">
        <f>L52</f>
        <v>4003.89</v>
      </c>
      <c r="S47" s="3150"/>
      <c r="T47" s="3150"/>
    </row>
    <row r="48" spans="1:25">
      <c r="A48" s="3154" t="s">
        <v>3443</v>
      </c>
      <c r="B48" s="3155">
        <f t="shared" si="4"/>
        <v>4513.68</v>
      </c>
      <c r="C48" s="3156">
        <v>4125.4399999999996</v>
      </c>
      <c r="D48" s="3154"/>
      <c r="E48" s="3155"/>
      <c r="F48" s="3157">
        <v>47.43</v>
      </c>
      <c r="G48" s="3158"/>
      <c r="H48" s="3154">
        <v>340.81</v>
      </c>
      <c r="I48" s="3154"/>
      <c r="J48" s="3154"/>
      <c r="K48" s="3154"/>
      <c r="L48" s="3154"/>
      <c r="M48" s="3154">
        <v>8</v>
      </c>
      <c r="N48" s="3154">
        <f t="shared" si="5"/>
        <v>340.81</v>
      </c>
      <c r="O48" s="3252">
        <f>5/M48*$O$34</f>
        <v>0.375</v>
      </c>
      <c r="P48" s="3147"/>
      <c r="Q48" s="3147" t="s">
        <v>3446</v>
      </c>
      <c r="R48" s="3147" t="s">
        <v>3447</v>
      </c>
      <c r="S48" s="3147" t="s">
        <v>3448</v>
      </c>
      <c r="T48" s="3147"/>
    </row>
    <row r="49" spans="1:19">
      <c r="A49" s="3154" t="s">
        <v>3445</v>
      </c>
      <c r="B49" s="3155">
        <f t="shared" si="4"/>
        <v>3527.88</v>
      </c>
      <c r="C49" s="3156">
        <v>3108.36</v>
      </c>
      <c r="D49" s="3154"/>
      <c r="E49" s="3155"/>
      <c r="F49" s="3157"/>
      <c r="G49" s="3158"/>
      <c r="H49" s="3154">
        <v>419.52</v>
      </c>
      <c r="I49" s="3154"/>
      <c r="J49" s="3154"/>
      <c r="K49" s="3154"/>
      <c r="L49" s="3154"/>
      <c r="M49" s="3154">
        <v>6</v>
      </c>
      <c r="N49" s="3154">
        <f t="shared" si="5"/>
        <v>419.52</v>
      </c>
      <c r="O49" s="3252">
        <f>5/M49*$O$34</f>
        <v>0.5</v>
      </c>
      <c r="P49" s="3144" t="s">
        <v>3450</v>
      </c>
      <c r="Q49" s="3144">
        <v>3952.31</v>
      </c>
      <c r="R49" s="3144">
        <f>R51-R50</f>
        <v>101</v>
      </c>
      <c r="S49" s="3144">
        <f>ROUND(Q49/R49,0)</f>
        <v>39</v>
      </c>
    </row>
    <row r="50" spans="1:19">
      <c r="A50" s="3154" t="s">
        <v>3449</v>
      </c>
      <c r="B50" s="3155">
        <f t="shared" si="4"/>
        <v>310.18</v>
      </c>
      <c r="C50" s="3156"/>
      <c r="D50" s="3154">
        <v>104.07</v>
      </c>
      <c r="E50" s="3157">
        <v>206.11</v>
      </c>
      <c r="F50" s="3157"/>
      <c r="G50" s="3158"/>
      <c r="H50" s="3154"/>
      <c r="I50" s="3154"/>
      <c r="J50" s="3154"/>
      <c r="K50" s="3154"/>
      <c r="L50" s="3154"/>
      <c r="M50" s="3154">
        <v>2</v>
      </c>
      <c r="N50" s="3154">
        <f t="shared" si="5"/>
        <v>0</v>
      </c>
      <c r="O50" s="3252">
        <v>0</v>
      </c>
      <c r="P50" s="3144" t="s">
        <v>3452</v>
      </c>
      <c r="Q50" s="3144">
        <f>G52</f>
        <v>10240.049999999999</v>
      </c>
      <c r="R50" s="3144">
        <v>315</v>
      </c>
      <c r="S50" s="3144">
        <f>ROUND(Q50/R50,0)</f>
        <v>33</v>
      </c>
    </row>
    <row r="51" spans="1:19">
      <c r="A51" s="3154" t="s">
        <v>3451</v>
      </c>
      <c r="B51" s="3155">
        <f t="shared" si="4"/>
        <v>15402.109999999999</v>
      </c>
      <c r="C51" s="3156"/>
      <c r="D51" s="3154"/>
      <c r="E51" s="3155"/>
      <c r="F51" s="3157"/>
      <c r="G51" s="3158">
        <v>10240.049999999999</v>
      </c>
      <c r="H51" s="3154"/>
      <c r="I51" s="3154">
        <v>52.23</v>
      </c>
      <c r="J51" s="3154">
        <f>12.25+181.42+209.4+17.36+86.07+11.93</f>
        <v>518.42999999999995</v>
      </c>
      <c r="K51" s="3154">
        <v>587.51</v>
      </c>
      <c r="L51" s="3154">
        <v>4003.89</v>
      </c>
      <c r="M51" s="3154">
        <v>1</v>
      </c>
      <c r="N51" s="3154">
        <f t="shared" si="5"/>
        <v>11398.22</v>
      </c>
      <c r="O51" s="3252">
        <v>0.7</v>
      </c>
      <c r="Q51" s="3144">
        <f>Q49+Q50</f>
        <v>14192.359999999999</v>
      </c>
      <c r="R51" s="3144">
        <v>416</v>
      </c>
      <c r="S51" s="3144">
        <f>ROUND(Q51/R51,0)</f>
        <v>34</v>
      </c>
    </row>
    <row r="52" spans="1:19">
      <c r="A52" s="3162" t="s">
        <v>2592</v>
      </c>
      <c r="B52" s="3163">
        <f>SUM(B37:B51)</f>
        <v>60659.049999999996</v>
      </c>
      <c r="C52" s="3164">
        <f>SUM(C37:C51)</f>
        <v>41478.560000000005</v>
      </c>
      <c r="D52" s="3162">
        <f t="shared" ref="D52:L52" si="8">SUM(D37:D51)</f>
        <v>104.07</v>
      </c>
      <c r="E52" s="3162">
        <f t="shared" si="8"/>
        <v>206.11</v>
      </c>
      <c r="F52" s="3165">
        <f t="shared" si="8"/>
        <v>47.43</v>
      </c>
      <c r="G52" s="3166">
        <f t="shared" si="8"/>
        <v>10240.049999999999</v>
      </c>
      <c r="H52" s="3162">
        <f t="shared" si="8"/>
        <v>2354.37</v>
      </c>
      <c r="I52" s="3162">
        <f t="shared" si="8"/>
        <v>52.23</v>
      </c>
      <c r="J52" s="3162">
        <f t="shared" si="8"/>
        <v>518.42999999999995</v>
      </c>
      <c r="K52" s="3162">
        <f t="shared" si="8"/>
        <v>1653.91</v>
      </c>
      <c r="L52" s="3162">
        <f t="shared" si="8"/>
        <v>4003.89</v>
      </c>
      <c r="M52" s="3162"/>
      <c r="N52" s="3162"/>
      <c r="O52" s="3253">
        <f>(C37*O37+C38*O38+C39*O39+C40*O40+C41*O41+C42*O42+C43*O43+C44*O44+C45*O45+C46*O46+C47*O47+C48*O48+C49*O49)/C52</f>
        <v>0.42123422317457493</v>
      </c>
    </row>
    <row r="53" spans="1:19" ht="12.75" thickBot="1">
      <c r="A53" s="3148" t="s">
        <v>3453</v>
      </c>
      <c r="B53" s="3149">
        <f>B52-L52</f>
        <v>56655.159999999996</v>
      </c>
      <c r="C53" s="3168"/>
      <c r="D53" s="3169"/>
      <c r="E53" s="3170"/>
      <c r="F53" s="3171"/>
      <c r="G53" s="3153"/>
      <c r="H53" s="3148"/>
      <c r="I53" s="3148"/>
      <c r="J53" s="3148"/>
      <c r="K53" s="3148"/>
      <c r="L53" s="3148"/>
      <c r="M53" s="3148"/>
      <c r="N53" s="3148"/>
    </row>
    <row r="55" spans="1:19">
      <c r="C55" s="3144">
        <v>5500</v>
      </c>
      <c r="D55" s="3144">
        <v>4500</v>
      </c>
      <c r="E55" s="3144">
        <v>4500</v>
      </c>
      <c r="F55" s="3144">
        <v>4500</v>
      </c>
      <c r="G55" s="3144">
        <v>4500</v>
      </c>
      <c r="H55" s="3144">
        <v>4500</v>
      </c>
      <c r="I55" s="3144">
        <v>4500</v>
      </c>
      <c r="J55" s="3144">
        <v>4500</v>
      </c>
      <c r="K55" s="3144">
        <v>4500</v>
      </c>
      <c r="L55" s="3144">
        <v>4500</v>
      </c>
      <c r="M55" s="3144">
        <f>M56/(C52+G52+H52)</f>
        <v>0.58151832024053418</v>
      </c>
    </row>
    <row r="56" spans="1:19">
      <c r="C56" s="3144">
        <f>C55*C52/10000</f>
        <v>22813.208000000002</v>
      </c>
      <c r="D56" s="3144">
        <f>D55*D52/10000</f>
        <v>46.831499999999991</v>
      </c>
      <c r="E56" s="3144">
        <f>E55*E52/10000</f>
        <v>92.749500000000012</v>
      </c>
      <c r="F56" s="3144">
        <f>F55*F52/10000</f>
        <v>21.343499999999999</v>
      </c>
      <c r="G56" s="3144">
        <f>G55*G52/10000</f>
        <v>4608.0225</v>
      </c>
      <c r="H56" s="3144">
        <f>H55*H52/10000</f>
        <v>1059.4665</v>
      </c>
      <c r="I56" s="3144">
        <f>I55*I52/10000</f>
        <v>23.503499999999999</v>
      </c>
      <c r="J56" s="3144">
        <f>J55*J52/10000</f>
        <v>233.29349999999999</v>
      </c>
      <c r="K56" s="3144">
        <f>K55*K52/10000</f>
        <v>744.2595</v>
      </c>
      <c r="L56" s="3144">
        <f>L55*L52/10000</f>
        <v>1801.7505000000001</v>
      </c>
      <c r="M56" s="3144">
        <f>L56+K56+J56+I56+H56+G56+F56+E56+D56+C56</f>
        <v>31444.428500000002</v>
      </c>
    </row>
  </sheetData>
  <mergeCells count="22">
    <mergeCell ref="P42:P43"/>
    <mergeCell ref="P44:Q44"/>
    <mergeCell ref="P45:Q45"/>
    <mergeCell ref="A34:N34"/>
    <mergeCell ref="C35:F35"/>
    <mergeCell ref="G35:L35"/>
    <mergeCell ref="R36:T36"/>
    <mergeCell ref="P38:P40"/>
    <mergeCell ref="P41:Q41"/>
    <mergeCell ref="P19:P20"/>
    <mergeCell ref="P21:Q21"/>
    <mergeCell ref="P22:Q22"/>
    <mergeCell ref="P29:P30"/>
    <mergeCell ref="Q29:AB29"/>
    <mergeCell ref="R30:U30"/>
    <mergeCell ref="V30:AB30"/>
    <mergeCell ref="P18:Q18"/>
    <mergeCell ref="A10:N10"/>
    <mergeCell ref="C11:F11"/>
    <mergeCell ref="G11:L11"/>
    <mergeCell ref="R13:T13"/>
    <mergeCell ref="P15:P17"/>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0"/>
  <sheetViews>
    <sheetView workbookViewId="0">
      <pane ySplit="1" topLeftCell="A206" activePane="bottomLeft" state="frozen"/>
      <selection pane="bottomLeft" activeCell="K294" sqref="K294"/>
    </sheetView>
  </sheetViews>
  <sheetFormatPr defaultRowHeight="14.25"/>
  <cols>
    <col min="1" max="1" width="5.625" style="3213" customWidth="1"/>
    <col min="2" max="2" width="5.125" style="3213" customWidth="1"/>
    <col min="3" max="3" width="6" style="3213" customWidth="1"/>
    <col min="4" max="4" width="5.75" customWidth="1"/>
    <col min="5" max="5" width="10.625" style="3214" customWidth="1"/>
    <col min="6" max="6" width="9.75" style="3215" customWidth="1"/>
    <col min="7" max="7" width="10.875" style="3215" customWidth="1"/>
    <col min="8" max="8" width="7.625" style="3216" customWidth="1"/>
    <col min="9" max="9" width="9" style="3216"/>
    <col min="10" max="10" width="17" style="3214" customWidth="1"/>
    <col min="11" max="11" width="15.875" style="3214" customWidth="1"/>
    <col min="12" max="12" width="18.75" style="3217" customWidth="1"/>
    <col min="13" max="13" width="23.875" style="3217" customWidth="1"/>
    <col min="14" max="14" width="14.125" style="3184" customWidth="1"/>
    <col min="15" max="15" width="24" style="3213" customWidth="1"/>
    <col min="257" max="257" width="5.625" customWidth="1"/>
    <col min="258" max="258" width="5.125" customWidth="1"/>
    <col min="259" max="259" width="6" customWidth="1"/>
    <col min="260" max="260" width="5.75" customWidth="1"/>
    <col min="261" max="261" width="10.625" customWidth="1"/>
    <col min="262" max="262" width="9.75" customWidth="1"/>
    <col min="263" max="263" width="10.875" customWidth="1"/>
    <col min="264" max="264" width="7.625" customWidth="1"/>
    <col min="266" max="266" width="17" customWidth="1"/>
    <col min="267" max="267" width="15.875" customWidth="1"/>
    <col min="268" max="268" width="18.75" customWidth="1"/>
    <col min="269" max="269" width="23.875" customWidth="1"/>
    <col min="270" max="270" width="14.125" customWidth="1"/>
    <col min="271" max="271" width="24" customWidth="1"/>
    <col min="513" max="513" width="5.625" customWidth="1"/>
    <col min="514" max="514" width="5.125" customWidth="1"/>
    <col min="515" max="515" width="6" customWidth="1"/>
    <col min="516" max="516" width="5.75" customWidth="1"/>
    <col min="517" max="517" width="10.625" customWidth="1"/>
    <col min="518" max="518" width="9.75" customWidth="1"/>
    <col min="519" max="519" width="10.875" customWidth="1"/>
    <col min="520" max="520" width="7.625" customWidth="1"/>
    <col min="522" max="522" width="17" customWidth="1"/>
    <col min="523" max="523" width="15.875" customWidth="1"/>
    <col min="524" max="524" width="18.75" customWidth="1"/>
    <col min="525" max="525" width="23.875" customWidth="1"/>
    <col min="526" max="526" width="14.125" customWidth="1"/>
    <col min="527" max="527" width="24" customWidth="1"/>
    <col min="769" max="769" width="5.625" customWidth="1"/>
    <col min="770" max="770" width="5.125" customWidth="1"/>
    <col min="771" max="771" width="6" customWidth="1"/>
    <col min="772" max="772" width="5.75" customWidth="1"/>
    <col min="773" max="773" width="10.625" customWidth="1"/>
    <col min="774" max="774" width="9.75" customWidth="1"/>
    <col min="775" max="775" width="10.875" customWidth="1"/>
    <col min="776" max="776" width="7.625" customWidth="1"/>
    <col min="778" max="778" width="17" customWidth="1"/>
    <col min="779" max="779" width="15.875" customWidth="1"/>
    <col min="780" max="780" width="18.75" customWidth="1"/>
    <col min="781" max="781" width="23.875" customWidth="1"/>
    <col min="782" max="782" width="14.125" customWidth="1"/>
    <col min="783" max="783" width="24" customWidth="1"/>
    <col min="1025" max="1025" width="5.625" customWidth="1"/>
    <col min="1026" max="1026" width="5.125" customWidth="1"/>
    <col min="1027" max="1027" width="6" customWidth="1"/>
    <col min="1028" max="1028" width="5.75" customWidth="1"/>
    <col min="1029" max="1029" width="10.625" customWidth="1"/>
    <col min="1030" max="1030" width="9.75" customWidth="1"/>
    <col min="1031" max="1031" width="10.875" customWidth="1"/>
    <col min="1032" max="1032" width="7.625" customWidth="1"/>
    <col min="1034" max="1034" width="17" customWidth="1"/>
    <col min="1035" max="1035" width="15.875" customWidth="1"/>
    <col min="1036" max="1036" width="18.75" customWidth="1"/>
    <col min="1037" max="1037" width="23.875" customWidth="1"/>
    <col min="1038" max="1038" width="14.125" customWidth="1"/>
    <col min="1039" max="1039" width="24" customWidth="1"/>
    <col min="1281" max="1281" width="5.625" customWidth="1"/>
    <col min="1282" max="1282" width="5.125" customWidth="1"/>
    <col min="1283" max="1283" width="6" customWidth="1"/>
    <col min="1284" max="1284" width="5.75" customWidth="1"/>
    <col min="1285" max="1285" width="10.625" customWidth="1"/>
    <col min="1286" max="1286" width="9.75" customWidth="1"/>
    <col min="1287" max="1287" width="10.875" customWidth="1"/>
    <col min="1288" max="1288" width="7.625" customWidth="1"/>
    <col min="1290" max="1290" width="17" customWidth="1"/>
    <col min="1291" max="1291" width="15.875" customWidth="1"/>
    <col min="1292" max="1292" width="18.75" customWidth="1"/>
    <col min="1293" max="1293" width="23.875" customWidth="1"/>
    <col min="1294" max="1294" width="14.125" customWidth="1"/>
    <col min="1295" max="1295" width="24" customWidth="1"/>
    <col min="1537" max="1537" width="5.625" customWidth="1"/>
    <col min="1538" max="1538" width="5.125" customWidth="1"/>
    <col min="1539" max="1539" width="6" customWidth="1"/>
    <col min="1540" max="1540" width="5.75" customWidth="1"/>
    <col min="1541" max="1541" width="10.625" customWidth="1"/>
    <col min="1542" max="1542" width="9.75" customWidth="1"/>
    <col min="1543" max="1543" width="10.875" customWidth="1"/>
    <col min="1544" max="1544" width="7.625" customWidth="1"/>
    <col min="1546" max="1546" width="17" customWidth="1"/>
    <col min="1547" max="1547" width="15.875" customWidth="1"/>
    <col min="1548" max="1548" width="18.75" customWidth="1"/>
    <col min="1549" max="1549" width="23.875" customWidth="1"/>
    <col min="1550" max="1550" width="14.125" customWidth="1"/>
    <col min="1551" max="1551" width="24" customWidth="1"/>
    <col min="1793" max="1793" width="5.625" customWidth="1"/>
    <col min="1794" max="1794" width="5.125" customWidth="1"/>
    <col min="1795" max="1795" width="6" customWidth="1"/>
    <col min="1796" max="1796" width="5.75" customWidth="1"/>
    <col min="1797" max="1797" width="10.625" customWidth="1"/>
    <col min="1798" max="1798" width="9.75" customWidth="1"/>
    <col min="1799" max="1799" width="10.875" customWidth="1"/>
    <col min="1800" max="1800" width="7.625" customWidth="1"/>
    <col min="1802" max="1802" width="17" customWidth="1"/>
    <col min="1803" max="1803" width="15.875" customWidth="1"/>
    <col min="1804" max="1804" width="18.75" customWidth="1"/>
    <col min="1805" max="1805" width="23.875" customWidth="1"/>
    <col min="1806" max="1806" width="14.125" customWidth="1"/>
    <col min="1807" max="1807" width="24" customWidth="1"/>
    <col min="2049" max="2049" width="5.625" customWidth="1"/>
    <col min="2050" max="2050" width="5.125" customWidth="1"/>
    <col min="2051" max="2051" width="6" customWidth="1"/>
    <col min="2052" max="2052" width="5.75" customWidth="1"/>
    <col min="2053" max="2053" width="10.625" customWidth="1"/>
    <col min="2054" max="2054" width="9.75" customWidth="1"/>
    <col min="2055" max="2055" width="10.875" customWidth="1"/>
    <col min="2056" max="2056" width="7.625" customWidth="1"/>
    <col min="2058" max="2058" width="17" customWidth="1"/>
    <col min="2059" max="2059" width="15.875" customWidth="1"/>
    <col min="2060" max="2060" width="18.75" customWidth="1"/>
    <col min="2061" max="2061" width="23.875" customWidth="1"/>
    <col min="2062" max="2062" width="14.125" customWidth="1"/>
    <col min="2063" max="2063" width="24" customWidth="1"/>
    <col min="2305" max="2305" width="5.625" customWidth="1"/>
    <col min="2306" max="2306" width="5.125" customWidth="1"/>
    <col min="2307" max="2307" width="6" customWidth="1"/>
    <col min="2308" max="2308" width="5.75" customWidth="1"/>
    <col min="2309" max="2309" width="10.625" customWidth="1"/>
    <col min="2310" max="2310" width="9.75" customWidth="1"/>
    <col min="2311" max="2311" width="10.875" customWidth="1"/>
    <col min="2312" max="2312" width="7.625" customWidth="1"/>
    <col min="2314" max="2314" width="17" customWidth="1"/>
    <col min="2315" max="2315" width="15.875" customWidth="1"/>
    <col min="2316" max="2316" width="18.75" customWidth="1"/>
    <col min="2317" max="2317" width="23.875" customWidth="1"/>
    <col min="2318" max="2318" width="14.125" customWidth="1"/>
    <col min="2319" max="2319" width="24" customWidth="1"/>
    <col min="2561" max="2561" width="5.625" customWidth="1"/>
    <col min="2562" max="2562" width="5.125" customWidth="1"/>
    <col min="2563" max="2563" width="6" customWidth="1"/>
    <col min="2564" max="2564" width="5.75" customWidth="1"/>
    <col min="2565" max="2565" width="10.625" customWidth="1"/>
    <col min="2566" max="2566" width="9.75" customWidth="1"/>
    <col min="2567" max="2567" width="10.875" customWidth="1"/>
    <col min="2568" max="2568" width="7.625" customWidth="1"/>
    <col min="2570" max="2570" width="17" customWidth="1"/>
    <col min="2571" max="2571" width="15.875" customWidth="1"/>
    <col min="2572" max="2572" width="18.75" customWidth="1"/>
    <col min="2573" max="2573" width="23.875" customWidth="1"/>
    <col min="2574" max="2574" width="14.125" customWidth="1"/>
    <col min="2575" max="2575" width="24" customWidth="1"/>
    <col min="2817" max="2817" width="5.625" customWidth="1"/>
    <col min="2818" max="2818" width="5.125" customWidth="1"/>
    <col min="2819" max="2819" width="6" customWidth="1"/>
    <col min="2820" max="2820" width="5.75" customWidth="1"/>
    <col min="2821" max="2821" width="10.625" customWidth="1"/>
    <col min="2822" max="2822" width="9.75" customWidth="1"/>
    <col min="2823" max="2823" width="10.875" customWidth="1"/>
    <col min="2824" max="2824" width="7.625" customWidth="1"/>
    <col min="2826" max="2826" width="17" customWidth="1"/>
    <col min="2827" max="2827" width="15.875" customWidth="1"/>
    <col min="2828" max="2828" width="18.75" customWidth="1"/>
    <col min="2829" max="2829" width="23.875" customWidth="1"/>
    <col min="2830" max="2830" width="14.125" customWidth="1"/>
    <col min="2831" max="2831" width="24" customWidth="1"/>
    <col min="3073" max="3073" width="5.625" customWidth="1"/>
    <col min="3074" max="3074" width="5.125" customWidth="1"/>
    <col min="3075" max="3075" width="6" customWidth="1"/>
    <col min="3076" max="3076" width="5.75" customWidth="1"/>
    <col min="3077" max="3077" width="10.625" customWidth="1"/>
    <col min="3078" max="3078" width="9.75" customWidth="1"/>
    <col min="3079" max="3079" width="10.875" customWidth="1"/>
    <col min="3080" max="3080" width="7.625" customWidth="1"/>
    <col min="3082" max="3082" width="17" customWidth="1"/>
    <col min="3083" max="3083" width="15.875" customWidth="1"/>
    <col min="3084" max="3084" width="18.75" customWidth="1"/>
    <col min="3085" max="3085" width="23.875" customWidth="1"/>
    <col min="3086" max="3086" width="14.125" customWidth="1"/>
    <col min="3087" max="3087" width="24" customWidth="1"/>
    <col min="3329" max="3329" width="5.625" customWidth="1"/>
    <col min="3330" max="3330" width="5.125" customWidth="1"/>
    <col min="3331" max="3331" width="6" customWidth="1"/>
    <col min="3332" max="3332" width="5.75" customWidth="1"/>
    <col min="3333" max="3333" width="10.625" customWidth="1"/>
    <col min="3334" max="3334" width="9.75" customWidth="1"/>
    <col min="3335" max="3335" width="10.875" customWidth="1"/>
    <col min="3336" max="3336" width="7.625" customWidth="1"/>
    <col min="3338" max="3338" width="17" customWidth="1"/>
    <col min="3339" max="3339" width="15.875" customWidth="1"/>
    <col min="3340" max="3340" width="18.75" customWidth="1"/>
    <col min="3341" max="3341" width="23.875" customWidth="1"/>
    <col min="3342" max="3342" width="14.125" customWidth="1"/>
    <col min="3343" max="3343" width="24" customWidth="1"/>
    <col min="3585" max="3585" width="5.625" customWidth="1"/>
    <col min="3586" max="3586" width="5.125" customWidth="1"/>
    <col min="3587" max="3587" width="6" customWidth="1"/>
    <col min="3588" max="3588" width="5.75" customWidth="1"/>
    <col min="3589" max="3589" width="10.625" customWidth="1"/>
    <col min="3590" max="3590" width="9.75" customWidth="1"/>
    <col min="3591" max="3591" width="10.875" customWidth="1"/>
    <col min="3592" max="3592" width="7.625" customWidth="1"/>
    <col min="3594" max="3594" width="17" customWidth="1"/>
    <col min="3595" max="3595" width="15.875" customWidth="1"/>
    <col min="3596" max="3596" width="18.75" customWidth="1"/>
    <col min="3597" max="3597" width="23.875" customWidth="1"/>
    <col min="3598" max="3598" width="14.125" customWidth="1"/>
    <col min="3599" max="3599" width="24" customWidth="1"/>
    <col min="3841" max="3841" width="5.625" customWidth="1"/>
    <col min="3842" max="3842" width="5.125" customWidth="1"/>
    <col min="3843" max="3843" width="6" customWidth="1"/>
    <col min="3844" max="3844" width="5.75" customWidth="1"/>
    <col min="3845" max="3845" width="10.625" customWidth="1"/>
    <col min="3846" max="3846" width="9.75" customWidth="1"/>
    <col min="3847" max="3847" width="10.875" customWidth="1"/>
    <col min="3848" max="3848" width="7.625" customWidth="1"/>
    <col min="3850" max="3850" width="17" customWidth="1"/>
    <col min="3851" max="3851" width="15.875" customWidth="1"/>
    <col min="3852" max="3852" width="18.75" customWidth="1"/>
    <col min="3853" max="3853" width="23.875" customWidth="1"/>
    <col min="3854" max="3854" width="14.125" customWidth="1"/>
    <col min="3855" max="3855" width="24" customWidth="1"/>
    <col min="4097" max="4097" width="5.625" customWidth="1"/>
    <col min="4098" max="4098" width="5.125" customWidth="1"/>
    <col min="4099" max="4099" width="6" customWidth="1"/>
    <col min="4100" max="4100" width="5.75" customWidth="1"/>
    <col min="4101" max="4101" width="10.625" customWidth="1"/>
    <col min="4102" max="4102" width="9.75" customWidth="1"/>
    <col min="4103" max="4103" width="10.875" customWidth="1"/>
    <col min="4104" max="4104" width="7.625" customWidth="1"/>
    <col min="4106" max="4106" width="17" customWidth="1"/>
    <col min="4107" max="4107" width="15.875" customWidth="1"/>
    <col min="4108" max="4108" width="18.75" customWidth="1"/>
    <col min="4109" max="4109" width="23.875" customWidth="1"/>
    <col min="4110" max="4110" width="14.125" customWidth="1"/>
    <col min="4111" max="4111" width="24" customWidth="1"/>
    <col min="4353" max="4353" width="5.625" customWidth="1"/>
    <col min="4354" max="4354" width="5.125" customWidth="1"/>
    <col min="4355" max="4355" width="6" customWidth="1"/>
    <col min="4356" max="4356" width="5.75" customWidth="1"/>
    <col min="4357" max="4357" width="10.625" customWidth="1"/>
    <col min="4358" max="4358" width="9.75" customWidth="1"/>
    <col min="4359" max="4359" width="10.875" customWidth="1"/>
    <col min="4360" max="4360" width="7.625" customWidth="1"/>
    <col min="4362" max="4362" width="17" customWidth="1"/>
    <col min="4363" max="4363" width="15.875" customWidth="1"/>
    <col min="4364" max="4364" width="18.75" customWidth="1"/>
    <col min="4365" max="4365" width="23.875" customWidth="1"/>
    <col min="4366" max="4366" width="14.125" customWidth="1"/>
    <col min="4367" max="4367" width="24" customWidth="1"/>
    <col min="4609" max="4609" width="5.625" customWidth="1"/>
    <col min="4610" max="4610" width="5.125" customWidth="1"/>
    <col min="4611" max="4611" width="6" customWidth="1"/>
    <col min="4612" max="4612" width="5.75" customWidth="1"/>
    <col min="4613" max="4613" width="10.625" customWidth="1"/>
    <col min="4614" max="4614" width="9.75" customWidth="1"/>
    <col min="4615" max="4615" width="10.875" customWidth="1"/>
    <col min="4616" max="4616" width="7.625" customWidth="1"/>
    <col min="4618" max="4618" width="17" customWidth="1"/>
    <col min="4619" max="4619" width="15.875" customWidth="1"/>
    <col min="4620" max="4620" width="18.75" customWidth="1"/>
    <col min="4621" max="4621" width="23.875" customWidth="1"/>
    <col min="4622" max="4622" width="14.125" customWidth="1"/>
    <col min="4623" max="4623" width="24" customWidth="1"/>
    <col min="4865" max="4865" width="5.625" customWidth="1"/>
    <col min="4866" max="4866" width="5.125" customWidth="1"/>
    <col min="4867" max="4867" width="6" customWidth="1"/>
    <col min="4868" max="4868" width="5.75" customWidth="1"/>
    <col min="4869" max="4869" width="10.625" customWidth="1"/>
    <col min="4870" max="4870" width="9.75" customWidth="1"/>
    <col min="4871" max="4871" width="10.875" customWidth="1"/>
    <col min="4872" max="4872" width="7.625" customWidth="1"/>
    <col min="4874" max="4874" width="17" customWidth="1"/>
    <col min="4875" max="4875" width="15.875" customWidth="1"/>
    <col min="4876" max="4876" width="18.75" customWidth="1"/>
    <col min="4877" max="4877" width="23.875" customWidth="1"/>
    <col min="4878" max="4878" width="14.125" customWidth="1"/>
    <col min="4879" max="4879" width="24" customWidth="1"/>
    <col min="5121" max="5121" width="5.625" customWidth="1"/>
    <col min="5122" max="5122" width="5.125" customWidth="1"/>
    <col min="5123" max="5123" width="6" customWidth="1"/>
    <col min="5124" max="5124" width="5.75" customWidth="1"/>
    <col min="5125" max="5125" width="10.625" customWidth="1"/>
    <col min="5126" max="5126" width="9.75" customWidth="1"/>
    <col min="5127" max="5127" width="10.875" customWidth="1"/>
    <col min="5128" max="5128" width="7.625" customWidth="1"/>
    <col min="5130" max="5130" width="17" customWidth="1"/>
    <col min="5131" max="5131" width="15.875" customWidth="1"/>
    <col min="5132" max="5132" width="18.75" customWidth="1"/>
    <col min="5133" max="5133" width="23.875" customWidth="1"/>
    <col min="5134" max="5134" width="14.125" customWidth="1"/>
    <col min="5135" max="5135" width="24" customWidth="1"/>
    <col min="5377" max="5377" width="5.625" customWidth="1"/>
    <col min="5378" max="5378" width="5.125" customWidth="1"/>
    <col min="5379" max="5379" width="6" customWidth="1"/>
    <col min="5380" max="5380" width="5.75" customWidth="1"/>
    <col min="5381" max="5381" width="10.625" customWidth="1"/>
    <col min="5382" max="5382" width="9.75" customWidth="1"/>
    <col min="5383" max="5383" width="10.875" customWidth="1"/>
    <col min="5384" max="5384" width="7.625" customWidth="1"/>
    <col min="5386" max="5386" width="17" customWidth="1"/>
    <col min="5387" max="5387" width="15.875" customWidth="1"/>
    <col min="5388" max="5388" width="18.75" customWidth="1"/>
    <col min="5389" max="5389" width="23.875" customWidth="1"/>
    <col min="5390" max="5390" width="14.125" customWidth="1"/>
    <col min="5391" max="5391" width="24" customWidth="1"/>
    <col min="5633" max="5633" width="5.625" customWidth="1"/>
    <col min="5634" max="5634" width="5.125" customWidth="1"/>
    <col min="5635" max="5635" width="6" customWidth="1"/>
    <col min="5636" max="5636" width="5.75" customWidth="1"/>
    <col min="5637" max="5637" width="10.625" customWidth="1"/>
    <col min="5638" max="5638" width="9.75" customWidth="1"/>
    <col min="5639" max="5639" width="10.875" customWidth="1"/>
    <col min="5640" max="5640" width="7.625" customWidth="1"/>
    <col min="5642" max="5642" width="17" customWidth="1"/>
    <col min="5643" max="5643" width="15.875" customWidth="1"/>
    <col min="5644" max="5644" width="18.75" customWidth="1"/>
    <col min="5645" max="5645" width="23.875" customWidth="1"/>
    <col min="5646" max="5646" width="14.125" customWidth="1"/>
    <col min="5647" max="5647" width="24" customWidth="1"/>
    <col min="5889" max="5889" width="5.625" customWidth="1"/>
    <col min="5890" max="5890" width="5.125" customWidth="1"/>
    <col min="5891" max="5891" width="6" customWidth="1"/>
    <col min="5892" max="5892" width="5.75" customWidth="1"/>
    <col min="5893" max="5893" width="10.625" customWidth="1"/>
    <col min="5894" max="5894" width="9.75" customWidth="1"/>
    <col min="5895" max="5895" width="10.875" customWidth="1"/>
    <col min="5896" max="5896" width="7.625" customWidth="1"/>
    <col min="5898" max="5898" width="17" customWidth="1"/>
    <col min="5899" max="5899" width="15.875" customWidth="1"/>
    <col min="5900" max="5900" width="18.75" customWidth="1"/>
    <col min="5901" max="5901" width="23.875" customWidth="1"/>
    <col min="5902" max="5902" width="14.125" customWidth="1"/>
    <col min="5903" max="5903" width="24" customWidth="1"/>
    <col min="6145" max="6145" width="5.625" customWidth="1"/>
    <col min="6146" max="6146" width="5.125" customWidth="1"/>
    <col min="6147" max="6147" width="6" customWidth="1"/>
    <col min="6148" max="6148" width="5.75" customWidth="1"/>
    <col min="6149" max="6149" width="10.625" customWidth="1"/>
    <col min="6150" max="6150" width="9.75" customWidth="1"/>
    <col min="6151" max="6151" width="10.875" customWidth="1"/>
    <col min="6152" max="6152" width="7.625" customWidth="1"/>
    <col min="6154" max="6154" width="17" customWidth="1"/>
    <col min="6155" max="6155" width="15.875" customWidth="1"/>
    <col min="6156" max="6156" width="18.75" customWidth="1"/>
    <col min="6157" max="6157" width="23.875" customWidth="1"/>
    <col min="6158" max="6158" width="14.125" customWidth="1"/>
    <col min="6159" max="6159" width="24" customWidth="1"/>
    <col min="6401" max="6401" width="5.625" customWidth="1"/>
    <col min="6402" max="6402" width="5.125" customWidth="1"/>
    <col min="6403" max="6403" width="6" customWidth="1"/>
    <col min="6404" max="6404" width="5.75" customWidth="1"/>
    <col min="6405" max="6405" width="10.625" customWidth="1"/>
    <col min="6406" max="6406" width="9.75" customWidth="1"/>
    <col min="6407" max="6407" width="10.875" customWidth="1"/>
    <col min="6408" max="6408" width="7.625" customWidth="1"/>
    <col min="6410" max="6410" width="17" customWidth="1"/>
    <col min="6411" max="6411" width="15.875" customWidth="1"/>
    <col min="6412" max="6412" width="18.75" customWidth="1"/>
    <col min="6413" max="6413" width="23.875" customWidth="1"/>
    <col min="6414" max="6414" width="14.125" customWidth="1"/>
    <col min="6415" max="6415" width="24" customWidth="1"/>
    <col min="6657" max="6657" width="5.625" customWidth="1"/>
    <col min="6658" max="6658" width="5.125" customWidth="1"/>
    <col min="6659" max="6659" width="6" customWidth="1"/>
    <col min="6660" max="6660" width="5.75" customWidth="1"/>
    <col min="6661" max="6661" width="10.625" customWidth="1"/>
    <col min="6662" max="6662" width="9.75" customWidth="1"/>
    <col min="6663" max="6663" width="10.875" customWidth="1"/>
    <col min="6664" max="6664" width="7.625" customWidth="1"/>
    <col min="6666" max="6666" width="17" customWidth="1"/>
    <col min="6667" max="6667" width="15.875" customWidth="1"/>
    <col min="6668" max="6668" width="18.75" customWidth="1"/>
    <col min="6669" max="6669" width="23.875" customWidth="1"/>
    <col min="6670" max="6670" width="14.125" customWidth="1"/>
    <col min="6671" max="6671" width="24" customWidth="1"/>
    <col min="6913" max="6913" width="5.625" customWidth="1"/>
    <col min="6914" max="6914" width="5.125" customWidth="1"/>
    <col min="6915" max="6915" width="6" customWidth="1"/>
    <col min="6916" max="6916" width="5.75" customWidth="1"/>
    <col min="6917" max="6917" width="10.625" customWidth="1"/>
    <col min="6918" max="6918" width="9.75" customWidth="1"/>
    <col min="6919" max="6919" width="10.875" customWidth="1"/>
    <col min="6920" max="6920" width="7.625" customWidth="1"/>
    <col min="6922" max="6922" width="17" customWidth="1"/>
    <col min="6923" max="6923" width="15.875" customWidth="1"/>
    <col min="6924" max="6924" width="18.75" customWidth="1"/>
    <col min="6925" max="6925" width="23.875" customWidth="1"/>
    <col min="6926" max="6926" width="14.125" customWidth="1"/>
    <col min="6927" max="6927" width="24" customWidth="1"/>
    <col min="7169" max="7169" width="5.625" customWidth="1"/>
    <col min="7170" max="7170" width="5.125" customWidth="1"/>
    <col min="7171" max="7171" width="6" customWidth="1"/>
    <col min="7172" max="7172" width="5.75" customWidth="1"/>
    <col min="7173" max="7173" width="10.625" customWidth="1"/>
    <col min="7174" max="7174" width="9.75" customWidth="1"/>
    <col min="7175" max="7175" width="10.875" customWidth="1"/>
    <col min="7176" max="7176" width="7.625" customWidth="1"/>
    <col min="7178" max="7178" width="17" customWidth="1"/>
    <col min="7179" max="7179" width="15.875" customWidth="1"/>
    <col min="7180" max="7180" width="18.75" customWidth="1"/>
    <col min="7181" max="7181" width="23.875" customWidth="1"/>
    <col min="7182" max="7182" width="14.125" customWidth="1"/>
    <col min="7183" max="7183" width="24" customWidth="1"/>
    <col min="7425" max="7425" width="5.625" customWidth="1"/>
    <col min="7426" max="7426" width="5.125" customWidth="1"/>
    <col min="7427" max="7427" width="6" customWidth="1"/>
    <col min="7428" max="7428" width="5.75" customWidth="1"/>
    <col min="7429" max="7429" width="10.625" customWidth="1"/>
    <col min="7430" max="7430" width="9.75" customWidth="1"/>
    <col min="7431" max="7431" width="10.875" customWidth="1"/>
    <col min="7432" max="7432" width="7.625" customWidth="1"/>
    <col min="7434" max="7434" width="17" customWidth="1"/>
    <col min="7435" max="7435" width="15.875" customWidth="1"/>
    <col min="7436" max="7436" width="18.75" customWidth="1"/>
    <col min="7437" max="7437" width="23.875" customWidth="1"/>
    <col min="7438" max="7438" width="14.125" customWidth="1"/>
    <col min="7439" max="7439" width="24" customWidth="1"/>
    <col min="7681" max="7681" width="5.625" customWidth="1"/>
    <col min="7682" max="7682" width="5.125" customWidth="1"/>
    <col min="7683" max="7683" width="6" customWidth="1"/>
    <col min="7684" max="7684" width="5.75" customWidth="1"/>
    <col min="7685" max="7685" width="10.625" customWidth="1"/>
    <col min="7686" max="7686" width="9.75" customWidth="1"/>
    <col min="7687" max="7687" width="10.875" customWidth="1"/>
    <col min="7688" max="7688" width="7.625" customWidth="1"/>
    <col min="7690" max="7690" width="17" customWidth="1"/>
    <col min="7691" max="7691" width="15.875" customWidth="1"/>
    <col min="7692" max="7692" width="18.75" customWidth="1"/>
    <col min="7693" max="7693" width="23.875" customWidth="1"/>
    <col min="7694" max="7694" width="14.125" customWidth="1"/>
    <col min="7695" max="7695" width="24" customWidth="1"/>
    <col min="7937" max="7937" width="5.625" customWidth="1"/>
    <col min="7938" max="7938" width="5.125" customWidth="1"/>
    <col min="7939" max="7939" width="6" customWidth="1"/>
    <col min="7940" max="7940" width="5.75" customWidth="1"/>
    <col min="7941" max="7941" width="10.625" customWidth="1"/>
    <col min="7942" max="7942" width="9.75" customWidth="1"/>
    <col min="7943" max="7943" width="10.875" customWidth="1"/>
    <col min="7944" max="7944" width="7.625" customWidth="1"/>
    <col min="7946" max="7946" width="17" customWidth="1"/>
    <col min="7947" max="7947" width="15.875" customWidth="1"/>
    <col min="7948" max="7948" width="18.75" customWidth="1"/>
    <col min="7949" max="7949" width="23.875" customWidth="1"/>
    <col min="7950" max="7950" width="14.125" customWidth="1"/>
    <col min="7951" max="7951" width="24" customWidth="1"/>
    <col min="8193" max="8193" width="5.625" customWidth="1"/>
    <col min="8194" max="8194" width="5.125" customWidth="1"/>
    <col min="8195" max="8195" width="6" customWidth="1"/>
    <col min="8196" max="8196" width="5.75" customWidth="1"/>
    <col min="8197" max="8197" width="10.625" customWidth="1"/>
    <col min="8198" max="8198" width="9.75" customWidth="1"/>
    <col min="8199" max="8199" width="10.875" customWidth="1"/>
    <col min="8200" max="8200" width="7.625" customWidth="1"/>
    <col min="8202" max="8202" width="17" customWidth="1"/>
    <col min="8203" max="8203" width="15.875" customWidth="1"/>
    <col min="8204" max="8204" width="18.75" customWidth="1"/>
    <col min="8205" max="8205" width="23.875" customWidth="1"/>
    <col min="8206" max="8206" width="14.125" customWidth="1"/>
    <col min="8207" max="8207" width="24" customWidth="1"/>
    <col min="8449" max="8449" width="5.625" customWidth="1"/>
    <col min="8450" max="8450" width="5.125" customWidth="1"/>
    <col min="8451" max="8451" width="6" customWidth="1"/>
    <col min="8452" max="8452" width="5.75" customWidth="1"/>
    <col min="8453" max="8453" width="10.625" customWidth="1"/>
    <col min="8454" max="8454" width="9.75" customWidth="1"/>
    <col min="8455" max="8455" width="10.875" customWidth="1"/>
    <col min="8456" max="8456" width="7.625" customWidth="1"/>
    <col min="8458" max="8458" width="17" customWidth="1"/>
    <col min="8459" max="8459" width="15.875" customWidth="1"/>
    <col min="8460" max="8460" width="18.75" customWidth="1"/>
    <col min="8461" max="8461" width="23.875" customWidth="1"/>
    <col min="8462" max="8462" width="14.125" customWidth="1"/>
    <col min="8463" max="8463" width="24" customWidth="1"/>
    <col min="8705" max="8705" width="5.625" customWidth="1"/>
    <col min="8706" max="8706" width="5.125" customWidth="1"/>
    <col min="8707" max="8707" width="6" customWidth="1"/>
    <col min="8708" max="8708" width="5.75" customWidth="1"/>
    <col min="8709" max="8709" width="10.625" customWidth="1"/>
    <col min="8710" max="8710" width="9.75" customWidth="1"/>
    <col min="8711" max="8711" width="10.875" customWidth="1"/>
    <col min="8712" max="8712" width="7.625" customWidth="1"/>
    <col min="8714" max="8714" width="17" customWidth="1"/>
    <col min="8715" max="8715" width="15.875" customWidth="1"/>
    <col min="8716" max="8716" width="18.75" customWidth="1"/>
    <col min="8717" max="8717" width="23.875" customWidth="1"/>
    <col min="8718" max="8718" width="14.125" customWidth="1"/>
    <col min="8719" max="8719" width="24" customWidth="1"/>
    <col min="8961" max="8961" width="5.625" customWidth="1"/>
    <col min="8962" max="8962" width="5.125" customWidth="1"/>
    <col min="8963" max="8963" width="6" customWidth="1"/>
    <col min="8964" max="8964" width="5.75" customWidth="1"/>
    <col min="8965" max="8965" width="10.625" customWidth="1"/>
    <col min="8966" max="8966" width="9.75" customWidth="1"/>
    <col min="8967" max="8967" width="10.875" customWidth="1"/>
    <col min="8968" max="8968" width="7.625" customWidth="1"/>
    <col min="8970" max="8970" width="17" customWidth="1"/>
    <col min="8971" max="8971" width="15.875" customWidth="1"/>
    <col min="8972" max="8972" width="18.75" customWidth="1"/>
    <col min="8973" max="8973" width="23.875" customWidth="1"/>
    <col min="8974" max="8974" width="14.125" customWidth="1"/>
    <col min="8975" max="8975" width="24" customWidth="1"/>
    <col min="9217" max="9217" width="5.625" customWidth="1"/>
    <col min="9218" max="9218" width="5.125" customWidth="1"/>
    <col min="9219" max="9219" width="6" customWidth="1"/>
    <col min="9220" max="9220" width="5.75" customWidth="1"/>
    <col min="9221" max="9221" width="10.625" customWidth="1"/>
    <col min="9222" max="9222" width="9.75" customWidth="1"/>
    <col min="9223" max="9223" width="10.875" customWidth="1"/>
    <col min="9224" max="9224" width="7.625" customWidth="1"/>
    <col min="9226" max="9226" width="17" customWidth="1"/>
    <col min="9227" max="9227" width="15.875" customWidth="1"/>
    <col min="9228" max="9228" width="18.75" customWidth="1"/>
    <col min="9229" max="9229" width="23.875" customWidth="1"/>
    <col min="9230" max="9230" width="14.125" customWidth="1"/>
    <col min="9231" max="9231" width="24" customWidth="1"/>
    <col min="9473" max="9473" width="5.625" customWidth="1"/>
    <col min="9474" max="9474" width="5.125" customWidth="1"/>
    <col min="9475" max="9475" width="6" customWidth="1"/>
    <col min="9476" max="9476" width="5.75" customWidth="1"/>
    <col min="9477" max="9477" width="10.625" customWidth="1"/>
    <col min="9478" max="9478" width="9.75" customWidth="1"/>
    <col min="9479" max="9479" width="10.875" customWidth="1"/>
    <col min="9480" max="9480" width="7.625" customWidth="1"/>
    <col min="9482" max="9482" width="17" customWidth="1"/>
    <col min="9483" max="9483" width="15.875" customWidth="1"/>
    <col min="9484" max="9484" width="18.75" customWidth="1"/>
    <col min="9485" max="9485" width="23.875" customWidth="1"/>
    <col min="9486" max="9486" width="14.125" customWidth="1"/>
    <col min="9487" max="9487" width="24" customWidth="1"/>
    <col min="9729" max="9729" width="5.625" customWidth="1"/>
    <col min="9730" max="9730" width="5.125" customWidth="1"/>
    <col min="9731" max="9731" width="6" customWidth="1"/>
    <col min="9732" max="9732" width="5.75" customWidth="1"/>
    <col min="9733" max="9733" width="10.625" customWidth="1"/>
    <col min="9734" max="9734" width="9.75" customWidth="1"/>
    <col min="9735" max="9735" width="10.875" customWidth="1"/>
    <col min="9736" max="9736" width="7.625" customWidth="1"/>
    <col min="9738" max="9738" width="17" customWidth="1"/>
    <col min="9739" max="9739" width="15.875" customWidth="1"/>
    <col min="9740" max="9740" width="18.75" customWidth="1"/>
    <col min="9741" max="9741" width="23.875" customWidth="1"/>
    <col min="9742" max="9742" width="14.125" customWidth="1"/>
    <col min="9743" max="9743" width="24" customWidth="1"/>
    <col min="9985" max="9985" width="5.625" customWidth="1"/>
    <col min="9986" max="9986" width="5.125" customWidth="1"/>
    <col min="9987" max="9987" width="6" customWidth="1"/>
    <col min="9988" max="9988" width="5.75" customWidth="1"/>
    <col min="9989" max="9989" width="10.625" customWidth="1"/>
    <col min="9990" max="9990" width="9.75" customWidth="1"/>
    <col min="9991" max="9991" width="10.875" customWidth="1"/>
    <col min="9992" max="9992" width="7.625" customWidth="1"/>
    <col min="9994" max="9994" width="17" customWidth="1"/>
    <col min="9995" max="9995" width="15.875" customWidth="1"/>
    <col min="9996" max="9996" width="18.75" customWidth="1"/>
    <col min="9997" max="9997" width="23.875" customWidth="1"/>
    <col min="9998" max="9998" width="14.125" customWidth="1"/>
    <col min="9999" max="9999" width="24" customWidth="1"/>
    <col min="10241" max="10241" width="5.625" customWidth="1"/>
    <col min="10242" max="10242" width="5.125" customWidth="1"/>
    <col min="10243" max="10243" width="6" customWidth="1"/>
    <col min="10244" max="10244" width="5.75" customWidth="1"/>
    <col min="10245" max="10245" width="10.625" customWidth="1"/>
    <col min="10246" max="10246" width="9.75" customWidth="1"/>
    <col min="10247" max="10247" width="10.875" customWidth="1"/>
    <col min="10248" max="10248" width="7.625" customWidth="1"/>
    <col min="10250" max="10250" width="17" customWidth="1"/>
    <col min="10251" max="10251" width="15.875" customWidth="1"/>
    <col min="10252" max="10252" width="18.75" customWidth="1"/>
    <col min="10253" max="10253" width="23.875" customWidth="1"/>
    <col min="10254" max="10254" width="14.125" customWidth="1"/>
    <col min="10255" max="10255" width="24" customWidth="1"/>
    <col min="10497" max="10497" width="5.625" customWidth="1"/>
    <col min="10498" max="10498" width="5.125" customWidth="1"/>
    <col min="10499" max="10499" width="6" customWidth="1"/>
    <col min="10500" max="10500" width="5.75" customWidth="1"/>
    <col min="10501" max="10501" width="10.625" customWidth="1"/>
    <col min="10502" max="10502" width="9.75" customWidth="1"/>
    <col min="10503" max="10503" width="10.875" customWidth="1"/>
    <col min="10504" max="10504" width="7.625" customWidth="1"/>
    <col min="10506" max="10506" width="17" customWidth="1"/>
    <col min="10507" max="10507" width="15.875" customWidth="1"/>
    <col min="10508" max="10508" width="18.75" customWidth="1"/>
    <col min="10509" max="10509" width="23.875" customWidth="1"/>
    <col min="10510" max="10510" width="14.125" customWidth="1"/>
    <col min="10511" max="10511" width="24" customWidth="1"/>
    <col min="10753" max="10753" width="5.625" customWidth="1"/>
    <col min="10754" max="10754" width="5.125" customWidth="1"/>
    <col min="10755" max="10755" width="6" customWidth="1"/>
    <col min="10756" max="10756" width="5.75" customWidth="1"/>
    <col min="10757" max="10757" width="10.625" customWidth="1"/>
    <col min="10758" max="10758" width="9.75" customWidth="1"/>
    <col min="10759" max="10759" width="10.875" customWidth="1"/>
    <col min="10760" max="10760" width="7.625" customWidth="1"/>
    <col min="10762" max="10762" width="17" customWidth="1"/>
    <col min="10763" max="10763" width="15.875" customWidth="1"/>
    <col min="10764" max="10764" width="18.75" customWidth="1"/>
    <col min="10765" max="10765" width="23.875" customWidth="1"/>
    <col min="10766" max="10766" width="14.125" customWidth="1"/>
    <col min="10767" max="10767" width="24" customWidth="1"/>
    <col min="11009" max="11009" width="5.625" customWidth="1"/>
    <col min="11010" max="11010" width="5.125" customWidth="1"/>
    <col min="11011" max="11011" width="6" customWidth="1"/>
    <col min="11012" max="11012" width="5.75" customWidth="1"/>
    <col min="11013" max="11013" width="10.625" customWidth="1"/>
    <col min="11014" max="11014" width="9.75" customWidth="1"/>
    <col min="11015" max="11015" width="10.875" customWidth="1"/>
    <col min="11016" max="11016" width="7.625" customWidth="1"/>
    <col min="11018" max="11018" width="17" customWidth="1"/>
    <col min="11019" max="11019" width="15.875" customWidth="1"/>
    <col min="11020" max="11020" width="18.75" customWidth="1"/>
    <col min="11021" max="11021" width="23.875" customWidth="1"/>
    <col min="11022" max="11022" width="14.125" customWidth="1"/>
    <col min="11023" max="11023" width="24" customWidth="1"/>
    <col min="11265" max="11265" width="5.625" customWidth="1"/>
    <col min="11266" max="11266" width="5.125" customWidth="1"/>
    <col min="11267" max="11267" width="6" customWidth="1"/>
    <col min="11268" max="11268" width="5.75" customWidth="1"/>
    <col min="11269" max="11269" width="10.625" customWidth="1"/>
    <col min="11270" max="11270" width="9.75" customWidth="1"/>
    <col min="11271" max="11271" width="10.875" customWidth="1"/>
    <col min="11272" max="11272" width="7.625" customWidth="1"/>
    <col min="11274" max="11274" width="17" customWidth="1"/>
    <col min="11275" max="11275" width="15.875" customWidth="1"/>
    <col min="11276" max="11276" width="18.75" customWidth="1"/>
    <col min="11277" max="11277" width="23.875" customWidth="1"/>
    <col min="11278" max="11278" width="14.125" customWidth="1"/>
    <col min="11279" max="11279" width="24" customWidth="1"/>
    <col min="11521" max="11521" width="5.625" customWidth="1"/>
    <col min="11522" max="11522" width="5.125" customWidth="1"/>
    <col min="11523" max="11523" width="6" customWidth="1"/>
    <col min="11524" max="11524" width="5.75" customWidth="1"/>
    <col min="11525" max="11525" width="10.625" customWidth="1"/>
    <col min="11526" max="11526" width="9.75" customWidth="1"/>
    <col min="11527" max="11527" width="10.875" customWidth="1"/>
    <col min="11528" max="11528" width="7.625" customWidth="1"/>
    <col min="11530" max="11530" width="17" customWidth="1"/>
    <col min="11531" max="11531" width="15.875" customWidth="1"/>
    <col min="11532" max="11532" width="18.75" customWidth="1"/>
    <col min="11533" max="11533" width="23.875" customWidth="1"/>
    <col min="11534" max="11534" width="14.125" customWidth="1"/>
    <col min="11535" max="11535" width="24" customWidth="1"/>
    <col min="11777" max="11777" width="5.625" customWidth="1"/>
    <col min="11778" max="11778" width="5.125" customWidth="1"/>
    <col min="11779" max="11779" width="6" customWidth="1"/>
    <col min="11780" max="11780" width="5.75" customWidth="1"/>
    <col min="11781" max="11781" width="10.625" customWidth="1"/>
    <col min="11782" max="11782" width="9.75" customWidth="1"/>
    <col min="11783" max="11783" width="10.875" customWidth="1"/>
    <col min="11784" max="11784" width="7.625" customWidth="1"/>
    <col min="11786" max="11786" width="17" customWidth="1"/>
    <col min="11787" max="11787" width="15.875" customWidth="1"/>
    <col min="11788" max="11788" width="18.75" customWidth="1"/>
    <col min="11789" max="11789" width="23.875" customWidth="1"/>
    <col min="11790" max="11790" width="14.125" customWidth="1"/>
    <col min="11791" max="11791" width="24" customWidth="1"/>
    <col min="12033" max="12033" width="5.625" customWidth="1"/>
    <col min="12034" max="12034" width="5.125" customWidth="1"/>
    <col min="12035" max="12035" width="6" customWidth="1"/>
    <col min="12036" max="12036" width="5.75" customWidth="1"/>
    <col min="12037" max="12037" width="10.625" customWidth="1"/>
    <col min="12038" max="12038" width="9.75" customWidth="1"/>
    <col min="12039" max="12039" width="10.875" customWidth="1"/>
    <col min="12040" max="12040" width="7.625" customWidth="1"/>
    <col min="12042" max="12042" width="17" customWidth="1"/>
    <col min="12043" max="12043" width="15.875" customWidth="1"/>
    <col min="12044" max="12044" width="18.75" customWidth="1"/>
    <col min="12045" max="12045" width="23.875" customWidth="1"/>
    <col min="12046" max="12046" width="14.125" customWidth="1"/>
    <col min="12047" max="12047" width="24" customWidth="1"/>
    <col min="12289" max="12289" width="5.625" customWidth="1"/>
    <col min="12290" max="12290" width="5.125" customWidth="1"/>
    <col min="12291" max="12291" width="6" customWidth="1"/>
    <col min="12292" max="12292" width="5.75" customWidth="1"/>
    <col min="12293" max="12293" width="10.625" customWidth="1"/>
    <col min="12294" max="12294" width="9.75" customWidth="1"/>
    <col min="12295" max="12295" width="10.875" customWidth="1"/>
    <col min="12296" max="12296" width="7.625" customWidth="1"/>
    <col min="12298" max="12298" width="17" customWidth="1"/>
    <col min="12299" max="12299" width="15.875" customWidth="1"/>
    <col min="12300" max="12300" width="18.75" customWidth="1"/>
    <col min="12301" max="12301" width="23.875" customWidth="1"/>
    <col min="12302" max="12302" width="14.125" customWidth="1"/>
    <col min="12303" max="12303" width="24" customWidth="1"/>
    <col min="12545" max="12545" width="5.625" customWidth="1"/>
    <col min="12546" max="12546" width="5.125" customWidth="1"/>
    <col min="12547" max="12547" width="6" customWidth="1"/>
    <col min="12548" max="12548" width="5.75" customWidth="1"/>
    <col min="12549" max="12549" width="10.625" customWidth="1"/>
    <col min="12550" max="12550" width="9.75" customWidth="1"/>
    <col min="12551" max="12551" width="10.875" customWidth="1"/>
    <col min="12552" max="12552" width="7.625" customWidth="1"/>
    <col min="12554" max="12554" width="17" customWidth="1"/>
    <col min="12555" max="12555" width="15.875" customWidth="1"/>
    <col min="12556" max="12556" width="18.75" customWidth="1"/>
    <col min="12557" max="12557" width="23.875" customWidth="1"/>
    <col min="12558" max="12558" width="14.125" customWidth="1"/>
    <col min="12559" max="12559" width="24" customWidth="1"/>
    <col min="12801" max="12801" width="5.625" customWidth="1"/>
    <col min="12802" max="12802" width="5.125" customWidth="1"/>
    <col min="12803" max="12803" width="6" customWidth="1"/>
    <col min="12804" max="12804" width="5.75" customWidth="1"/>
    <col min="12805" max="12805" width="10.625" customWidth="1"/>
    <col min="12806" max="12806" width="9.75" customWidth="1"/>
    <col min="12807" max="12807" width="10.875" customWidth="1"/>
    <col min="12808" max="12808" width="7.625" customWidth="1"/>
    <col min="12810" max="12810" width="17" customWidth="1"/>
    <col min="12811" max="12811" width="15.875" customWidth="1"/>
    <col min="12812" max="12812" width="18.75" customWidth="1"/>
    <col min="12813" max="12813" width="23.875" customWidth="1"/>
    <col min="12814" max="12814" width="14.125" customWidth="1"/>
    <col min="12815" max="12815" width="24" customWidth="1"/>
    <col min="13057" max="13057" width="5.625" customWidth="1"/>
    <col min="13058" max="13058" width="5.125" customWidth="1"/>
    <col min="13059" max="13059" width="6" customWidth="1"/>
    <col min="13060" max="13060" width="5.75" customWidth="1"/>
    <col min="13061" max="13061" width="10.625" customWidth="1"/>
    <col min="13062" max="13062" width="9.75" customWidth="1"/>
    <col min="13063" max="13063" width="10.875" customWidth="1"/>
    <col min="13064" max="13064" width="7.625" customWidth="1"/>
    <col min="13066" max="13066" width="17" customWidth="1"/>
    <col min="13067" max="13067" width="15.875" customWidth="1"/>
    <col min="13068" max="13068" width="18.75" customWidth="1"/>
    <col min="13069" max="13069" width="23.875" customWidth="1"/>
    <col min="13070" max="13070" width="14.125" customWidth="1"/>
    <col min="13071" max="13071" width="24" customWidth="1"/>
    <col min="13313" max="13313" width="5.625" customWidth="1"/>
    <col min="13314" max="13314" width="5.125" customWidth="1"/>
    <col min="13315" max="13315" width="6" customWidth="1"/>
    <col min="13316" max="13316" width="5.75" customWidth="1"/>
    <col min="13317" max="13317" width="10.625" customWidth="1"/>
    <col min="13318" max="13318" width="9.75" customWidth="1"/>
    <col min="13319" max="13319" width="10.875" customWidth="1"/>
    <col min="13320" max="13320" width="7.625" customWidth="1"/>
    <col min="13322" max="13322" width="17" customWidth="1"/>
    <col min="13323" max="13323" width="15.875" customWidth="1"/>
    <col min="13324" max="13324" width="18.75" customWidth="1"/>
    <col min="13325" max="13325" width="23.875" customWidth="1"/>
    <col min="13326" max="13326" width="14.125" customWidth="1"/>
    <col min="13327" max="13327" width="24" customWidth="1"/>
    <col min="13569" max="13569" width="5.625" customWidth="1"/>
    <col min="13570" max="13570" width="5.125" customWidth="1"/>
    <col min="13571" max="13571" width="6" customWidth="1"/>
    <col min="13572" max="13572" width="5.75" customWidth="1"/>
    <col min="13573" max="13573" width="10.625" customWidth="1"/>
    <col min="13574" max="13574" width="9.75" customWidth="1"/>
    <col min="13575" max="13575" width="10.875" customWidth="1"/>
    <col min="13576" max="13576" width="7.625" customWidth="1"/>
    <col min="13578" max="13578" width="17" customWidth="1"/>
    <col min="13579" max="13579" width="15.875" customWidth="1"/>
    <col min="13580" max="13580" width="18.75" customWidth="1"/>
    <col min="13581" max="13581" width="23.875" customWidth="1"/>
    <col min="13582" max="13582" width="14.125" customWidth="1"/>
    <col min="13583" max="13583" width="24" customWidth="1"/>
    <col min="13825" max="13825" width="5.625" customWidth="1"/>
    <col min="13826" max="13826" width="5.125" customWidth="1"/>
    <col min="13827" max="13827" width="6" customWidth="1"/>
    <col min="13828" max="13828" width="5.75" customWidth="1"/>
    <col min="13829" max="13829" width="10.625" customWidth="1"/>
    <col min="13830" max="13830" width="9.75" customWidth="1"/>
    <col min="13831" max="13831" width="10.875" customWidth="1"/>
    <col min="13832" max="13832" width="7.625" customWidth="1"/>
    <col min="13834" max="13834" width="17" customWidth="1"/>
    <col min="13835" max="13835" width="15.875" customWidth="1"/>
    <col min="13836" max="13836" width="18.75" customWidth="1"/>
    <col min="13837" max="13837" width="23.875" customWidth="1"/>
    <col min="13838" max="13838" width="14.125" customWidth="1"/>
    <col min="13839" max="13839" width="24" customWidth="1"/>
    <col min="14081" max="14081" width="5.625" customWidth="1"/>
    <col min="14082" max="14082" width="5.125" customWidth="1"/>
    <col min="14083" max="14083" width="6" customWidth="1"/>
    <col min="14084" max="14084" width="5.75" customWidth="1"/>
    <col min="14085" max="14085" width="10.625" customWidth="1"/>
    <col min="14086" max="14086" width="9.75" customWidth="1"/>
    <col min="14087" max="14087" width="10.875" customWidth="1"/>
    <col min="14088" max="14088" width="7.625" customWidth="1"/>
    <col min="14090" max="14090" width="17" customWidth="1"/>
    <col min="14091" max="14091" width="15.875" customWidth="1"/>
    <col min="14092" max="14092" width="18.75" customWidth="1"/>
    <col min="14093" max="14093" width="23.875" customWidth="1"/>
    <col min="14094" max="14094" width="14.125" customWidth="1"/>
    <col min="14095" max="14095" width="24" customWidth="1"/>
    <col min="14337" max="14337" width="5.625" customWidth="1"/>
    <col min="14338" max="14338" width="5.125" customWidth="1"/>
    <col min="14339" max="14339" width="6" customWidth="1"/>
    <col min="14340" max="14340" width="5.75" customWidth="1"/>
    <col min="14341" max="14341" width="10.625" customWidth="1"/>
    <col min="14342" max="14342" width="9.75" customWidth="1"/>
    <col min="14343" max="14343" width="10.875" customWidth="1"/>
    <col min="14344" max="14344" width="7.625" customWidth="1"/>
    <col min="14346" max="14346" width="17" customWidth="1"/>
    <col min="14347" max="14347" width="15.875" customWidth="1"/>
    <col min="14348" max="14348" width="18.75" customWidth="1"/>
    <col min="14349" max="14349" width="23.875" customWidth="1"/>
    <col min="14350" max="14350" width="14.125" customWidth="1"/>
    <col min="14351" max="14351" width="24" customWidth="1"/>
    <col min="14593" max="14593" width="5.625" customWidth="1"/>
    <col min="14594" max="14594" width="5.125" customWidth="1"/>
    <col min="14595" max="14595" width="6" customWidth="1"/>
    <col min="14596" max="14596" width="5.75" customWidth="1"/>
    <col min="14597" max="14597" width="10.625" customWidth="1"/>
    <col min="14598" max="14598" width="9.75" customWidth="1"/>
    <col min="14599" max="14599" width="10.875" customWidth="1"/>
    <col min="14600" max="14600" width="7.625" customWidth="1"/>
    <col min="14602" max="14602" width="17" customWidth="1"/>
    <col min="14603" max="14603" width="15.875" customWidth="1"/>
    <col min="14604" max="14604" width="18.75" customWidth="1"/>
    <col min="14605" max="14605" width="23.875" customWidth="1"/>
    <col min="14606" max="14606" width="14.125" customWidth="1"/>
    <col min="14607" max="14607" width="24" customWidth="1"/>
    <col min="14849" max="14849" width="5.625" customWidth="1"/>
    <col min="14850" max="14850" width="5.125" customWidth="1"/>
    <col min="14851" max="14851" width="6" customWidth="1"/>
    <col min="14852" max="14852" width="5.75" customWidth="1"/>
    <col min="14853" max="14853" width="10.625" customWidth="1"/>
    <col min="14854" max="14854" width="9.75" customWidth="1"/>
    <col min="14855" max="14855" width="10.875" customWidth="1"/>
    <col min="14856" max="14856" width="7.625" customWidth="1"/>
    <col min="14858" max="14858" width="17" customWidth="1"/>
    <col min="14859" max="14859" width="15.875" customWidth="1"/>
    <col min="14860" max="14860" width="18.75" customWidth="1"/>
    <col min="14861" max="14861" width="23.875" customWidth="1"/>
    <col min="14862" max="14862" width="14.125" customWidth="1"/>
    <col min="14863" max="14863" width="24" customWidth="1"/>
    <col min="15105" max="15105" width="5.625" customWidth="1"/>
    <col min="15106" max="15106" width="5.125" customWidth="1"/>
    <col min="15107" max="15107" width="6" customWidth="1"/>
    <col min="15108" max="15108" width="5.75" customWidth="1"/>
    <col min="15109" max="15109" width="10.625" customWidth="1"/>
    <col min="15110" max="15110" width="9.75" customWidth="1"/>
    <col min="15111" max="15111" width="10.875" customWidth="1"/>
    <col min="15112" max="15112" width="7.625" customWidth="1"/>
    <col min="15114" max="15114" width="17" customWidth="1"/>
    <col min="15115" max="15115" width="15.875" customWidth="1"/>
    <col min="15116" max="15116" width="18.75" customWidth="1"/>
    <col min="15117" max="15117" width="23.875" customWidth="1"/>
    <col min="15118" max="15118" width="14.125" customWidth="1"/>
    <col min="15119" max="15119" width="24" customWidth="1"/>
    <col min="15361" max="15361" width="5.625" customWidth="1"/>
    <col min="15362" max="15362" width="5.125" customWidth="1"/>
    <col min="15363" max="15363" width="6" customWidth="1"/>
    <col min="15364" max="15364" width="5.75" customWidth="1"/>
    <col min="15365" max="15365" width="10.625" customWidth="1"/>
    <col min="15366" max="15366" width="9.75" customWidth="1"/>
    <col min="15367" max="15367" width="10.875" customWidth="1"/>
    <col min="15368" max="15368" width="7.625" customWidth="1"/>
    <col min="15370" max="15370" width="17" customWidth="1"/>
    <col min="15371" max="15371" width="15.875" customWidth="1"/>
    <col min="15372" max="15372" width="18.75" customWidth="1"/>
    <col min="15373" max="15373" width="23.875" customWidth="1"/>
    <col min="15374" max="15374" width="14.125" customWidth="1"/>
    <col min="15375" max="15375" width="24" customWidth="1"/>
    <col min="15617" max="15617" width="5.625" customWidth="1"/>
    <col min="15618" max="15618" width="5.125" customWidth="1"/>
    <col min="15619" max="15619" width="6" customWidth="1"/>
    <col min="15620" max="15620" width="5.75" customWidth="1"/>
    <col min="15621" max="15621" width="10.625" customWidth="1"/>
    <col min="15622" max="15622" width="9.75" customWidth="1"/>
    <col min="15623" max="15623" width="10.875" customWidth="1"/>
    <col min="15624" max="15624" width="7.625" customWidth="1"/>
    <col min="15626" max="15626" width="17" customWidth="1"/>
    <col min="15627" max="15627" width="15.875" customWidth="1"/>
    <col min="15628" max="15628" width="18.75" customWidth="1"/>
    <col min="15629" max="15629" width="23.875" customWidth="1"/>
    <col min="15630" max="15630" width="14.125" customWidth="1"/>
    <col min="15631" max="15631" width="24" customWidth="1"/>
    <col min="15873" max="15873" width="5.625" customWidth="1"/>
    <col min="15874" max="15874" width="5.125" customWidth="1"/>
    <col min="15875" max="15875" width="6" customWidth="1"/>
    <col min="15876" max="15876" width="5.75" customWidth="1"/>
    <col min="15877" max="15877" width="10.625" customWidth="1"/>
    <col min="15878" max="15878" width="9.75" customWidth="1"/>
    <col min="15879" max="15879" width="10.875" customWidth="1"/>
    <col min="15880" max="15880" width="7.625" customWidth="1"/>
    <col min="15882" max="15882" width="17" customWidth="1"/>
    <col min="15883" max="15883" width="15.875" customWidth="1"/>
    <col min="15884" max="15884" width="18.75" customWidth="1"/>
    <col min="15885" max="15885" width="23.875" customWidth="1"/>
    <col min="15886" max="15886" width="14.125" customWidth="1"/>
    <col min="15887" max="15887" width="24" customWidth="1"/>
    <col min="16129" max="16129" width="5.625" customWidth="1"/>
    <col min="16130" max="16130" width="5.125" customWidth="1"/>
    <col min="16131" max="16131" width="6" customWidth="1"/>
    <col min="16132" max="16132" width="5.75" customWidth="1"/>
    <col min="16133" max="16133" width="10.625" customWidth="1"/>
    <col min="16134" max="16134" width="9.75" customWidth="1"/>
    <col min="16135" max="16135" width="10.875" customWidth="1"/>
    <col min="16136" max="16136" width="7.625" customWidth="1"/>
    <col min="16138" max="16138" width="17" customWidth="1"/>
    <col min="16139" max="16139" width="15.875" customWidth="1"/>
    <col min="16140" max="16140" width="18.75" customWidth="1"/>
    <col min="16141" max="16141" width="23.875" customWidth="1"/>
    <col min="16142" max="16142" width="14.125" customWidth="1"/>
    <col min="16143" max="16143" width="24" customWidth="1"/>
  </cols>
  <sheetData>
    <row r="1" spans="1:15" s="3184" customFormat="1" ht="24.95" customHeight="1">
      <c r="A1" s="3180" t="s">
        <v>3455</v>
      </c>
      <c r="B1" s="3180" t="s">
        <v>3456</v>
      </c>
      <c r="C1" s="3180" t="s">
        <v>3457</v>
      </c>
      <c r="D1" s="3180" t="s">
        <v>3458</v>
      </c>
      <c r="E1" s="3181" t="s">
        <v>3459</v>
      </c>
      <c r="F1" s="3182" t="s">
        <v>3388</v>
      </c>
      <c r="G1" s="3182" t="s">
        <v>3460</v>
      </c>
      <c r="H1" s="3181" t="s">
        <v>3461</v>
      </c>
      <c r="I1" s="3181" t="s">
        <v>3462</v>
      </c>
      <c r="J1" s="3181" t="s">
        <v>3463</v>
      </c>
      <c r="K1" s="3181" t="s">
        <v>3464</v>
      </c>
      <c r="L1" s="3181" t="s">
        <v>3465</v>
      </c>
      <c r="M1" s="3181" t="s">
        <v>3466</v>
      </c>
      <c r="N1" s="3180" t="s">
        <v>3467</v>
      </c>
      <c r="O1" s="3183" t="s">
        <v>3468</v>
      </c>
    </row>
    <row r="2" spans="1:15" ht="24.95" customHeight="1">
      <c r="A2" s="3185">
        <v>1</v>
      </c>
      <c r="B2" s="3185">
        <v>1</v>
      </c>
      <c r="C2" s="3185">
        <v>1</v>
      </c>
      <c r="D2" s="3186">
        <v>101</v>
      </c>
      <c r="E2" s="3176" t="str">
        <f t="shared" ref="E2:E65" si="0">CONCATENATE(B2,"-",C2,"-",D2)</f>
        <v>1-1-101</v>
      </c>
      <c r="F2" s="3187">
        <v>91.2</v>
      </c>
      <c r="G2" s="3188">
        <v>74.95</v>
      </c>
      <c r="H2" s="3189" t="s">
        <v>403</v>
      </c>
      <c r="I2" s="3189" t="s">
        <v>3470</v>
      </c>
      <c r="J2" s="3189">
        <v>2587496.2999999998</v>
      </c>
      <c r="K2" s="3189">
        <v>28371.67</v>
      </c>
      <c r="L2" s="3181">
        <v>2587496</v>
      </c>
      <c r="M2" s="3181">
        <v>28371.67</v>
      </c>
      <c r="N2" s="3180" t="s">
        <v>3486</v>
      </c>
      <c r="O2" s="3190">
        <f>ROUND(L2*0.95,0)</f>
        <v>2458121</v>
      </c>
    </row>
    <row r="3" spans="1:15" ht="24.95" customHeight="1">
      <c r="A3" s="3185">
        <v>2</v>
      </c>
      <c r="B3" s="3185">
        <v>1</v>
      </c>
      <c r="C3" s="3185">
        <v>1</v>
      </c>
      <c r="D3" s="3186">
        <v>102</v>
      </c>
      <c r="E3" s="3176" t="str">
        <f t="shared" si="0"/>
        <v>1-1-102</v>
      </c>
      <c r="F3" s="3187">
        <v>109.72</v>
      </c>
      <c r="G3" s="3188">
        <v>90.17</v>
      </c>
      <c r="H3" s="3189" t="s">
        <v>3469</v>
      </c>
      <c r="I3" s="3189" t="s">
        <v>3470</v>
      </c>
      <c r="J3" s="3189">
        <v>3036135.63</v>
      </c>
      <c r="K3" s="3189">
        <v>27671.67</v>
      </c>
      <c r="L3" s="3181">
        <v>3036135</v>
      </c>
      <c r="M3" s="3181">
        <v>27671.66</v>
      </c>
      <c r="N3" s="3180" t="s">
        <v>3486</v>
      </c>
      <c r="O3" s="3190">
        <f>ROUND(L3*0.95,0)</f>
        <v>2884328</v>
      </c>
    </row>
    <row r="4" spans="1:15" ht="24.95" customHeight="1">
      <c r="A4" s="3185">
        <v>3</v>
      </c>
      <c r="B4" s="3185">
        <v>1</v>
      </c>
      <c r="C4" s="3185">
        <v>1</v>
      </c>
      <c r="D4" s="3186">
        <v>201</v>
      </c>
      <c r="E4" s="3176" t="str">
        <f t="shared" si="0"/>
        <v>1-1-201</v>
      </c>
      <c r="F4" s="3187">
        <v>110.17</v>
      </c>
      <c r="G4" s="3188">
        <v>90.54</v>
      </c>
      <c r="H4" s="3189" t="s">
        <v>3472</v>
      </c>
      <c r="I4" s="3189" t="s">
        <v>3470</v>
      </c>
      <c r="J4" s="3189">
        <v>3076130.38</v>
      </c>
      <c r="K4" s="3189">
        <v>27921.67</v>
      </c>
      <c r="L4" s="3181">
        <v>3076130</v>
      </c>
      <c r="M4" s="3181">
        <v>27921.67</v>
      </c>
      <c r="N4" s="3180" t="s">
        <v>3486</v>
      </c>
      <c r="O4" s="3190">
        <f>ROUND(L4*0.95,0)</f>
        <v>2922324</v>
      </c>
    </row>
    <row r="5" spans="1:15" ht="24.95" customHeight="1">
      <c r="A5" s="3185">
        <v>4</v>
      </c>
      <c r="B5" s="3185">
        <v>1</v>
      </c>
      <c r="C5" s="3185">
        <v>1</v>
      </c>
      <c r="D5" s="3186">
        <v>202</v>
      </c>
      <c r="E5" s="3176" t="str">
        <f t="shared" si="0"/>
        <v>1-1-202</v>
      </c>
      <c r="F5" s="3187">
        <v>109.72</v>
      </c>
      <c r="G5" s="3188">
        <v>90.17</v>
      </c>
      <c r="H5" s="3189" t="s">
        <v>3469</v>
      </c>
      <c r="I5" s="3189" t="s">
        <v>3470</v>
      </c>
      <c r="J5" s="3189">
        <v>3069051.63</v>
      </c>
      <c r="K5" s="3189">
        <v>27971.67</v>
      </c>
      <c r="L5" s="3181">
        <v>3069051</v>
      </c>
      <c r="M5" s="3181">
        <v>27971.66</v>
      </c>
      <c r="N5" s="3180" t="s">
        <v>3486</v>
      </c>
      <c r="O5" s="3190">
        <f>ROUND(L5*0.95,0)</f>
        <v>2915598</v>
      </c>
    </row>
    <row r="6" spans="1:15" ht="24.95" customHeight="1">
      <c r="A6" s="3185">
        <v>5</v>
      </c>
      <c r="B6" s="3185">
        <v>1</v>
      </c>
      <c r="C6" s="3185">
        <v>1</v>
      </c>
      <c r="D6" s="3186">
        <v>301</v>
      </c>
      <c r="E6" s="3176" t="str">
        <f t="shared" si="0"/>
        <v>1-1-301</v>
      </c>
      <c r="F6" s="3187">
        <v>110.17</v>
      </c>
      <c r="G6" s="3188">
        <v>90.54</v>
      </c>
      <c r="H6" s="3189" t="s">
        <v>3472</v>
      </c>
      <c r="I6" s="3189" t="s">
        <v>3470</v>
      </c>
      <c r="J6" s="3189">
        <v>3131215.38</v>
      </c>
      <c r="K6" s="3189">
        <v>28421.67</v>
      </c>
      <c r="L6" s="3181">
        <v>3131215</v>
      </c>
      <c r="M6" s="3181">
        <v>28421.67</v>
      </c>
      <c r="N6" s="3180" t="s">
        <v>3486</v>
      </c>
      <c r="O6" s="3190">
        <f>ROUND(L6*0.95,0)</f>
        <v>2974654</v>
      </c>
    </row>
    <row r="7" spans="1:15" ht="24.95" customHeight="1">
      <c r="A7" s="3185">
        <v>6</v>
      </c>
      <c r="B7" s="3185">
        <v>1</v>
      </c>
      <c r="C7" s="3185">
        <v>1</v>
      </c>
      <c r="D7" s="3186">
        <v>302</v>
      </c>
      <c r="E7" s="3176" t="str">
        <f t="shared" si="0"/>
        <v>1-1-302</v>
      </c>
      <c r="F7" s="3187">
        <v>109.72</v>
      </c>
      <c r="G7" s="3188">
        <v>90.17</v>
      </c>
      <c r="H7" s="3189" t="s">
        <v>3469</v>
      </c>
      <c r="I7" s="3189" t="s">
        <v>3470</v>
      </c>
      <c r="J7" s="3189">
        <v>3123911.63</v>
      </c>
      <c r="K7" s="3189">
        <v>28471.67</v>
      </c>
      <c r="L7" s="3181">
        <v>3123911</v>
      </c>
      <c r="M7" s="3181">
        <v>28471.66</v>
      </c>
      <c r="N7" s="3180" t="s">
        <v>3471</v>
      </c>
      <c r="O7" s="3190">
        <v>2970505</v>
      </c>
    </row>
    <row r="8" spans="1:15" ht="24.95" customHeight="1">
      <c r="A8" s="3185">
        <v>7</v>
      </c>
      <c r="B8" s="3185">
        <v>1</v>
      </c>
      <c r="C8" s="3185">
        <v>1</v>
      </c>
      <c r="D8" s="3186">
        <v>401</v>
      </c>
      <c r="E8" s="3176" t="str">
        <f t="shared" si="0"/>
        <v>1-1-401</v>
      </c>
      <c r="F8" s="3191">
        <v>110.17</v>
      </c>
      <c r="G8" s="3188">
        <v>90.54</v>
      </c>
      <c r="H8" s="3189" t="s">
        <v>3472</v>
      </c>
      <c r="I8" s="3189" t="s">
        <v>3470</v>
      </c>
      <c r="J8" s="3189">
        <v>3169774.88</v>
      </c>
      <c r="K8" s="3189">
        <v>28771.67</v>
      </c>
      <c r="L8" s="3181">
        <v>3169774</v>
      </c>
      <c r="M8" s="3181">
        <v>28771.66</v>
      </c>
      <c r="N8" s="3180" t="s">
        <v>3486</v>
      </c>
      <c r="O8" s="3190">
        <f>ROUND(L8*0.95,0)</f>
        <v>3011285</v>
      </c>
    </row>
    <row r="9" spans="1:15" ht="24.95" customHeight="1">
      <c r="A9" s="3185">
        <v>8</v>
      </c>
      <c r="B9" s="3185">
        <v>1</v>
      </c>
      <c r="C9" s="3185">
        <v>1</v>
      </c>
      <c r="D9" s="3186">
        <v>402</v>
      </c>
      <c r="E9" s="3176" t="str">
        <f t="shared" si="0"/>
        <v>1-1-402</v>
      </c>
      <c r="F9" s="3191">
        <v>109.72</v>
      </c>
      <c r="G9" s="3188">
        <v>90.17</v>
      </c>
      <c r="H9" s="3189" t="s">
        <v>3469</v>
      </c>
      <c r="I9" s="3189" t="s">
        <v>3470</v>
      </c>
      <c r="J9" s="3189">
        <v>3156827.63</v>
      </c>
      <c r="K9" s="3189">
        <v>28771.67</v>
      </c>
      <c r="L9" s="3181">
        <v>3156827</v>
      </c>
      <c r="M9" s="3181">
        <v>28771.66</v>
      </c>
      <c r="N9" s="3180" t="s">
        <v>3486</v>
      </c>
      <c r="O9" s="3190">
        <f>ROUND(L9*0.95,0)</f>
        <v>2998986</v>
      </c>
    </row>
    <row r="10" spans="1:15" ht="24.95" customHeight="1">
      <c r="A10" s="3185">
        <v>9</v>
      </c>
      <c r="B10" s="3185">
        <v>1</v>
      </c>
      <c r="C10" s="3185">
        <v>1</v>
      </c>
      <c r="D10" s="3186">
        <v>501</v>
      </c>
      <c r="E10" s="3176" t="str">
        <f t="shared" si="0"/>
        <v>1-1-501</v>
      </c>
      <c r="F10" s="3191">
        <v>110.17</v>
      </c>
      <c r="G10" s="3188">
        <v>90.54</v>
      </c>
      <c r="H10" s="3189" t="s">
        <v>3472</v>
      </c>
      <c r="I10" s="3189" t="s">
        <v>3470</v>
      </c>
      <c r="J10" s="3189">
        <v>3191808.88</v>
      </c>
      <c r="K10" s="3189">
        <v>28971.67</v>
      </c>
      <c r="L10" s="3181">
        <v>3191808</v>
      </c>
      <c r="M10" s="3181">
        <v>28971.66</v>
      </c>
      <c r="N10" s="3180" t="s">
        <v>3471</v>
      </c>
      <c r="O10" s="3190">
        <v>3035378</v>
      </c>
    </row>
    <row r="11" spans="1:15" ht="24.95" customHeight="1">
      <c r="A11" s="3185">
        <v>10</v>
      </c>
      <c r="B11" s="3185">
        <v>1</v>
      </c>
      <c r="C11" s="3185">
        <v>1</v>
      </c>
      <c r="D11" s="3186">
        <v>502</v>
      </c>
      <c r="E11" s="3176" t="str">
        <f t="shared" si="0"/>
        <v>1-1-502</v>
      </c>
      <c r="F11" s="3191">
        <v>109.72</v>
      </c>
      <c r="G11" s="3188">
        <v>90.17</v>
      </c>
      <c r="H11" s="3189" t="s">
        <v>3469</v>
      </c>
      <c r="I11" s="3189" t="s">
        <v>3470</v>
      </c>
      <c r="J11" s="3189">
        <v>3178771.63</v>
      </c>
      <c r="K11" s="3189">
        <v>28971.67</v>
      </c>
      <c r="L11" s="3181">
        <v>3178771</v>
      </c>
      <c r="M11" s="3181">
        <v>28971.66</v>
      </c>
      <c r="N11" s="3180" t="s">
        <v>3471</v>
      </c>
      <c r="O11" s="3190">
        <v>3022980</v>
      </c>
    </row>
    <row r="12" spans="1:15" ht="24.95" customHeight="1">
      <c r="A12" s="3185">
        <v>11</v>
      </c>
      <c r="B12" s="3185">
        <v>1</v>
      </c>
      <c r="C12" s="3185">
        <v>1</v>
      </c>
      <c r="D12" s="3186">
        <v>601</v>
      </c>
      <c r="E12" s="3176" t="str">
        <f t="shared" si="0"/>
        <v>1-1-601</v>
      </c>
      <c r="F12" s="3191">
        <v>110.17</v>
      </c>
      <c r="G12" s="3188">
        <v>90.54</v>
      </c>
      <c r="H12" s="3189" t="s">
        <v>3472</v>
      </c>
      <c r="I12" s="3189" t="s">
        <v>3470</v>
      </c>
      <c r="J12" s="3189">
        <v>3213842.88</v>
      </c>
      <c r="K12" s="3189">
        <v>29171.67</v>
      </c>
      <c r="L12" s="3181">
        <v>3213842</v>
      </c>
      <c r="M12" s="3181">
        <v>29171.66</v>
      </c>
      <c r="N12" s="3180" t="s">
        <v>3471</v>
      </c>
      <c r="O12" s="3190">
        <v>3056332</v>
      </c>
    </row>
    <row r="13" spans="1:15" ht="24.95" customHeight="1">
      <c r="A13" s="3185">
        <v>12</v>
      </c>
      <c r="B13" s="3185">
        <v>1</v>
      </c>
      <c r="C13" s="3185">
        <v>1</v>
      </c>
      <c r="D13" s="3186">
        <v>602</v>
      </c>
      <c r="E13" s="3176" t="str">
        <f t="shared" si="0"/>
        <v>1-1-602</v>
      </c>
      <c r="F13" s="3191">
        <v>109.72</v>
      </c>
      <c r="G13" s="3188">
        <v>90.17</v>
      </c>
      <c r="H13" s="3189" t="s">
        <v>3469</v>
      </c>
      <c r="I13" s="3189" t="s">
        <v>3470</v>
      </c>
      <c r="J13" s="3189">
        <v>3200715.63</v>
      </c>
      <c r="K13" s="3189">
        <v>29171.67</v>
      </c>
      <c r="L13" s="3181">
        <v>3200715</v>
      </c>
      <c r="M13" s="3181">
        <v>29171.66</v>
      </c>
      <c r="N13" s="3180" t="s">
        <v>3471</v>
      </c>
      <c r="O13" s="3190">
        <v>3013410</v>
      </c>
    </row>
    <row r="14" spans="1:15" ht="24.95" customHeight="1">
      <c r="A14" s="3185">
        <v>13</v>
      </c>
      <c r="B14" s="3185">
        <v>1</v>
      </c>
      <c r="C14" s="3185">
        <v>1</v>
      </c>
      <c r="D14" s="3186">
        <v>701</v>
      </c>
      <c r="E14" s="3176" t="str">
        <f t="shared" si="0"/>
        <v>1-1-701</v>
      </c>
      <c r="F14" s="3191">
        <v>110.17</v>
      </c>
      <c r="G14" s="3188">
        <v>90.54</v>
      </c>
      <c r="H14" s="3189" t="s">
        <v>3472</v>
      </c>
      <c r="I14" s="3189" t="s">
        <v>3470</v>
      </c>
      <c r="J14" s="3189">
        <v>3235876.88</v>
      </c>
      <c r="K14" s="3189">
        <v>29371.67</v>
      </c>
      <c r="L14" s="3181">
        <v>3235876</v>
      </c>
      <c r="M14" s="3181">
        <v>29371.66</v>
      </c>
      <c r="N14" s="3180" t="s">
        <v>3471</v>
      </c>
      <c r="O14" s="3190">
        <v>3076972</v>
      </c>
    </row>
    <row r="15" spans="1:15" ht="24.95" customHeight="1">
      <c r="A15" s="3185">
        <v>14</v>
      </c>
      <c r="B15" s="3185">
        <v>1</v>
      </c>
      <c r="C15" s="3185">
        <v>1</v>
      </c>
      <c r="D15" s="3186">
        <v>702</v>
      </c>
      <c r="E15" s="3176" t="str">
        <f t="shared" si="0"/>
        <v>1-1-702</v>
      </c>
      <c r="F15" s="3191">
        <v>109.72</v>
      </c>
      <c r="G15" s="3188">
        <v>90.17</v>
      </c>
      <c r="H15" s="3189" t="s">
        <v>3469</v>
      </c>
      <c r="I15" s="3189" t="s">
        <v>3470</v>
      </c>
      <c r="J15" s="3189">
        <v>3222659.63</v>
      </c>
      <c r="K15" s="3189">
        <v>29371.67</v>
      </c>
      <c r="L15" s="3181">
        <v>3222659</v>
      </c>
      <c r="M15" s="3181">
        <v>29371.66</v>
      </c>
      <c r="N15" s="3180" t="s">
        <v>3471</v>
      </c>
      <c r="O15" s="3190">
        <v>3034069</v>
      </c>
    </row>
    <row r="16" spans="1:15" ht="24.95" customHeight="1">
      <c r="A16" s="3185">
        <v>15</v>
      </c>
      <c r="B16" s="3185">
        <v>1</v>
      </c>
      <c r="C16" s="3185">
        <v>1</v>
      </c>
      <c r="D16" s="3186">
        <v>801</v>
      </c>
      <c r="E16" s="3176" t="str">
        <f t="shared" si="0"/>
        <v>1-1-801</v>
      </c>
      <c r="F16" s="3191">
        <v>110.17</v>
      </c>
      <c r="G16" s="3188">
        <v>90.54</v>
      </c>
      <c r="H16" s="3189" t="s">
        <v>3472</v>
      </c>
      <c r="I16" s="3189" t="s">
        <v>3470</v>
      </c>
      <c r="J16" s="3189">
        <v>3569508</v>
      </c>
      <c r="K16" s="3189">
        <v>32400</v>
      </c>
      <c r="L16" s="3181">
        <v>3569508</v>
      </c>
      <c r="M16" s="3181">
        <v>32400</v>
      </c>
      <c r="N16" s="3180" t="s">
        <v>3486</v>
      </c>
      <c r="O16" s="3190">
        <f t="shared" ref="O16:O21" si="1">ROUND(L16*0.95,0)</f>
        <v>3391033</v>
      </c>
    </row>
    <row r="17" spans="1:15" ht="24.95" customHeight="1">
      <c r="A17" s="3185">
        <v>16</v>
      </c>
      <c r="B17" s="3185">
        <v>1</v>
      </c>
      <c r="C17" s="3185">
        <v>1</v>
      </c>
      <c r="D17" s="3186">
        <v>802</v>
      </c>
      <c r="E17" s="3176" t="str">
        <f t="shared" si="0"/>
        <v>1-1-802</v>
      </c>
      <c r="F17" s="3191">
        <v>109.72</v>
      </c>
      <c r="G17" s="3188">
        <v>90.17</v>
      </c>
      <c r="H17" s="3189" t="s">
        <v>3469</v>
      </c>
      <c r="I17" s="3189" t="s">
        <v>3470</v>
      </c>
      <c r="J17" s="3189">
        <v>3554928</v>
      </c>
      <c r="K17" s="3189">
        <v>32400</v>
      </c>
      <c r="L17" s="3181">
        <v>3554928</v>
      </c>
      <c r="M17" s="3181">
        <v>32400</v>
      </c>
      <c r="N17" s="3180" t="s">
        <v>3486</v>
      </c>
      <c r="O17" s="3190">
        <f t="shared" si="1"/>
        <v>3377182</v>
      </c>
    </row>
    <row r="18" spans="1:15" ht="24.95" customHeight="1">
      <c r="A18" s="3185">
        <v>17</v>
      </c>
      <c r="B18" s="3185">
        <v>1</v>
      </c>
      <c r="C18" s="3185">
        <v>2</v>
      </c>
      <c r="D18" s="3186">
        <v>101</v>
      </c>
      <c r="E18" s="3176" t="str">
        <f t="shared" si="0"/>
        <v>1-2-101</v>
      </c>
      <c r="F18" s="3191">
        <v>90.75</v>
      </c>
      <c r="G18" s="3188">
        <v>74.58</v>
      </c>
      <c r="H18" s="3189" t="s">
        <v>403</v>
      </c>
      <c r="I18" s="3189" t="s">
        <v>3470</v>
      </c>
      <c r="J18" s="3189">
        <v>2579266.5499999998</v>
      </c>
      <c r="K18" s="3189">
        <v>28421.67</v>
      </c>
      <c r="L18" s="3181">
        <v>2579266</v>
      </c>
      <c r="M18" s="3181">
        <v>28421.66</v>
      </c>
      <c r="N18" s="3180" t="s">
        <v>3486</v>
      </c>
      <c r="O18" s="3190">
        <f t="shared" si="1"/>
        <v>2450303</v>
      </c>
    </row>
    <row r="19" spans="1:15" ht="24.95" customHeight="1">
      <c r="A19" s="3185">
        <v>18</v>
      </c>
      <c r="B19" s="3185">
        <v>1</v>
      </c>
      <c r="C19" s="3185">
        <v>2</v>
      </c>
      <c r="D19" s="3186">
        <v>102</v>
      </c>
      <c r="E19" s="3176" t="str">
        <f t="shared" si="0"/>
        <v>1-2-102</v>
      </c>
      <c r="F19" s="3191">
        <v>109.72</v>
      </c>
      <c r="G19" s="3188">
        <v>90.17</v>
      </c>
      <c r="H19" s="3189" t="s">
        <v>3469</v>
      </c>
      <c r="I19" s="3189" t="s">
        <v>3470</v>
      </c>
      <c r="J19" s="3189">
        <v>3036135.63</v>
      </c>
      <c r="K19" s="3189">
        <v>27671.67</v>
      </c>
      <c r="L19" s="3181">
        <v>3036135</v>
      </c>
      <c r="M19" s="3181">
        <v>27671.66</v>
      </c>
      <c r="N19" s="3180" t="s">
        <v>3486</v>
      </c>
      <c r="O19" s="3190">
        <f t="shared" si="1"/>
        <v>2884328</v>
      </c>
    </row>
    <row r="20" spans="1:15" ht="24.95" customHeight="1">
      <c r="A20" s="3185">
        <v>19</v>
      </c>
      <c r="B20" s="3185">
        <v>1</v>
      </c>
      <c r="C20" s="3185">
        <v>2</v>
      </c>
      <c r="D20" s="3186">
        <v>201</v>
      </c>
      <c r="E20" s="3176" t="str">
        <f t="shared" si="0"/>
        <v>1-2-201</v>
      </c>
      <c r="F20" s="3191">
        <v>109.72</v>
      </c>
      <c r="G20" s="3188">
        <v>90.17</v>
      </c>
      <c r="H20" s="3189" t="s">
        <v>3472</v>
      </c>
      <c r="I20" s="3189" t="s">
        <v>3470</v>
      </c>
      <c r="J20" s="3189">
        <v>3069051.63</v>
      </c>
      <c r="K20" s="3189">
        <v>27971.67</v>
      </c>
      <c r="L20" s="3181">
        <v>3069051</v>
      </c>
      <c r="M20" s="3181">
        <v>27971.66</v>
      </c>
      <c r="N20" s="3180" t="s">
        <v>3486</v>
      </c>
      <c r="O20" s="3190">
        <f t="shared" si="1"/>
        <v>2915598</v>
      </c>
    </row>
    <row r="21" spans="1:15" ht="24.95" customHeight="1">
      <c r="A21" s="3185">
        <v>20</v>
      </c>
      <c r="B21" s="3185">
        <v>1</v>
      </c>
      <c r="C21" s="3185">
        <v>2</v>
      </c>
      <c r="D21" s="3186">
        <v>202</v>
      </c>
      <c r="E21" s="3176" t="str">
        <f t="shared" si="0"/>
        <v>1-2-202</v>
      </c>
      <c r="F21" s="3191">
        <v>109.72</v>
      </c>
      <c r="G21" s="3188">
        <v>90.17</v>
      </c>
      <c r="H21" s="3189" t="s">
        <v>3469</v>
      </c>
      <c r="I21" s="3189" t="s">
        <v>3470</v>
      </c>
      <c r="J21" s="3189">
        <v>3069051.63</v>
      </c>
      <c r="K21" s="3189">
        <v>27971.67</v>
      </c>
      <c r="L21" s="3181">
        <v>3069051</v>
      </c>
      <c r="M21" s="3181">
        <v>27971.66</v>
      </c>
      <c r="N21" s="3180" t="s">
        <v>3486</v>
      </c>
      <c r="O21" s="3190">
        <f t="shared" si="1"/>
        <v>2915598</v>
      </c>
    </row>
    <row r="22" spans="1:15" ht="24.95" customHeight="1">
      <c r="A22" s="3185">
        <v>21</v>
      </c>
      <c r="B22" s="3185">
        <v>1</v>
      </c>
      <c r="C22" s="3185">
        <v>2</v>
      </c>
      <c r="D22" s="3186">
        <v>301</v>
      </c>
      <c r="E22" s="3176" t="str">
        <f t="shared" si="0"/>
        <v>1-2-301</v>
      </c>
      <c r="F22" s="3191">
        <v>109.72</v>
      </c>
      <c r="G22" s="3188">
        <v>90.17</v>
      </c>
      <c r="H22" s="3189" t="s">
        <v>3472</v>
      </c>
      <c r="I22" s="3189" t="s">
        <v>3470</v>
      </c>
      <c r="J22" s="3189">
        <v>3123911.63</v>
      </c>
      <c r="K22" s="3189">
        <v>28471.67</v>
      </c>
      <c r="L22" s="3181">
        <v>3123911</v>
      </c>
      <c r="M22" s="3181">
        <v>28471.66</v>
      </c>
      <c r="N22" s="3180" t="s">
        <v>3471</v>
      </c>
      <c r="O22" s="3190">
        <v>2970808</v>
      </c>
    </row>
    <row r="23" spans="1:15" ht="24.95" customHeight="1">
      <c r="A23" s="3185">
        <v>22</v>
      </c>
      <c r="B23" s="3185">
        <v>1</v>
      </c>
      <c r="C23" s="3185">
        <v>2</v>
      </c>
      <c r="D23" s="3186">
        <v>302</v>
      </c>
      <c r="E23" s="3176" t="str">
        <f t="shared" si="0"/>
        <v>1-2-302</v>
      </c>
      <c r="F23" s="3191">
        <v>109.72</v>
      </c>
      <c r="G23" s="3188">
        <v>90.17</v>
      </c>
      <c r="H23" s="3189" t="s">
        <v>3469</v>
      </c>
      <c r="I23" s="3189" t="s">
        <v>3470</v>
      </c>
      <c r="J23" s="3189">
        <v>3123911.63</v>
      </c>
      <c r="K23" s="3189">
        <v>28471.67</v>
      </c>
      <c r="L23" s="3181">
        <v>3123911</v>
      </c>
      <c r="M23" s="3181">
        <v>28471.66</v>
      </c>
      <c r="N23" s="3180" t="s">
        <v>3471</v>
      </c>
      <c r="O23" s="3190">
        <v>2970505</v>
      </c>
    </row>
    <row r="24" spans="1:15" ht="24.95" customHeight="1">
      <c r="A24" s="3185">
        <v>23</v>
      </c>
      <c r="B24" s="3185">
        <v>1</v>
      </c>
      <c r="C24" s="3185">
        <v>2</v>
      </c>
      <c r="D24" s="3186">
        <v>401</v>
      </c>
      <c r="E24" s="3176" t="str">
        <f t="shared" si="0"/>
        <v>1-2-401</v>
      </c>
      <c r="F24" s="3191">
        <v>109.72</v>
      </c>
      <c r="G24" s="3188">
        <v>90.17</v>
      </c>
      <c r="H24" s="3189" t="s">
        <v>3472</v>
      </c>
      <c r="I24" s="3189" t="s">
        <v>3470</v>
      </c>
      <c r="J24" s="3189">
        <v>3156827.63</v>
      </c>
      <c r="K24" s="3189">
        <v>28771.67</v>
      </c>
      <c r="L24" s="3181">
        <v>3156827</v>
      </c>
      <c r="M24" s="3181">
        <v>28771.66</v>
      </c>
      <c r="N24" s="3180" t="s">
        <v>3471</v>
      </c>
      <c r="O24" s="3190">
        <v>3002111</v>
      </c>
    </row>
    <row r="25" spans="1:15" ht="24.95" customHeight="1">
      <c r="A25" s="3185">
        <v>24</v>
      </c>
      <c r="B25" s="3185">
        <v>1</v>
      </c>
      <c r="C25" s="3185">
        <v>2</v>
      </c>
      <c r="D25" s="3186">
        <v>402</v>
      </c>
      <c r="E25" s="3176" t="str">
        <f t="shared" si="0"/>
        <v>1-2-402</v>
      </c>
      <c r="F25" s="3191">
        <v>109.72</v>
      </c>
      <c r="G25" s="3188">
        <v>90.17</v>
      </c>
      <c r="H25" s="3189" t="s">
        <v>3469</v>
      </c>
      <c r="I25" s="3189" t="s">
        <v>3470</v>
      </c>
      <c r="J25" s="3189">
        <v>3156827.63</v>
      </c>
      <c r="K25" s="3189">
        <v>28771.67</v>
      </c>
      <c r="L25" s="3181">
        <v>3156827</v>
      </c>
      <c r="M25" s="3181">
        <v>28771.66</v>
      </c>
      <c r="N25" s="3180" t="s">
        <v>3471</v>
      </c>
      <c r="O25" s="3190">
        <v>2971787</v>
      </c>
    </row>
    <row r="26" spans="1:15" ht="24.95" customHeight="1">
      <c r="A26" s="3185">
        <v>25</v>
      </c>
      <c r="B26" s="3185">
        <v>1</v>
      </c>
      <c r="C26" s="3185">
        <v>2</v>
      </c>
      <c r="D26" s="3186">
        <v>501</v>
      </c>
      <c r="E26" s="3176" t="str">
        <f t="shared" si="0"/>
        <v>1-2-501</v>
      </c>
      <c r="F26" s="3191">
        <v>109.72</v>
      </c>
      <c r="G26" s="3188">
        <v>90.17</v>
      </c>
      <c r="H26" s="3189" t="s">
        <v>3472</v>
      </c>
      <c r="I26" s="3189" t="s">
        <v>3470</v>
      </c>
      <c r="J26" s="3189">
        <v>3178771.63</v>
      </c>
      <c r="K26" s="3189">
        <v>28971.67</v>
      </c>
      <c r="L26" s="3181">
        <v>3178771</v>
      </c>
      <c r="M26" s="3181">
        <v>28971.66</v>
      </c>
      <c r="N26" s="3180" t="s">
        <v>3471</v>
      </c>
      <c r="O26" s="3190">
        <v>3022980</v>
      </c>
    </row>
    <row r="27" spans="1:15" ht="24.95" customHeight="1">
      <c r="A27" s="3185">
        <v>26</v>
      </c>
      <c r="B27" s="3185">
        <v>1</v>
      </c>
      <c r="C27" s="3185">
        <v>2</v>
      </c>
      <c r="D27" s="3186">
        <v>502</v>
      </c>
      <c r="E27" s="3176" t="str">
        <f t="shared" si="0"/>
        <v>1-2-502</v>
      </c>
      <c r="F27" s="3191">
        <v>109.72</v>
      </c>
      <c r="G27" s="3188">
        <v>90.17</v>
      </c>
      <c r="H27" s="3189" t="s">
        <v>3469</v>
      </c>
      <c r="I27" s="3189" t="s">
        <v>3470</v>
      </c>
      <c r="J27" s="3189">
        <v>3178771.63</v>
      </c>
      <c r="K27" s="3189">
        <v>28971.67</v>
      </c>
      <c r="L27" s="3181">
        <v>3178771</v>
      </c>
      <c r="M27" s="3181">
        <v>28971.66</v>
      </c>
      <c r="N27" s="3180" t="s">
        <v>3471</v>
      </c>
      <c r="O27" s="3190">
        <v>3022980</v>
      </c>
    </row>
    <row r="28" spans="1:15" ht="24.95" customHeight="1">
      <c r="A28" s="3185">
        <v>27</v>
      </c>
      <c r="B28" s="3185">
        <v>1</v>
      </c>
      <c r="C28" s="3185">
        <v>2</v>
      </c>
      <c r="D28" s="3186">
        <v>601</v>
      </c>
      <c r="E28" s="3176" t="str">
        <f t="shared" si="0"/>
        <v>1-2-601</v>
      </c>
      <c r="F28" s="3191">
        <v>109.72</v>
      </c>
      <c r="G28" s="3188">
        <v>90.17</v>
      </c>
      <c r="H28" s="3189" t="s">
        <v>3472</v>
      </c>
      <c r="I28" s="3189" t="s">
        <v>3470</v>
      </c>
      <c r="J28" s="3189">
        <v>3200715.63</v>
      </c>
      <c r="K28" s="3189">
        <v>29171.67</v>
      </c>
      <c r="L28" s="3181">
        <v>3200715</v>
      </c>
      <c r="M28" s="3181">
        <v>29171.66</v>
      </c>
      <c r="N28" s="3180" t="s">
        <v>3471</v>
      </c>
      <c r="O28" s="3190">
        <v>3013410</v>
      </c>
    </row>
    <row r="29" spans="1:15" ht="24.95" customHeight="1">
      <c r="A29" s="3185">
        <v>28</v>
      </c>
      <c r="B29" s="3185">
        <v>1</v>
      </c>
      <c r="C29" s="3185">
        <v>2</v>
      </c>
      <c r="D29" s="3186">
        <v>602</v>
      </c>
      <c r="E29" s="3176" t="str">
        <f t="shared" si="0"/>
        <v>1-2-602</v>
      </c>
      <c r="F29" s="3191">
        <v>109.72</v>
      </c>
      <c r="G29" s="3188">
        <v>90.17</v>
      </c>
      <c r="H29" s="3189" t="s">
        <v>3469</v>
      </c>
      <c r="I29" s="3189" t="s">
        <v>3470</v>
      </c>
      <c r="J29" s="3189">
        <v>3200715.63</v>
      </c>
      <c r="K29" s="3189">
        <v>29171.67</v>
      </c>
      <c r="L29" s="3181">
        <v>3200715</v>
      </c>
      <c r="M29" s="3181">
        <v>29171.66</v>
      </c>
      <c r="N29" s="3180" t="s">
        <v>3471</v>
      </c>
      <c r="O29" s="3190">
        <v>3043538</v>
      </c>
    </row>
    <row r="30" spans="1:15" ht="24.95" customHeight="1">
      <c r="A30" s="3185">
        <v>29</v>
      </c>
      <c r="B30" s="3185">
        <v>1</v>
      </c>
      <c r="C30" s="3185">
        <v>2</v>
      </c>
      <c r="D30" s="3186">
        <v>701</v>
      </c>
      <c r="E30" s="3176" t="str">
        <f t="shared" si="0"/>
        <v>1-2-701</v>
      </c>
      <c r="F30" s="3191">
        <v>109.72</v>
      </c>
      <c r="G30" s="3188">
        <v>90.17</v>
      </c>
      <c r="H30" s="3189" t="s">
        <v>3472</v>
      </c>
      <c r="I30" s="3189" t="s">
        <v>3470</v>
      </c>
      <c r="J30" s="3189">
        <v>3222659.63</v>
      </c>
      <c r="K30" s="3189">
        <v>29371.67</v>
      </c>
      <c r="L30" s="3181">
        <v>3222659</v>
      </c>
      <c r="M30" s="3181">
        <v>29371.66</v>
      </c>
      <c r="N30" s="3180" t="s">
        <v>3471</v>
      </c>
      <c r="O30" s="3190">
        <v>3034069</v>
      </c>
    </row>
    <row r="31" spans="1:15" ht="24.95" customHeight="1">
      <c r="A31" s="3185">
        <v>30</v>
      </c>
      <c r="B31" s="3185">
        <v>1</v>
      </c>
      <c r="C31" s="3185">
        <v>2</v>
      </c>
      <c r="D31" s="3186">
        <v>702</v>
      </c>
      <c r="E31" s="3176" t="str">
        <f t="shared" si="0"/>
        <v>1-2-702</v>
      </c>
      <c r="F31" s="3191">
        <v>109.72</v>
      </c>
      <c r="G31" s="3188">
        <v>90.17</v>
      </c>
      <c r="H31" s="3189" t="s">
        <v>3469</v>
      </c>
      <c r="I31" s="3189" t="s">
        <v>3470</v>
      </c>
      <c r="J31" s="3189">
        <v>3222659.63</v>
      </c>
      <c r="K31" s="3189">
        <v>29371.67</v>
      </c>
      <c r="L31" s="3181">
        <v>3222659</v>
      </c>
      <c r="M31" s="3181">
        <v>29371.66</v>
      </c>
      <c r="N31" s="3180" t="s">
        <v>3471</v>
      </c>
      <c r="O31" s="3190">
        <v>3064717</v>
      </c>
    </row>
    <row r="32" spans="1:15" ht="24.95" customHeight="1">
      <c r="A32" s="3185">
        <v>31</v>
      </c>
      <c r="B32" s="3185">
        <v>1</v>
      </c>
      <c r="C32" s="3185">
        <v>2</v>
      </c>
      <c r="D32" s="3186">
        <v>801</v>
      </c>
      <c r="E32" s="3176" t="str">
        <f t="shared" si="0"/>
        <v>1-2-801</v>
      </c>
      <c r="F32" s="3191">
        <v>109.72</v>
      </c>
      <c r="G32" s="3188">
        <v>90.17</v>
      </c>
      <c r="H32" s="3189" t="s">
        <v>3472</v>
      </c>
      <c r="I32" s="3189" t="s">
        <v>3470</v>
      </c>
      <c r="J32" s="3189">
        <v>3554928</v>
      </c>
      <c r="K32" s="3189">
        <v>32400</v>
      </c>
      <c r="L32" s="3181">
        <v>3554928</v>
      </c>
      <c r="M32" s="3181">
        <v>32400</v>
      </c>
      <c r="N32" s="3180" t="s">
        <v>3486</v>
      </c>
      <c r="O32" s="3190">
        <f t="shared" ref="O32:O37" si="2">ROUND(L32*0.95,0)</f>
        <v>3377182</v>
      </c>
    </row>
    <row r="33" spans="1:15" ht="24.95" customHeight="1">
      <c r="A33" s="3185">
        <v>32</v>
      </c>
      <c r="B33" s="3185">
        <v>1</v>
      </c>
      <c r="C33" s="3185">
        <v>2</v>
      </c>
      <c r="D33" s="3186">
        <v>802</v>
      </c>
      <c r="E33" s="3176" t="str">
        <f t="shared" si="0"/>
        <v>1-2-802</v>
      </c>
      <c r="F33" s="3191">
        <v>109.72</v>
      </c>
      <c r="G33" s="3188">
        <v>90.17</v>
      </c>
      <c r="H33" s="3189" t="s">
        <v>3469</v>
      </c>
      <c r="I33" s="3189" t="s">
        <v>3470</v>
      </c>
      <c r="J33" s="3189">
        <v>3554928</v>
      </c>
      <c r="K33" s="3189">
        <v>32400</v>
      </c>
      <c r="L33" s="3181">
        <v>3554928</v>
      </c>
      <c r="M33" s="3181">
        <v>32400</v>
      </c>
      <c r="N33" s="3180" t="s">
        <v>3486</v>
      </c>
      <c r="O33" s="3190">
        <f t="shared" si="2"/>
        <v>3377182</v>
      </c>
    </row>
    <row r="34" spans="1:15" ht="24.95" customHeight="1">
      <c r="A34" s="3185">
        <v>33</v>
      </c>
      <c r="B34" s="3185">
        <v>1</v>
      </c>
      <c r="C34" s="3185">
        <v>3</v>
      </c>
      <c r="D34" s="3186">
        <v>101</v>
      </c>
      <c r="E34" s="3176" t="str">
        <f t="shared" si="0"/>
        <v>1-3-101</v>
      </c>
      <c r="F34" s="3191">
        <v>90.75</v>
      </c>
      <c r="G34" s="3188">
        <v>74.58</v>
      </c>
      <c r="H34" s="3189" t="s">
        <v>403</v>
      </c>
      <c r="I34" s="3189" t="s">
        <v>3470</v>
      </c>
      <c r="J34" s="3189">
        <v>2579266.5499999998</v>
      </c>
      <c r="K34" s="3189">
        <v>28421.67</v>
      </c>
      <c r="L34" s="3181">
        <v>2579266</v>
      </c>
      <c r="M34" s="3181">
        <v>28421.66</v>
      </c>
      <c r="N34" s="3180" t="s">
        <v>3486</v>
      </c>
      <c r="O34" s="3190">
        <f t="shared" si="2"/>
        <v>2450303</v>
      </c>
    </row>
    <row r="35" spans="1:15" ht="24.95" customHeight="1">
      <c r="A35" s="3185">
        <v>34</v>
      </c>
      <c r="B35" s="3185">
        <v>1</v>
      </c>
      <c r="C35" s="3185">
        <v>3</v>
      </c>
      <c r="D35" s="3186">
        <v>102</v>
      </c>
      <c r="E35" s="3176" t="str">
        <f t="shared" si="0"/>
        <v>1-3-102</v>
      </c>
      <c r="F35" s="3191">
        <v>109.72</v>
      </c>
      <c r="G35" s="3188">
        <v>90.17</v>
      </c>
      <c r="H35" s="3189" t="s">
        <v>3469</v>
      </c>
      <c r="I35" s="3189" t="s">
        <v>3470</v>
      </c>
      <c r="J35" s="3189">
        <v>3036135.63</v>
      </c>
      <c r="K35" s="3189">
        <v>27671.67</v>
      </c>
      <c r="L35" s="3181">
        <v>3036135</v>
      </c>
      <c r="M35" s="3181">
        <v>27671.66</v>
      </c>
      <c r="N35" s="3180" t="s">
        <v>3486</v>
      </c>
      <c r="O35" s="3190">
        <f t="shared" si="2"/>
        <v>2884328</v>
      </c>
    </row>
    <row r="36" spans="1:15" ht="24.95" customHeight="1">
      <c r="A36" s="3185">
        <v>35</v>
      </c>
      <c r="B36" s="3185">
        <v>1</v>
      </c>
      <c r="C36" s="3185">
        <v>3</v>
      </c>
      <c r="D36" s="3186">
        <v>201</v>
      </c>
      <c r="E36" s="3176" t="str">
        <f t="shared" si="0"/>
        <v>1-3-201</v>
      </c>
      <c r="F36" s="3191">
        <v>109.72</v>
      </c>
      <c r="G36" s="3188">
        <v>90.17</v>
      </c>
      <c r="H36" s="3189" t="s">
        <v>3472</v>
      </c>
      <c r="I36" s="3189" t="s">
        <v>3470</v>
      </c>
      <c r="J36" s="3189">
        <v>3069051.63</v>
      </c>
      <c r="K36" s="3189">
        <v>27971.67</v>
      </c>
      <c r="L36" s="3181">
        <v>3069051</v>
      </c>
      <c r="M36" s="3181">
        <v>27971.66</v>
      </c>
      <c r="N36" s="3180" t="s">
        <v>3486</v>
      </c>
      <c r="O36" s="3190">
        <f t="shared" si="2"/>
        <v>2915598</v>
      </c>
    </row>
    <row r="37" spans="1:15" ht="24.95" customHeight="1">
      <c r="A37" s="3185">
        <v>36</v>
      </c>
      <c r="B37" s="3185">
        <v>1</v>
      </c>
      <c r="C37" s="3185">
        <v>3</v>
      </c>
      <c r="D37" s="3186">
        <v>202</v>
      </c>
      <c r="E37" s="3176" t="str">
        <f t="shared" si="0"/>
        <v>1-3-202</v>
      </c>
      <c r="F37" s="3191">
        <v>109.72</v>
      </c>
      <c r="G37" s="3188">
        <v>90.17</v>
      </c>
      <c r="H37" s="3189" t="s">
        <v>3469</v>
      </c>
      <c r="I37" s="3189" t="s">
        <v>3470</v>
      </c>
      <c r="J37" s="3189">
        <v>3069051.63</v>
      </c>
      <c r="K37" s="3189">
        <v>27971.67</v>
      </c>
      <c r="L37" s="3181">
        <v>3069051</v>
      </c>
      <c r="M37" s="3181">
        <v>27971.66</v>
      </c>
      <c r="N37" s="3180" t="s">
        <v>3486</v>
      </c>
      <c r="O37" s="3190">
        <f t="shared" si="2"/>
        <v>2915598</v>
      </c>
    </row>
    <row r="38" spans="1:15" ht="24.95" customHeight="1">
      <c r="A38" s="3185">
        <v>37</v>
      </c>
      <c r="B38" s="3185">
        <v>1</v>
      </c>
      <c r="C38" s="3185">
        <v>3</v>
      </c>
      <c r="D38" s="3186">
        <v>301</v>
      </c>
      <c r="E38" s="3176" t="str">
        <f t="shared" si="0"/>
        <v>1-3-301</v>
      </c>
      <c r="F38" s="3191">
        <v>109.72</v>
      </c>
      <c r="G38" s="3188">
        <v>90.17</v>
      </c>
      <c r="H38" s="3189" t="s">
        <v>3472</v>
      </c>
      <c r="I38" s="3189" t="s">
        <v>3470</v>
      </c>
      <c r="J38" s="3189">
        <v>3123911.63</v>
      </c>
      <c r="K38" s="3189">
        <v>28471.67</v>
      </c>
      <c r="L38" s="3181">
        <v>3123911</v>
      </c>
      <c r="M38" s="3181">
        <v>28471.66</v>
      </c>
      <c r="N38" s="3180" t="s">
        <v>3471</v>
      </c>
      <c r="O38" s="3190">
        <v>2940800</v>
      </c>
    </row>
    <row r="39" spans="1:15" ht="24.95" customHeight="1">
      <c r="A39" s="3185">
        <v>38</v>
      </c>
      <c r="B39" s="3185">
        <v>1</v>
      </c>
      <c r="C39" s="3185">
        <v>3</v>
      </c>
      <c r="D39" s="3186">
        <v>302</v>
      </c>
      <c r="E39" s="3176" t="str">
        <f t="shared" si="0"/>
        <v>1-3-302</v>
      </c>
      <c r="F39" s="3191">
        <v>109.72</v>
      </c>
      <c r="G39" s="3188">
        <v>90.17</v>
      </c>
      <c r="H39" s="3189" t="s">
        <v>3469</v>
      </c>
      <c r="I39" s="3189" t="s">
        <v>3470</v>
      </c>
      <c r="J39" s="3189">
        <v>3123911.63</v>
      </c>
      <c r="K39" s="3189">
        <v>28471.67</v>
      </c>
      <c r="L39" s="3181">
        <v>3123911</v>
      </c>
      <c r="M39" s="3181">
        <v>28471.66</v>
      </c>
      <c r="N39" s="3180" t="s">
        <v>3486</v>
      </c>
      <c r="O39" s="3190">
        <f>ROUND(L39*0.95,0)</f>
        <v>2967715</v>
      </c>
    </row>
    <row r="40" spans="1:15" ht="24.95" customHeight="1">
      <c r="A40" s="3185">
        <v>39</v>
      </c>
      <c r="B40" s="3185">
        <v>1</v>
      </c>
      <c r="C40" s="3185">
        <v>3</v>
      </c>
      <c r="D40" s="3186">
        <v>401</v>
      </c>
      <c r="E40" s="3176" t="str">
        <f t="shared" si="0"/>
        <v>1-3-401</v>
      </c>
      <c r="F40" s="3191">
        <v>109.72</v>
      </c>
      <c r="G40" s="3188">
        <v>90.17</v>
      </c>
      <c r="H40" s="3189" t="s">
        <v>3472</v>
      </c>
      <c r="I40" s="3189" t="s">
        <v>3470</v>
      </c>
      <c r="J40" s="3189">
        <v>3156827.63</v>
      </c>
      <c r="K40" s="3189">
        <v>28771.67</v>
      </c>
      <c r="L40" s="3181">
        <v>3156827</v>
      </c>
      <c r="M40" s="3181">
        <v>28771.66</v>
      </c>
      <c r="N40" s="3180" t="s">
        <v>3471</v>
      </c>
      <c r="O40" s="3190">
        <v>2971787</v>
      </c>
    </row>
    <row r="41" spans="1:15" ht="24.95" customHeight="1">
      <c r="A41" s="3185">
        <v>40</v>
      </c>
      <c r="B41" s="3185">
        <v>1</v>
      </c>
      <c r="C41" s="3185">
        <v>3</v>
      </c>
      <c r="D41" s="3186">
        <v>402</v>
      </c>
      <c r="E41" s="3176" t="str">
        <f t="shared" si="0"/>
        <v>1-3-402</v>
      </c>
      <c r="F41" s="3191">
        <v>109.72</v>
      </c>
      <c r="G41" s="3188">
        <v>90.17</v>
      </c>
      <c r="H41" s="3189" t="s">
        <v>3469</v>
      </c>
      <c r="I41" s="3189" t="s">
        <v>3470</v>
      </c>
      <c r="J41" s="3189">
        <v>3156827.63</v>
      </c>
      <c r="K41" s="3189">
        <v>28771.67</v>
      </c>
      <c r="L41" s="3181">
        <v>3156827</v>
      </c>
      <c r="M41" s="3181">
        <v>28771.66</v>
      </c>
      <c r="N41" s="3180" t="s">
        <v>3486</v>
      </c>
      <c r="O41" s="3190">
        <f>ROUND(L41*0.95,0)</f>
        <v>2998986</v>
      </c>
    </row>
    <row r="42" spans="1:15" ht="24.95" customHeight="1">
      <c r="A42" s="3185">
        <v>41</v>
      </c>
      <c r="B42" s="3185">
        <v>1</v>
      </c>
      <c r="C42" s="3185">
        <v>3</v>
      </c>
      <c r="D42" s="3186">
        <v>501</v>
      </c>
      <c r="E42" s="3176" t="str">
        <f t="shared" si="0"/>
        <v>1-3-501</v>
      </c>
      <c r="F42" s="3191">
        <v>109.72</v>
      </c>
      <c r="G42" s="3188">
        <v>90.17</v>
      </c>
      <c r="H42" s="3189" t="s">
        <v>3472</v>
      </c>
      <c r="I42" s="3189" t="s">
        <v>3470</v>
      </c>
      <c r="J42" s="3189">
        <v>3178771.63</v>
      </c>
      <c r="K42" s="3189">
        <v>28971.67</v>
      </c>
      <c r="L42" s="3181">
        <v>3178771</v>
      </c>
      <c r="M42" s="3181">
        <v>28971.66</v>
      </c>
      <c r="N42" s="3180" t="s">
        <v>3471</v>
      </c>
      <c r="O42" s="3190">
        <v>3022980</v>
      </c>
    </row>
    <row r="43" spans="1:15" ht="24.95" customHeight="1">
      <c r="A43" s="3185">
        <v>42</v>
      </c>
      <c r="B43" s="3185">
        <v>1</v>
      </c>
      <c r="C43" s="3185">
        <v>3</v>
      </c>
      <c r="D43" s="3186">
        <v>502</v>
      </c>
      <c r="E43" s="3176" t="str">
        <f t="shared" si="0"/>
        <v>1-3-502</v>
      </c>
      <c r="F43" s="3191">
        <v>109.72</v>
      </c>
      <c r="G43" s="3188">
        <v>90.17</v>
      </c>
      <c r="H43" s="3189" t="s">
        <v>3469</v>
      </c>
      <c r="I43" s="3189" t="s">
        <v>3470</v>
      </c>
      <c r="J43" s="3189">
        <v>3178771.63</v>
      </c>
      <c r="K43" s="3189">
        <v>28971.67</v>
      </c>
      <c r="L43" s="3181">
        <v>3178771</v>
      </c>
      <c r="M43" s="3181">
        <v>28971.66</v>
      </c>
      <c r="N43" s="3180" t="s">
        <v>3471</v>
      </c>
      <c r="O43" s="3190">
        <v>2992750</v>
      </c>
    </row>
    <row r="44" spans="1:15" ht="24.95" customHeight="1">
      <c r="A44" s="3185">
        <v>43</v>
      </c>
      <c r="B44" s="3185">
        <v>1</v>
      </c>
      <c r="C44" s="3185">
        <v>3</v>
      </c>
      <c r="D44" s="3186">
        <v>601</v>
      </c>
      <c r="E44" s="3176" t="str">
        <f t="shared" si="0"/>
        <v>1-3-601</v>
      </c>
      <c r="F44" s="3191">
        <v>109.72</v>
      </c>
      <c r="G44" s="3188">
        <v>90.17</v>
      </c>
      <c r="H44" s="3189" t="s">
        <v>3472</v>
      </c>
      <c r="I44" s="3189" t="s">
        <v>3470</v>
      </c>
      <c r="J44" s="3189">
        <v>3200715.63</v>
      </c>
      <c r="K44" s="3189">
        <v>29171.67</v>
      </c>
      <c r="L44" s="3181">
        <v>3200715</v>
      </c>
      <c r="M44" s="3181">
        <v>29171.66</v>
      </c>
      <c r="N44" s="3180" t="s">
        <v>3471</v>
      </c>
      <c r="O44" s="3190">
        <v>3043538</v>
      </c>
    </row>
    <row r="45" spans="1:15" ht="24.95" customHeight="1">
      <c r="A45" s="3185">
        <v>44</v>
      </c>
      <c r="B45" s="3185">
        <v>1</v>
      </c>
      <c r="C45" s="3185">
        <v>3</v>
      </c>
      <c r="D45" s="3186">
        <v>602</v>
      </c>
      <c r="E45" s="3176" t="str">
        <f t="shared" si="0"/>
        <v>1-3-602</v>
      </c>
      <c r="F45" s="3191">
        <v>109.72</v>
      </c>
      <c r="G45" s="3188">
        <v>90.17</v>
      </c>
      <c r="H45" s="3189" t="s">
        <v>3469</v>
      </c>
      <c r="I45" s="3189" t="s">
        <v>3470</v>
      </c>
      <c r="J45" s="3189">
        <v>3200715.63</v>
      </c>
      <c r="K45" s="3189">
        <v>29171.67</v>
      </c>
      <c r="L45" s="3181">
        <v>3200715</v>
      </c>
      <c r="M45" s="3181">
        <v>29171.66</v>
      </c>
      <c r="N45" s="3180" t="s">
        <v>3471</v>
      </c>
      <c r="O45" s="3190">
        <v>3043848</v>
      </c>
    </row>
    <row r="46" spans="1:15" ht="24.95" customHeight="1">
      <c r="A46" s="3185">
        <v>45</v>
      </c>
      <c r="B46" s="3185">
        <v>1</v>
      </c>
      <c r="C46" s="3185">
        <v>3</v>
      </c>
      <c r="D46" s="3186">
        <v>701</v>
      </c>
      <c r="E46" s="3176" t="str">
        <f t="shared" si="0"/>
        <v>1-3-701</v>
      </c>
      <c r="F46" s="3191">
        <v>109.72</v>
      </c>
      <c r="G46" s="3188">
        <v>90.17</v>
      </c>
      <c r="H46" s="3189" t="s">
        <v>3472</v>
      </c>
      <c r="I46" s="3189" t="s">
        <v>3470</v>
      </c>
      <c r="J46" s="3189">
        <v>3222659.63</v>
      </c>
      <c r="K46" s="3189">
        <v>29371.67</v>
      </c>
      <c r="L46" s="3181">
        <v>3222659</v>
      </c>
      <c r="M46" s="3181">
        <v>29371.66</v>
      </c>
      <c r="N46" s="3180" t="s">
        <v>3471</v>
      </c>
      <c r="O46" s="3190">
        <v>3064717</v>
      </c>
    </row>
    <row r="47" spans="1:15" ht="24.95" customHeight="1">
      <c r="A47" s="3185">
        <v>46</v>
      </c>
      <c r="B47" s="3185">
        <v>1</v>
      </c>
      <c r="C47" s="3185">
        <v>3</v>
      </c>
      <c r="D47" s="3186">
        <v>702</v>
      </c>
      <c r="E47" s="3176" t="str">
        <f t="shared" si="0"/>
        <v>1-3-702</v>
      </c>
      <c r="F47" s="3191">
        <v>109.72</v>
      </c>
      <c r="G47" s="3188">
        <v>90.17</v>
      </c>
      <c r="H47" s="3189" t="s">
        <v>3469</v>
      </c>
      <c r="I47" s="3189" t="s">
        <v>3470</v>
      </c>
      <c r="J47" s="3189">
        <v>3222659.63</v>
      </c>
      <c r="K47" s="3189">
        <v>29371.67</v>
      </c>
      <c r="L47" s="3181">
        <v>3222659</v>
      </c>
      <c r="M47" s="3181">
        <v>29371.66</v>
      </c>
      <c r="N47" s="3180" t="s">
        <v>3471</v>
      </c>
      <c r="O47" s="3190">
        <v>3064404</v>
      </c>
    </row>
    <row r="48" spans="1:15" ht="24.95" customHeight="1">
      <c r="A48" s="3185">
        <v>47</v>
      </c>
      <c r="B48" s="3185">
        <v>1</v>
      </c>
      <c r="C48" s="3185">
        <v>3</v>
      </c>
      <c r="D48" s="3186">
        <v>801</v>
      </c>
      <c r="E48" s="3176" t="str">
        <f t="shared" si="0"/>
        <v>1-3-801</v>
      </c>
      <c r="F48" s="3191">
        <v>109.72</v>
      </c>
      <c r="G48" s="3188">
        <v>90.17</v>
      </c>
      <c r="H48" s="3189" t="s">
        <v>3472</v>
      </c>
      <c r="I48" s="3189" t="s">
        <v>3470</v>
      </c>
      <c r="J48" s="3189">
        <v>3554928</v>
      </c>
      <c r="K48" s="3189">
        <v>32400</v>
      </c>
      <c r="L48" s="3181">
        <v>3554928</v>
      </c>
      <c r="M48" s="3181">
        <v>32400</v>
      </c>
      <c r="N48" s="3180" t="s">
        <v>3486</v>
      </c>
      <c r="O48" s="3190">
        <f t="shared" ref="O48:O57" si="3">ROUND(L48*0.95,0)</f>
        <v>3377182</v>
      </c>
    </row>
    <row r="49" spans="1:15" ht="24.95" customHeight="1">
      <c r="A49" s="3185">
        <v>48</v>
      </c>
      <c r="B49" s="3185">
        <v>1</v>
      </c>
      <c r="C49" s="3185">
        <v>3</v>
      </c>
      <c r="D49" s="3186">
        <v>802</v>
      </c>
      <c r="E49" s="3176" t="str">
        <f t="shared" si="0"/>
        <v>1-3-802</v>
      </c>
      <c r="F49" s="3191">
        <v>109.72</v>
      </c>
      <c r="G49" s="3188">
        <v>90.17</v>
      </c>
      <c r="H49" s="3189" t="s">
        <v>3469</v>
      </c>
      <c r="I49" s="3189" t="s">
        <v>3470</v>
      </c>
      <c r="J49" s="3189">
        <v>3554928</v>
      </c>
      <c r="K49" s="3189">
        <v>32400</v>
      </c>
      <c r="L49" s="3181">
        <v>3554928</v>
      </c>
      <c r="M49" s="3181">
        <v>32400</v>
      </c>
      <c r="N49" s="3180" t="s">
        <v>3486</v>
      </c>
      <c r="O49" s="3190">
        <f t="shared" si="3"/>
        <v>3377182</v>
      </c>
    </row>
    <row r="50" spans="1:15" ht="24.95" customHeight="1">
      <c r="A50" s="3185">
        <v>49</v>
      </c>
      <c r="B50" s="3185">
        <v>1</v>
      </c>
      <c r="C50" s="3185">
        <v>4</v>
      </c>
      <c r="D50" s="3186">
        <v>101</v>
      </c>
      <c r="E50" s="3176" t="str">
        <f t="shared" si="0"/>
        <v>1-4-101</v>
      </c>
      <c r="F50" s="3191">
        <v>90.75</v>
      </c>
      <c r="G50" s="3188">
        <v>74.58</v>
      </c>
      <c r="H50" s="3189" t="s">
        <v>403</v>
      </c>
      <c r="I50" s="3189" t="s">
        <v>3470</v>
      </c>
      <c r="J50" s="3189">
        <v>2574729.0499999998</v>
      </c>
      <c r="K50" s="3189">
        <v>28371.67</v>
      </c>
      <c r="L50" s="3181">
        <v>2574729</v>
      </c>
      <c r="M50" s="3181">
        <v>28371.67</v>
      </c>
      <c r="N50" s="3180" t="s">
        <v>3486</v>
      </c>
      <c r="O50" s="3190">
        <f t="shared" si="3"/>
        <v>2445993</v>
      </c>
    </row>
    <row r="51" spans="1:15" ht="24.95" customHeight="1">
      <c r="A51" s="3185">
        <v>50</v>
      </c>
      <c r="B51" s="3185">
        <v>1</v>
      </c>
      <c r="C51" s="3185">
        <v>4</v>
      </c>
      <c r="D51" s="3186">
        <v>102</v>
      </c>
      <c r="E51" s="3176" t="str">
        <f t="shared" si="0"/>
        <v>1-4-102</v>
      </c>
      <c r="F51" s="3191">
        <v>110.17</v>
      </c>
      <c r="G51" s="3188">
        <v>90.54</v>
      </c>
      <c r="H51" s="3189" t="s">
        <v>3469</v>
      </c>
      <c r="I51" s="3189" t="s">
        <v>3470</v>
      </c>
      <c r="J51" s="3189">
        <v>3043079.38</v>
      </c>
      <c r="K51" s="3189">
        <v>27621.67</v>
      </c>
      <c r="L51" s="3181">
        <v>3043079</v>
      </c>
      <c r="M51" s="3181">
        <v>27621.67</v>
      </c>
      <c r="N51" s="3180" t="s">
        <v>3486</v>
      </c>
      <c r="O51" s="3190">
        <f t="shared" si="3"/>
        <v>2890925</v>
      </c>
    </row>
    <row r="52" spans="1:15" ht="24.95" customHeight="1">
      <c r="A52" s="3185">
        <v>51</v>
      </c>
      <c r="B52" s="3185">
        <v>1</v>
      </c>
      <c r="C52" s="3185">
        <v>4</v>
      </c>
      <c r="D52" s="3186">
        <v>201</v>
      </c>
      <c r="E52" s="3176" t="str">
        <f t="shared" si="0"/>
        <v>1-4-201</v>
      </c>
      <c r="F52" s="3191">
        <v>109.72</v>
      </c>
      <c r="G52" s="3188">
        <v>90.17</v>
      </c>
      <c r="H52" s="3189" t="s">
        <v>3472</v>
      </c>
      <c r="I52" s="3189" t="s">
        <v>3470</v>
      </c>
      <c r="J52" s="3189">
        <v>3063565.63</v>
      </c>
      <c r="K52" s="3189">
        <v>27921.67</v>
      </c>
      <c r="L52" s="3181">
        <v>3063565</v>
      </c>
      <c r="M52" s="3181">
        <v>27921.66</v>
      </c>
      <c r="N52" s="3180" t="s">
        <v>3486</v>
      </c>
      <c r="O52" s="3190">
        <f t="shared" si="3"/>
        <v>2910387</v>
      </c>
    </row>
    <row r="53" spans="1:15" ht="24.95" customHeight="1">
      <c r="A53" s="3185">
        <v>52</v>
      </c>
      <c r="B53" s="3185">
        <v>1</v>
      </c>
      <c r="C53" s="3185">
        <v>4</v>
      </c>
      <c r="D53" s="3186">
        <v>202</v>
      </c>
      <c r="E53" s="3176" t="str">
        <f t="shared" si="0"/>
        <v>1-4-202</v>
      </c>
      <c r="F53" s="3191">
        <v>110.17</v>
      </c>
      <c r="G53" s="3188">
        <v>90.54</v>
      </c>
      <c r="H53" s="3189" t="s">
        <v>3469</v>
      </c>
      <c r="I53" s="3189" t="s">
        <v>3470</v>
      </c>
      <c r="J53" s="3189">
        <v>3076130.38</v>
      </c>
      <c r="K53" s="3189">
        <v>27921.67</v>
      </c>
      <c r="L53" s="3181">
        <v>3076130</v>
      </c>
      <c r="M53" s="3181">
        <v>27921.67</v>
      </c>
      <c r="N53" s="3180" t="s">
        <v>3486</v>
      </c>
      <c r="O53" s="3190">
        <f t="shared" si="3"/>
        <v>2922324</v>
      </c>
    </row>
    <row r="54" spans="1:15" ht="24.95" customHeight="1">
      <c r="A54" s="3185">
        <v>53</v>
      </c>
      <c r="B54" s="3185">
        <v>1</v>
      </c>
      <c r="C54" s="3185">
        <v>4</v>
      </c>
      <c r="D54" s="3186">
        <v>301</v>
      </c>
      <c r="E54" s="3176" t="str">
        <f t="shared" si="0"/>
        <v>1-4-301</v>
      </c>
      <c r="F54" s="3191">
        <v>109.72</v>
      </c>
      <c r="G54" s="3188">
        <v>90.17</v>
      </c>
      <c r="H54" s="3189" t="s">
        <v>3472</v>
      </c>
      <c r="I54" s="3189" t="s">
        <v>3470</v>
      </c>
      <c r="J54" s="3189">
        <v>3118425.63</v>
      </c>
      <c r="K54" s="3189">
        <v>28421.67</v>
      </c>
      <c r="L54" s="3181">
        <v>3118425</v>
      </c>
      <c r="M54" s="3181">
        <v>28421.66</v>
      </c>
      <c r="N54" s="3180" t="s">
        <v>3486</v>
      </c>
      <c r="O54" s="3190">
        <f t="shared" si="3"/>
        <v>2962504</v>
      </c>
    </row>
    <row r="55" spans="1:15" ht="24.95" customHeight="1">
      <c r="A55" s="3185">
        <v>54</v>
      </c>
      <c r="B55" s="3185">
        <v>1</v>
      </c>
      <c r="C55" s="3185">
        <v>4</v>
      </c>
      <c r="D55" s="3186">
        <v>302</v>
      </c>
      <c r="E55" s="3176" t="str">
        <f t="shared" si="0"/>
        <v>1-4-302</v>
      </c>
      <c r="F55" s="3191">
        <v>110.17</v>
      </c>
      <c r="G55" s="3188">
        <v>90.54</v>
      </c>
      <c r="H55" s="3189" t="s">
        <v>404</v>
      </c>
      <c r="I55" s="3189" t="s">
        <v>3470</v>
      </c>
      <c r="J55" s="3189">
        <v>3142232.38</v>
      </c>
      <c r="K55" s="3189">
        <v>28521.67</v>
      </c>
      <c r="L55" s="3181">
        <v>3142232</v>
      </c>
      <c r="M55" s="3181">
        <v>28521.67</v>
      </c>
      <c r="N55" s="3180" t="s">
        <v>3486</v>
      </c>
      <c r="O55" s="3190">
        <f t="shared" si="3"/>
        <v>2985120</v>
      </c>
    </row>
    <row r="56" spans="1:15" ht="24.95" customHeight="1">
      <c r="A56" s="3185">
        <v>55</v>
      </c>
      <c r="B56" s="3185">
        <v>1</v>
      </c>
      <c r="C56" s="3185">
        <v>4</v>
      </c>
      <c r="D56" s="3186">
        <v>401</v>
      </c>
      <c r="E56" s="3176" t="str">
        <f t="shared" si="0"/>
        <v>1-4-401</v>
      </c>
      <c r="F56" s="3191">
        <v>109.72</v>
      </c>
      <c r="G56" s="3188">
        <v>90.17</v>
      </c>
      <c r="H56" s="3189" t="s">
        <v>3472</v>
      </c>
      <c r="I56" s="3189" t="s">
        <v>3470</v>
      </c>
      <c r="J56" s="3189">
        <v>3151341.63</v>
      </c>
      <c r="K56" s="3189">
        <v>28721.67</v>
      </c>
      <c r="L56" s="3181">
        <v>3151341</v>
      </c>
      <c r="M56" s="3181">
        <v>28721.66</v>
      </c>
      <c r="N56" s="3180" t="s">
        <v>3486</v>
      </c>
      <c r="O56" s="3190">
        <f t="shared" si="3"/>
        <v>2993774</v>
      </c>
    </row>
    <row r="57" spans="1:15" ht="24.95" customHeight="1">
      <c r="A57" s="3185">
        <v>56</v>
      </c>
      <c r="B57" s="3185">
        <v>1</v>
      </c>
      <c r="C57" s="3185">
        <v>4</v>
      </c>
      <c r="D57" s="3186">
        <v>402</v>
      </c>
      <c r="E57" s="3176" t="str">
        <f t="shared" si="0"/>
        <v>1-4-402</v>
      </c>
      <c r="F57" s="3191">
        <v>110.17</v>
      </c>
      <c r="G57" s="3188">
        <v>90.54</v>
      </c>
      <c r="H57" s="3189" t="s">
        <v>404</v>
      </c>
      <c r="I57" s="3189" t="s">
        <v>3470</v>
      </c>
      <c r="J57" s="3189">
        <v>3175283.38</v>
      </c>
      <c r="K57" s="3189">
        <v>28821.67</v>
      </c>
      <c r="L57" s="3181">
        <v>3175283</v>
      </c>
      <c r="M57" s="3181">
        <v>28821.67</v>
      </c>
      <c r="N57" s="3180" t="s">
        <v>3486</v>
      </c>
      <c r="O57" s="3190">
        <f t="shared" si="3"/>
        <v>3016519</v>
      </c>
    </row>
    <row r="58" spans="1:15" ht="24.95" customHeight="1">
      <c r="A58" s="3185">
        <v>57</v>
      </c>
      <c r="B58" s="3185">
        <v>1</v>
      </c>
      <c r="C58" s="3185">
        <v>4</v>
      </c>
      <c r="D58" s="3186">
        <v>501</v>
      </c>
      <c r="E58" s="3176" t="str">
        <f t="shared" si="0"/>
        <v>1-4-501</v>
      </c>
      <c r="F58" s="3191">
        <v>109.72</v>
      </c>
      <c r="G58" s="3188">
        <v>90.17</v>
      </c>
      <c r="H58" s="3189" t="s">
        <v>3472</v>
      </c>
      <c r="I58" s="3189" t="s">
        <v>3470</v>
      </c>
      <c r="J58" s="3189">
        <v>3178771.63</v>
      </c>
      <c r="K58" s="3189">
        <v>28971.67</v>
      </c>
      <c r="L58" s="3181">
        <v>3178771</v>
      </c>
      <c r="M58" s="3181">
        <v>28971.66</v>
      </c>
      <c r="N58" s="3180" t="s">
        <v>3471</v>
      </c>
      <c r="O58" s="3190">
        <v>3022980</v>
      </c>
    </row>
    <row r="59" spans="1:15" ht="24.95" customHeight="1">
      <c r="A59" s="3185">
        <v>58</v>
      </c>
      <c r="B59" s="3185">
        <v>1</v>
      </c>
      <c r="C59" s="3185">
        <v>4</v>
      </c>
      <c r="D59" s="3186">
        <v>502</v>
      </c>
      <c r="E59" s="3176" t="str">
        <f t="shared" si="0"/>
        <v>1-4-502</v>
      </c>
      <c r="F59" s="3191">
        <v>110.17</v>
      </c>
      <c r="G59" s="3188">
        <v>90.54</v>
      </c>
      <c r="H59" s="3189" t="s">
        <v>404</v>
      </c>
      <c r="I59" s="3189" t="s">
        <v>3470</v>
      </c>
      <c r="J59" s="3189">
        <v>3202825.88</v>
      </c>
      <c r="K59" s="3189">
        <v>29071.67</v>
      </c>
      <c r="L59" s="3181">
        <v>3202825</v>
      </c>
      <c r="M59" s="3181">
        <v>29071.66</v>
      </c>
      <c r="N59" s="3180" t="s">
        <v>3486</v>
      </c>
      <c r="O59" s="3190">
        <f>ROUND(L59*0.95,0)</f>
        <v>3042684</v>
      </c>
    </row>
    <row r="60" spans="1:15" ht="24.95" customHeight="1">
      <c r="A60" s="3185">
        <v>59</v>
      </c>
      <c r="B60" s="3185">
        <v>1</v>
      </c>
      <c r="C60" s="3185">
        <v>4</v>
      </c>
      <c r="D60" s="3186">
        <v>601</v>
      </c>
      <c r="E60" s="3176" t="str">
        <f t="shared" si="0"/>
        <v>1-4-601</v>
      </c>
      <c r="F60" s="3191">
        <v>109.72</v>
      </c>
      <c r="G60" s="3188">
        <v>90.17</v>
      </c>
      <c r="H60" s="3189" t="s">
        <v>3472</v>
      </c>
      <c r="I60" s="3189" t="s">
        <v>3470</v>
      </c>
      <c r="J60" s="3189">
        <v>3200715.63</v>
      </c>
      <c r="K60" s="3189">
        <v>29171.67</v>
      </c>
      <c r="L60" s="3181">
        <v>3200715</v>
      </c>
      <c r="M60" s="3181">
        <v>29171.66</v>
      </c>
      <c r="N60" s="3180" t="s">
        <v>3471</v>
      </c>
      <c r="O60" s="3190">
        <v>3043538</v>
      </c>
    </row>
    <row r="61" spans="1:15" ht="24.95" customHeight="1">
      <c r="A61" s="3185">
        <v>60</v>
      </c>
      <c r="B61" s="3185">
        <v>1</v>
      </c>
      <c r="C61" s="3185">
        <v>4</v>
      </c>
      <c r="D61" s="3186">
        <v>602</v>
      </c>
      <c r="E61" s="3176" t="str">
        <f t="shared" si="0"/>
        <v>1-4-602</v>
      </c>
      <c r="F61" s="3191">
        <v>110.17</v>
      </c>
      <c r="G61" s="3188">
        <v>90.54</v>
      </c>
      <c r="H61" s="3189" t="s">
        <v>404</v>
      </c>
      <c r="I61" s="3189" t="s">
        <v>3470</v>
      </c>
      <c r="J61" s="3189">
        <v>3224859.88</v>
      </c>
      <c r="K61" s="3189">
        <v>29271.67</v>
      </c>
      <c r="L61" s="3181">
        <v>3224859</v>
      </c>
      <c r="M61" s="3181">
        <v>29271.66</v>
      </c>
      <c r="N61" s="3180" t="s">
        <v>3486</v>
      </c>
      <c r="O61" s="3190">
        <f>ROUND(L61*0.95,0)</f>
        <v>3063616</v>
      </c>
    </row>
    <row r="62" spans="1:15" ht="24.95" customHeight="1">
      <c r="A62" s="3185">
        <v>61</v>
      </c>
      <c r="B62" s="3185">
        <v>1</v>
      </c>
      <c r="C62" s="3185">
        <v>4</v>
      </c>
      <c r="D62" s="3186">
        <v>701</v>
      </c>
      <c r="E62" s="3176" t="str">
        <f t="shared" si="0"/>
        <v>1-4-701</v>
      </c>
      <c r="F62" s="3191">
        <v>109.72</v>
      </c>
      <c r="G62" s="3188">
        <v>90.17</v>
      </c>
      <c r="H62" s="3189" t="s">
        <v>3472</v>
      </c>
      <c r="I62" s="3189" t="s">
        <v>3470</v>
      </c>
      <c r="J62" s="3189">
        <v>3222659.63</v>
      </c>
      <c r="K62" s="3189">
        <v>29371.67</v>
      </c>
      <c r="L62" s="3181">
        <v>3222659</v>
      </c>
      <c r="M62" s="3181">
        <v>29371.66</v>
      </c>
      <c r="N62" s="3180" t="s">
        <v>3471</v>
      </c>
      <c r="O62" s="3190">
        <v>3064717</v>
      </c>
    </row>
    <row r="63" spans="1:15" ht="24.95" customHeight="1">
      <c r="A63" s="3185">
        <v>62</v>
      </c>
      <c r="B63" s="3185">
        <v>1</v>
      </c>
      <c r="C63" s="3185">
        <v>4</v>
      </c>
      <c r="D63" s="3186">
        <v>702</v>
      </c>
      <c r="E63" s="3176" t="str">
        <f t="shared" si="0"/>
        <v>1-4-702</v>
      </c>
      <c r="F63" s="3191">
        <v>110.17</v>
      </c>
      <c r="G63" s="3188">
        <v>90.54</v>
      </c>
      <c r="H63" s="3189" t="s">
        <v>404</v>
      </c>
      <c r="I63" s="3189" t="s">
        <v>3470</v>
      </c>
      <c r="J63" s="3189">
        <v>3246893.88</v>
      </c>
      <c r="K63" s="3189">
        <v>29471.67</v>
      </c>
      <c r="L63" s="3181">
        <v>3246893</v>
      </c>
      <c r="M63" s="3181">
        <v>29471.66</v>
      </c>
      <c r="N63" s="3180" t="s">
        <v>3486</v>
      </c>
      <c r="O63" s="3190">
        <f>ROUND(L63*0.95,0)</f>
        <v>3084548</v>
      </c>
    </row>
    <row r="64" spans="1:15" ht="24.95" customHeight="1">
      <c r="A64" s="3185">
        <v>63</v>
      </c>
      <c r="B64" s="3185">
        <v>1</v>
      </c>
      <c r="C64" s="3185">
        <v>4</v>
      </c>
      <c r="D64" s="3186">
        <v>801</v>
      </c>
      <c r="E64" s="3176" t="str">
        <f t="shared" si="0"/>
        <v>1-4-801</v>
      </c>
      <c r="F64" s="3191">
        <v>109.72</v>
      </c>
      <c r="G64" s="3188">
        <v>90.17</v>
      </c>
      <c r="H64" s="3189" t="s">
        <v>3472</v>
      </c>
      <c r="I64" s="3189" t="s">
        <v>3470</v>
      </c>
      <c r="J64" s="3189">
        <v>3554928</v>
      </c>
      <c r="K64" s="3189">
        <v>32400</v>
      </c>
      <c r="L64" s="3181">
        <v>3554928</v>
      </c>
      <c r="M64" s="3181">
        <v>32400</v>
      </c>
      <c r="N64" s="3180" t="s">
        <v>3486</v>
      </c>
      <c r="O64" s="3190">
        <f>ROUND(L64*0.95,0)</f>
        <v>3377182</v>
      </c>
    </row>
    <row r="65" spans="1:15" ht="24.95" customHeight="1">
      <c r="A65" s="3185">
        <v>64</v>
      </c>
      <c r="B65" s="3185">
        <v>1</v>
      </c>
      <c r="C65" s="3185">
        <v>4</v>
      </c>
      <c r="D65" s="3186">
        <v>802</v>
      </c>
      <c r="E65" s="3176" t="str">
        <f t="shared" si="0"/>
        <v>1-4-802</v>
      </c>
      <c r="F65" s="3191">
        <v>110.17</v>
      </c>
      <c r="G65" s="3188">
        <v>90.54</v>
      </c>
      <c r="H65" s="3189" t="s">
        <v>404</v>
      </c>
      <c r="I65" s="3189" t="s">
        <v>3470</v>
      </c>
      <c r="J65" s="3189">
        <v>3569508</v>
      </c>
      <c r="K65" s="3189">
        <v>32400</v>
      </c>
      <c r="L65" s="3181">
        <v>3569508</v>
      </c>
      <c r="M65" s="3181">
        <v>32400</v>
      </c>
      <c r="N65" s="3180" t="s">
        <v>3486</v>
      </c>
      <c r="O65" s="3190">
        <f>ROUND(L65*0.95,0)</f>
        <v>3391033</v>
      </c>
    </row>
    <row r="66" spans="1:15" ht="24.95" customHeight="1">
      <c r="A66" s="3185">
        <v>65</v>
      </c>
      <c r="B66" s="3185">
        <v>1</v>
      </c>
      <c r="C66" s="3185"/>
      <c r="D66" s="3186">
        <v>-101</v>
      </c>
      <c r="E66" s="3192" t="str">
        <f t="shared" ref="E66:E129" si="4">CONCATENATE(B66,"-",C66,"-",D66)</f>
        <v>1---101</v>
      </c>
      <c r="F66" s="3186">
        <v>7.15</v>
      </c>
      <c r="G66" s="3193">
        <v>7.15</v>
      </c>
      <c r="H66" s="3185"/>
      <c r="I66" s="3185" t="s">
        <v>3487</v>
      </c>
      <c r="J66" s="3185">
        <v>64350</v>
      </c>
      <c r="K66" s="3185">
        <v>9000</v>
      </c>
      <c r="L66" s="3181">
        <v>64350</v>
      </c>
      <c r="M66" s="3181"/>
      <c r="N66" s="3180" t="s">
        <v>3486</v>
      </c>
      <c r="O66" s="3190">
        <f>F66*8000</f>
        <v>57200</v>
      </c>
    </row>
    <row r="67" spans="1:15" ht="24.95" customHeight="1">
      <c r="A67" s="3185">
        <v>66</v>
      </c>
      <c r="B67" s="3185">
        <v>1</v>
      </c>
      <c r="C67" s="3185"/>
      <c r="D67" s="3186">
        <v>-102</v>
      </c>
      <c r="E67" s="3192" t="str">
        <f t="shared" si="4"/>
        <v>1---102</v>
      </c>
      <c r="F67" s="3186">
        <v>15.12</v>
      </c>
      <c r="G67" s="3193">
        <v>15.12</v>
      </c>
      <c r="H67" s="3185"/>
      <c r="I67" s="3185" t="s">
        <v>3487</v>
      </c>
      <c r="J67" s="3185">
        <v>136080</v>
      </c>
      <c r="K67" s="3185">
        <v>9000</v>
      </c>
      <c r="L67" s="3181">
        <v>136080</v>
      </c>
      <c r="M67" s="3181"/>
      <c r="N67" s="3180" t="s">
        <v>3486</v>
      </c>
      <c r="O67" s="3190">
        <f>F67*8000</f>
        <v>120960</v>
      </c>
    </row>
    <row r="68" spans="1:15" ht="24.95" customHeight="1">
      <c r="A68" s="3185">
        <v>67</v>
      </c>
      <c r="B68" s="3185">
        <v>1</v>
      </c>
      <c r="C68" s="3185"/>
      <c r="D68" s="3186">
        <v>-103</v>
      </c>
      <c r="E68" s="3192" t="str">
        <f t="shared" si="4"/>
        <v>1---103</v>
      </c>
      <c r="F68" s="3186">
        <v>10.56</v>
      </c>
      <c r="G68" s="3193">
        <v>10.56</v>
      </c>
      <c r="H68" s="3185"/>
      <c r="I68" s="3185" t="s">
        <v>3487</v>
      </c>
      <c r="J68" s="3185">
        <v>95040</v>
      </c>
      <c r="K68" s="3185">
        <v>9000</v>
      </c>
      <c r="L68" s="3181">
        <v>95040</v>
      </c>
      <c r="M68" s="3181"/>
      <c r="N68" s="3180" t="s">
        <v>3486</v>
      </c>
      <c r="O68" s="3190">
        <f>F68*8000</f>
        <v>84480</v>
      </c>
    </row>
    <row r="69" spans="1:15" ht="24.95" customHeight="1">
      <c r="A69" s="3185">
        <v>68</v>
      </c>
      <c r="B69" s="3185">
        <v>2</v>
      </c>
      <c r="C69" s="3185"/>
      <c r="D69" s="3186">
        <v>101</v>
      </c>
      <c r="E69" s="3176" t="str">
        <f t="shared" si="4"/>
        <v>2--101</v>
      </c>
      <c r="F69" s="3191">
        <v>140.91999999999999</v>
      </c>
      <c r="G69" s="3188">
        <v>111.76</v>
      </c>
      <c r="H69" s="3189" t="s">
        <v>3473</v>
      </c>
      <c r="I69" s="3189" t="s">
        <v>3470</v>
      </c>
      <c r="J69" s="3189">
        <v>4068595.74</v>
      </c>
      <c r="K69" s="3189">
        <v>28871.67</v>
      </c>
      <c r="L69" s="3181">
        <v>4068595</v>
      </c>
      <c r="M69" s="3181">
        <v>28871.66</v>
      </c>
      <c r="N69" s="3180" t="s">
        <v>3486</v>
      </c>
      <c r="O69" s="3190">
        <f t="shared" ref="O69:O74" si="5">ROUND(L69*0.95,0)</f>
        <v>3865165</v>
      </c>
    </row>
    <row r="70" spans="1:15" ht="24.95" customHeight="1">
      <c r="A70" s="3185">
        <v>69</v>
      </c>
      <c r="B70" s="3185">
        <v>2</v>
      </c>
      <c r="C70" s="3185"/>
      <c r="D70" s="3186">
        <v>102</v>
      </c>
      <c r="E70" s="3176" t="str">
        <f t="shared" si="4"/>
        <v>2--102</v>
      </c>
      <c r="F70" s="3191">
        <v>139.9</v>
      </c>
      <c r="G70" s="3188">
        <v>110.95</v>
      </c>
      <c r="H70" s="3189" t="s">
        <v>3474</v>
      </c>
      <c r="I70" s="3189" t="s">
        <v>3470</v>
      </c>
      <c r="J70" s="3189">
        <v>3997176.63</v>
      </c>
      <c r="K70" s="3189">
        <v>28571.67</v>
      </c>
      <c r="L70" s="3181">
        <v>3997176</v>
      </c>
      <c r="M70" s="3181">
        <v>28571.67</v>
      </c>
      <c r="N70" s="3180" t="s">
        <v>3486</v>
      </c>
      <c r="O70" s="3190">
        <f t="shared" si="5"/>
        <v>3797317</v>
      </c>
    </row>
    <row r="71" spans="1:15" ht="24.95" customHeight="1">
      <c r="A71" s="3185">
        <v>70</v>
      </c>
      <c r="B71" s="3185">
        <v>2</v>
      </c>
      <c r="C71" s="3185"/>
      <c r="D71" s="3186">
        <v>201</v>
      </c>
      <c r="E71" s="3176" t="str">
        <f t="shared" si="4"/>
        <v>2--201</v>
      </c>
      <c r="F71" s="3191">
        <v>140.91999999999999</v>
      </c>
      <c r="G71" s="3188">
        <v>111.76</v>
      </c>
      <c r="H71" s="3189" t="s">
        <v>3473</v>
      </c>
      <c r="I71" s="3189" t="s">
        <v>3470</v>
      </c>
      <c r="J71" s="3189">
        <v>4110871.74</v>
      </c>
      <c r="K71" s="3189">
        <v>29171.67</v>
      </c>
      <c r="L71" s="3181">
        <v>4110871</v>
      </c>
      <c r="M71" s="3181">
        <v>29171.66</v>
      </c>
      <c r="N71" s="3180" t="s">
        <v>3486</v>
      </c>
      <c r="O71" s="3190">
        <f t="shared" si="5"/>
        <v>3905327</v>
      </c>
    </row>
    <row r="72" spans="1:15" ht="24.95" customHeight="1">
      <c r="A72" s="3185">
        <v>71</v>
      </c>
      <c r="B72" s="3185">
        <v>2</v>
      </c>
      <c r="C72" s="3185"/>
      <c r="D72" s="3186">
        <v>202</v>
      </c>
      <c r="E72" s="3176" t="str">
        <f t="shared" si="4"/>
        <v>2--202</v>
      </c>
      <c r="F72" s="3191">
        <v>139.9</v>
      </c>
      <c r="G72" s="3188">
        <v>110.95</v>
      </c>
      <c r="H72" s="3189" t="s">
        <v>3474</v>
      </c>
      <c r="I72" s="3189" t="s">
        <v>3470</v>
      </c>
      <c r="J72" s="3189">
        <v>4039146.63</v>
      </c>
      <c r="K72" s="3189">
        <v>28871.67</v>
      </c>
      <c r="L72" s="3181">
        <v>4039146</v>
      </c>
      <c r="M72" s="3181">
        <v>28871.67</v>
      </c>
      <c r="N72" s="3180" t="s">
        <v>3486</v>
      </c>
      <c r="O72" s="3190">
        <f t="shared" si="5"/>
        <v>3837189</v>
      </c>
    </row>
    <row r="73" spans="1:15" ht="24.95" customHeight="1">
      <c r="A73" s="3185">
        <v>72</v>
      </c>
      <c r="B73" s="3185">
        <v>2</v>
      </c>
      <c r="C73" s="3185"/>
      <c r="D73" s="3186">
        <v>301</v>
      </c>
      <c r="E73" s="3176" t="str">
        <f t="shared" si="4"/>
        <v>2--301</v>
      </c>
      <c r="F73" s="3191">
        <v>140.91999999999999</v>
      </c>
      <c r="G73" s="3188">
        <v>111.76</v>
      </c>
      <c r="H73" s="3189" t="s">
        <v>3473</v>
      </c>
      <c r="I73" s="3189" t="s">
        <v>3470</v>
      </c>
      <c r="J73" s="3189">
        <v>4181331.74</v>
      </c>
      <c r="K73" s="3189">
        <v>29671.67</v>
      </c>
      <c r="L73" s="3181">
        <v>4181331</v>
      </c>
      <c r="M73" s="3181">
        <v>29671.66</v>
      </c>
      <c r="N73" s="3180" t="s">
        <v>3486</v>
      </c>
      <c r="O73" s="3190">
        <f t="shared" si="5"/>
        <v>3972264</v>
      </c>
    </row>
    <row r="74" spans="1:15" ht="24.95" customHeight="1">
      <c r="A74" s="3185">
        <v>73</v>
      </c>
      <c r="B74" s="3185">
        <v>2</v>
      </c>
      <c r="C74" s="3185"/>
      <c r="D74" s="3186">
        <v>302</v>
      </c>
      <c r="E74" s="3176" t="str">
        <f t="shared" si="4"/>
        <v>2--302</v>
      </c>
      <c r="F74" s="3191">
        <v>139.9</v>
      </c>
      <c r="G74" s="3188">
        <v>110.95</v>
      </c>
      <c r="H74" s="3189" t="s">
        <v>3474</v>
      </c>
      <c r="I74" s="3189" t="s">
        <v>3470</v>
      </c>
      <c r="J74" s="3189">
        <v>4109096.63</v>
      </c>
      <c r="K74" s="3189">
        <v>29371.67</v>
      </c>
      <c r="L74" s="3181">
        <v>4109096</v>
      </c>
      <c r="M74" s="3181">
        <v>29371.67</v>
      </c>
      <c r="N74" s="3180" t="s">
        <v>3486</v>
      </c>
      <c r="O74" s="3190">
        <f t="shared" si="5"/>
        <v>3903641</v>
      </c>
    </row>
    <row r="75" spans="1:15" ht="24.95" customHeight="1">
      <c r="A75" s="3185">
        <v>74</v>
      </c>
      <c r="B75" s="3185">
        <v>2</v>
      </c>
      <c r="C75" s="3185"/>
      <c r="D75" s="3186">
        <v>401</v>
      </c>
      <c r="E75" s="3176" t="str">
        <f t="shared" si="4"/>
        <v>2--401</v>
      </c>
      <c r="F75" s="3191">
        <v>140.91999999999999</v>
      </c>
      <c r="G75" s="3188">
        <v>111.76</v>
      </c>
      <c r="H75" s="3189" t="s">
        <v>3473</v>
      </c>
      <c r="I75" s="3189" t="s">
        <v>3470</v>
      </c>
      <c r="J75" s="3189">
        <v>4223607.74</v>
      </c>
      <c r="K75" s="3189">
        <v>29971.67</v>
      </c>
      <c r="L75" s="3181">
        <v>4223607</v>
      </c>
      <c r="M75" s="3181">
        <v>29971.66</v>
      </c>
      <c r="N75" s="3180" t="s">
        <v>3471</v>
      </c>
      <c r="O75" s="3190">
        <v>4016608</v>
      </c>
    </row>
    <row r="76" spans="1:15" ht="24.95" customHeight="1">
      <c r="A76" s="3185">
        <v>75</v>
      </c>
      <c r="B76" s="3185">
        <v>2</v>
      </c>
      <c r="C76" s="3185"/>
      <c r="D76" s="3186">
        <v>402</v>
      </c>
      <c r="E76" s="3176" t="str">
        <f t="shared" si="4"/>
        <v>2--402</v>
      </c>
      <c r="F76" s="3191">
        <v>139.9</v>
      </c>
      <c r="G76" s="3188">
        <v>110.95</v>
      </c>
      <c r="H76" s="3189" t="s">
        <v>3474</v>
      </c>
      <c r="I76" s="3189" t="s">
        <v>3470</v>
      </c>
      <c r="J76" s="3189">
        <v>4151066.63</v>
      </c>
      <c r="K76" s="3189">
        <v>29671.67</v>
      </c>
      <c r="L76" s="3181">
        <v>4151066</v>
      </c>
      <c r="M76" s="3181">
        <v>29671.67</v>
      </c>
      <c r="N76" s="3180" t="s">
        <v>3486</v>
      </c>
      <c r="O76" s="3190">
        <f>ROUND(L76*0.95,0)</f>
        <v>3943513</v>
      </c>
    </row>
    <row r="77" spans="1:15" ht="24.95" customHeight="1">
      <c r="A77" s="3185">
        <v>76</v>
      </c>
      <c r="B77" s="3185">
        <v>2</v>
      </c>
      <c r="C77" s="3185"/>
      <c r="D77" s="3186">
        <v>501</v>
      </c>
      <c r="E77" s="3176" t="str">
        <f t="shared" si="4"/>
        <v>2--501</v>
      </c>
      <c r="F77" s="3191">
        <v>140.91999999999999</v>
      </c>
      <c r="G77" s="3188">
        <v>111.76</v>
      </c>
      <c r="H77" s="3189" t="s">
        <v>3473</v>
      </c>
      <c r="I77" s="3189" t="s">
        <v>3470</v>
      </c>
      <c r="J77" s="3189">
        <v>4251791.74</v>
      </c>
      <c r="K77" s="3189">
        <v>30171.67</v>
      </c>
      <c r="L77" s="3181">
        <v>4251791</v>
      </c>
      <c r="M77" s="3181">
        <v>30171.66</v>
      </c>
      <c r="N77" s="3180" t="s">
        <v>3471</v>
      </c>
      <c r="O77" s="3190">
        <v>4002568</v>
      </c>
    </row>
    <row r="78" spans="1:15" ht="24.95" customHeight="1">
      <c r="A78" s="3185">
        <v>77</v>
      </c>
      <c r="B78" s="3185">
        <v>2</v>
      </c>
      <c r="C78" s="3185"/>
      <c r="D78" s="3186">
        <v>502</v>
      </c>
      <c r="E78" s="3176" t="str">
        <f t="shared" si="4"/>
        <v>2--502</v>
      </c>
      <c r="F78" s="3191">
        <v>139.9</v>
      </c>
      <c r="G78" s="3188">
        <v>110.95</v>
      </c>
      <c r="H78" s="3189" t="s">
        <v>3474</v>
      </c>
      <c r="I78" s="3189" t="s">
        <v>3470</v>
      </c>
      <c r="J78" s="3189">
        <v>4179046.63</v>
      </c>
      <c r="K78" s="3189">
        <v>29871.67</v>
      </c>
      <c r="L78" s="3181">
        <v>4179046</v>
      </c>
      <c r="M78" s="3181">
        <v>29871.67</v>
      </c>
      <c r="N78" s="3180" t="s">
        <v>3471</v>
      </c>
      <c r="O78" s="3190">
        <v>3934087</v>
      </c>
    </row>
    <row r="79" spans="1:15" ht="24.95" customHeight="1">
      <c r="A79" s="3185">
        <v>78</v>
      </c>
      <c r="B79" s="3185">
        <v>2</v>
      </c>
      <c r="C79" s="3185"/>
      <c r="D79" s="3186">
        <v>601</v>
      </c>
      <c r="E79" s="3176" t="str">
        <f t="shared" si="4"/>
        <v>2--601</v>
      </c>
      <c r="F79" s="3191">
        <v>140.91999999999999</v>
      </c>
      <c r="G79" s="3188">
        <v>111.76</v>
      </c>
      <c r="H79" s="3189" t="s">
        <v>3473</v>
      </c>
      <c r="I79" s="3189" t="s">
        <v>3470</v>
      </c>
      <c r="J79" s="3189">
        <v>4279975.74</v>
      </c>
      <c r="K79" s="3189">
        <v>30371.67</v>
      </c>
      <c r="L79" s="3181">
        <v>4279975</v>
      </c>
      <c r="M79" s="3181">
        <v>30371.66</v>
      </c>
      <c r="N79" s="3180" t="s">
        <v>3471</v>
      </c>
      <c r="O79" s="3190">
        <v>4029100</v>
      </c>
    </row>
    <row r="80" spans="1:15" ht="24.95" customHeight="1">
      <c r="A80" s="3185">
        <v>79</v>
      </c>
      <c r="B80" s="3185">
        <v>2</v>
      </c>
      <c r="C80" s="3185"/>
      <c r="D80" s="3186">
        <v>602</v>
      </c>
      <c r="E80" s="3176" t="str">
        <f t="shared" si="4"/>
        <v>2--602</v>
      </c>
      <c r="F80" s="3191">
        <v>139.9</v>
      </c>
      <c r="G80" s="3188">
        <v>110.95</v>
      </c>
      <c r="H80" s="3189" t="s">
        <v>3474</v>
      </c>
      <c r="I80" s="3189" t="s">
        <v>3470</v>
      </c>
      <c r="J80" s="3189">
        <v>4207026.63</v>
      </c>
      <c r="K80" s="3189">
        <v>30071.67</v>
      </c>
      <c r="L80" s="3181">
        <v>4207026</v>
      </c>
      <c r="M80" s="3181">
        <v>30071.67</v>
      </c>
      <c r="N80" s="3180" t="s">
        <v>3471</v>
      </c>
      <c r="O80" s="3190">
        <v>3920823</v>
      </c>
    </row>
    <row r="81" spans="1:15" ht="24.95" customHeight="1">
      <c r="A81" s="3185">
        <v>80</v>
      </c>
      <c r="B81" s="3185">
        <v>2</v>
      </c>
      <c r="C81" s="3185"/>
      <c r="D81" s="3186">
        <v>701</v>
      </c>
      <c r="E81" s="3176" t="str">
        <f t="shared" si="4"/>
        <v>2--701</v>
      </c>
      <c r="F81" s="3191">
        <v>140.91999999999999</v>
      </c>
      <c r="G81" s="3188">
        <v>111.76</v>
      </c>
      <c r="H81" s="3189" t="s">
        <v>3473</v>
      </c>
      <c r="I81" s="3189" t="s">
        <v>3470</v>
      </c>
      <c r="J81" s="3189">
        <v>4308159.74</v>
      </c>
      <c r="K81" s="3189">
        <v>30571.67</v>
      </c>
      <c r="L81" s="3181">
        <v>4308159</v>
      </c>
      <c r="M81" s="3181">
        <v>30571.66</v>
      </c>
      <c r="N81" s="3180" t="s">
        <v>3471</v>
      </c>
      <c r="O81" s="3190">
        <v>4097016</v>
      </c>
    </row>
    <row r="82" spans="1:15" ht="24.95" customHeight="1">
      <c r="A82" s="3185">
        <v>81</v>
      </c>
      <c r="B82" s="3185">
        <v>2</v>
      </c>
      <c r="C82" s="3185"/>
      <c r="D82" s="3186">
        <v>702</v>
      </c>
      <c r="E82" s="3176" t="str">
        <f t="shared" si="4"/>
        <v>2--702</v>
      </c>
      <c r="F82" s="3191">
        <v>139.9</v>
      </c>
      <c r="G82" s="3188">
        <v>110.95</v>
      </c>
      <c r="H82" s="3189" t="s">
        <v>3474</v>
      </c>
      <c r="I82" s="3189" t="s">
        <v>3470</v>
      </c>
      <c r="J82" s="3189">
        <v>4235006.63</v>
      </c>
      <c r="K82" s="3189">
        <v>30271.67</v>
      </c>
      <c r="L82" s="3181">
        <v>4235006</v>
      </c>
      <c r="M82" s="3181">
        <v>30271.67</v>
      </c>
      <c r="N82" s="3180" t="s">
        <v>3471</v>
      </c>
      <c r="O82" s="3190">
        <v>4027038</v>
      </c>
    </row>
    <row r="83" spans="1:15" ht="24.95" customHeight="1">
      <c r="A83" s="3185">
        <v>82</v>
      </c>
      <c r="B83" s="3185">
        <v>2</v>
      </c>
      <c r="C83" s="3185"/>
      <c r="D83" s="3186">
        <v>801</v>
      </c>
      <c r="E83" s="3176" t="str">
        <f t="shared" si="4"/>
        <v>2--801</v>
      </c>
      <c r="F83" s="3191">
        <v>140.91999999999999</v>
      </c>
      <c r="G83" s="3188">
        <v>111.76</v>
      </c>
      <c r="H83" s="3189" t="s">
        <v>3473</v>
      </c>
      <c r="I83" s="3189" t="s">
        <v>3470</v>
      </c>
      <c r="J83" s="3189">
        <v>4565808</v>
      </c>
      <c r="K83" s="3189">
        <v>32400</v>
      </c>
      <c r="L83" s="3181">
        <v>4565808</v>
      </c>
      <c r="M83" s="3181">
        <v>32400</v>
      </c>
      <c r="N83" s="3180" t="s">
        <v>3471</v>
      </c>
      <c r="O83" s="3190">
        <v>4520150</v>
      </c>
    </row>
    <row r="84" spans="1:15" ht="24.95" customHeight="1">
      <c r="A84" s="3185">
        <v>83</v>
      </c>
      <c r="B84" s="3185">
        <v>2</v>
      </c>
      <c r="C84" s="3185"/>
      <c r="D84" s="3186">
        <v>802</v>
      </c>
      <c r="E84" s="3176" t="str">
        <f t="shared" si="4"/>
        <v>2--802</v>
      </c>
      <c r="F84" s="3191">
        <v>139.9</v>
      </c>
      <c r="G84" s="3188">
        <v>110.95</v>
      </c>
      <c r="H84" s="3189" t="s">
        <v>3474</v>
      </c>
      <c r="I84" s="3189" t="s">
        <v>3470</v>
      </c>
      <c r="J84" s="3189">
        <v>4532760</v>
      </c>
      <c r="K84" s="3189">
        <v>32400</v>
      </c>
      <c r="L84" s="3181">
        <v>4532760</v>
      </c>
      <c r="M84" s="3181">
        <v>32400</v>
      </c>
      <c r="N84" s="3180" t="s">
        <v>3486</v>
      </c>
      <c r="O84" s="3190">
        <f>ROUND(L84*0.95,0)</f>
        <v>4306122</v>
      </c>
    </row>
    <row r="85" spans="1:15" ht="24.95" customHeight="1">
      <c r="A85" s="3185">
        <v>84</v>
      </c>
      <c r="B85" s="3185">
        <v>2</v>
      </c>
      <c r="C85" s="3185"/>
      <c r="D85" s="3186">
        <v>-101</v>
      </c>
      <c r="E85" s="3192" t="str">
        <f t="shared" si="4"/>
        <v>2---101</v>
      </c>
      <c r="F85" s="3186">
        <v>14.41</v>
      </c>
      <c r="G85" s="3193">
        <v>7.15</v>
      </c>
      <c r="H85" s="3185"/>
      <c r="I85" s="3185" t="s">
        <v>3487</v>
      </c>
      <c r="J85" s="3185">
        <v>129690</v>
      </c>
      <c r="K85" s="3185">
        <v>9000</v>
      </c>
      <c r="L85" s="3181">
        <v>129690</v>
      </c>
      <c r="M85" s="3181"/>
      <c r="N85" s="3180" t="s">
        <v>3486</v>
      </c>
      <c r="O85" s="3190">
        <f t="shared" ref="O85:O94" si="6">F85*8000</f>
        <v>115280</v>
      </c>
    </row>
    <row r="86" spans="1:15" ht="24.95" customHeight="1">
      <c r="A86" s="3185">
        <v>85</v>
      </c>
      <c r="B86" s="3185">
        <v>2</v>
      </c>
      <c r="C86" s="3185"/>
      <c r="D86" s="3186">
        <v>-102</v>
      </c>
      <c r="E86" s="3192" t="str">
        <f t="shared" si="4"/>
        <v>2---102</v>
      </c>
      <c r="F86" s="3186">
        <v>16.98</v>
      </c>
      <c r="G86" s="3193">
        <v>8.42</v>
      </c>
      <c r="H86" s="3185"/>
      <c r="I86" s="3185" t="s">
        <v>3487</v>
      </c>
      <c r="J86" s="3185">
        <v>152820</v>
      </c>
      <c r="K86" s="3185">
        <v>9000</v>
      </c>
      <c r="L86" s="3181">
        <v>152820</v>
      </c>
      <c r="M86" s="3181"/>
      <c r="N86" s="3180" t="s">
        <v>3486</v>
      </c>
      <c r="O86" s="3190">
        <f t="shared" si="6"/>
        <v>135840</v>
      </c>
    </row>
    <row r="87" spans="1:15" ht="24.95" customHeight="1">
      <c r="A87" s="3185">
        <v>86</v>
      </c>
      <c r="B87" s="3185">
        <v>2</v>
      </c>
      <c r="C87" s="3185"/>
      <c r="D87" s="3186">
        <v>-103</v>
      </c>
      <c r="E87" s="3192" t="str">
        <f t="shared" si="4"/>
        <v>2---103</v>
      </c>
      <c r="F87" s="3186">
        <v>27.92</v>
      </c>
      <c r="G87" s="3193">
        <v>13.85</v>
      </c>
      <c r="H87" s="3185"/>
      <c r="I87" s="3185" t="s">
        <v>3487</v>
      </c>
      <c r="J87" s="3185">
        <v>251280</v>
      </c>
      <c r="K87" s="3185">
        <v>9000</v>
      </c>
      <c r="L87" s="3181">
        <v>251280</v>
      </c>
      <c r="M87" s="3181"/>
      <c r="N87" s="3180" t="s">
        <v>3486</v>
      </c>
      <c r="O87" s="3190">
        <f t="shared" si="6"/>
        <v>223360</v>
      </c>
    </row>
    <row r="88" spans="1:15" ht="24.95" customHeight="1">
      <c r="A88" s="3185">
        <v>87</v>
      </c>
      <c r="B88" s="3185">
        <v>2</v>
      </c>
      <c r="C88" s="3185"/>
      <c r="D88" s="3186">
        <v>-104</v>
      </c>
      <c r="E88" s="3192" t="str">
        <f t="shared" si="4"/>
        <v>2---104</v>
      </c>
      <c r="F88" s="3186">
        <v>22.8</v>
      </c>
      <c r="G88" s="3193">
        <v>11.31</v>
      </c>
      <c r="H88" s="3185"/>
      <c r="I88" s="3185" t="s">
        <v>3487</v>
      </c>
      <c r="J88" s="3185">
        <v>205200</v>
      </c>
      <c r="K88" s="3185">
        <v>9000</v>
      </c>
      <c r="L88" s="3181">
        <v>205200</v>
      </c>
      <c r="M88" s="3181"/>
      <c r="N88" s="3180" t="s">
        <v>3486</v>
      </c>
      <c r="O88" s="3190">
        <f t="shared" si="6"/>
        <v>182400</v>
      </c>
    </row>
    <row r="89" spans="1:15" ht="24.95" customHeight="1">
      <c r="A89" s="3185">
        <v>88</v>
      </c>
      <c r="B89" s="3185">
        <v>2</v>
      </c>
      <c r="C89" s="3185"/>
      <c r="D89" s="3186">
        <v>-105</v>
      </c>
      <c r="E89" s="3192" t="str">
        <f t="shared" si="4"/>
        <v>2---105</v>
      </c>
      <c r="F89" s="3186">
        <v>35.380000000000003</v>
      </c>
      <c r="G89" s="3193">
        <v>17.55</v>
      </c>
      <c r="H89" s="3185"/>
      <c r="I89" s="3185" t="s">
        <v>3487</v>
      </c>
      <c r="J89" s="3185">
        <v>318420</v>
      </c>
      <c r="K89" s="3185">
        <v>9000</v>
      </c>
      <c r="L89" s="3181">
        <v>318420</v>
      </c>
      <c r="M89" s="3181"/>
      <c r="N89" s="3180" t="s">
        <v>3486</v>
      </c>
      <c r="O89" s="3190">
        <f t="shared" si="6"/>
        <v>283040</v>
      </c>
    </row>
    <row r="90" spans="1:15" ht="24.95" customHeight="1">
      <c r="A90" s="3185">
        <v>89</v>
      </c>
      <c r="B90" s="3185">
        <v>2</v>
      </c>
      <c r="C90" s="3185"/>
      <c r="D90" s="3186">
        <v>-106</v>
      </c>
      <c r="E90" s="3192" t="str">
        <f t="shared" si="4"/>
        <v>2---106</v>
      </c>
      <c r="F90" s="3186">
        <v>37.07</v>
      </c>
      <c r="G90" s="3193">
        <v>18.39</v>
      </c>
      <c r="H90" s="3185"/>
      <c r="I90" s="3185" t="s">
        <v>3487</v>
      </c>
      <c r="J90" s="3185">
        <v>333630</v>
      </c>
      <c r="K90" s="3185">
        <v>9000</v>
      </c>
      <c r="L90" s="3181">
        <v>333630</v>
      </c>
      <c r="M90" s="3181"/>
      <c r="N90" s="3180" t="s">
        <v>3486</v>
      </c>
      <c r="O90" s="3190">
        <f t="shared" si="6"/>
        <v>296560</v>
      </c>
    </row>
    <row r="91" spans="1:15" ht="24.95" customHeight="1">
      <c r="A91" s="3185">
        <v>90</v>
      </c>
      <c r="B91" s="3185">
        <v>2</v>
      </c>
      <c r="C91" s="3185"/>
      <c r="D91" s="3186">
        <v>-107</v>
      </c>
      <c r="E91" s="3192" t="str">
        <f t="shared" si="4"/>
        <v>2---107</v>
      </c>
      <c r="F91" s="3186">
        <v>29.15</v>
      </c>
      <c r="G91" s="3193">
        <v>14.46</v>
      </c>
      <c r="H91" s="3185"/>
      <c r="I91" s="3185" t="s">
        <v>3487</v>
      </c>
      <c r="J91" s="3185">
        <v>262350</v>
      </c>
      <c r="K91" s="3185">
        <v>9000</v>
      </c>
      <c r="L91" s="3181">
        <v>262350</v>
      </c>
      <c r="M91" s="3181"/>
      <c r="N91" s="3180" t="s">
        <v>3486</v>
      </c>
      <c r="O91" s="3190">
        <f t="shared" si="6"/>
        <v>233200</v>
      </c>
    </row>
    <row r="92" spans="1:15" ht="24.95" customHeight="1">
      <c r="A92" s="3185">
        <v>91</v>
      </c>
      <c r="B92" s="3185">
        <v>2</v>
      </c>
      <c r="C92" s="3185"/>
      <c r="D92" s="3186">
        <v>-108</v>
      </c>
      <c r="E92" s="3192" t="str">
        <f t="shared" si="4"/>
        <v>2---108</v>
      </c>
      <c r="F92" s="3186">
        <v>33.020000000000003</v>
      </c>
      <c r="G92" s="3193">
        <v>16.38</v>
      </c>
      <c r="H92" s="3185"/>
      <c r="I92" s="3185" t="s">
        <v>3487</v>
      </c>
      <c r="J92" s="3185">
        <v>297180</v>
      </c>
      <c r="K92" s="3185">
        <v>9000</v>
      </c>
      <c r="L92" s="3181">
        <v>297180</v>
      </c>
      <c r="M92" s="3181"/>
      <c r="N92" s="3180" t="s">
        <v>3486</v>
      </c>
      <c r="O92" s="3190">
        <f t="shared" si="6"/>
        <v>264160</v>
      </c>
    </row>
    <row r="93" spans="1:15" ht="24.95" customHeight="1">
      <c r="A93" s="3185">
        <v>92</v>
      </c>
      <c r="B93" s="3185">
        <v>2</v>
      </c>
      <c r="C93" s="3185"/>
      <c r="D93" s="3186">
        <v>-109</v>
      </c>
      <c r="E93" s="3192" t="str">
        <f t="shared" si="4"/>
        <v>2---109</v>
      </c>
      <c r="F93" s="3186">
        <v>24.98</v>
      </c>
      <c r="G93" s="3193">
        <v>12.39</v>
      </c>
      <c r="H93" s="3185"/>
      <c r="I93" s="3185" t="s">
        <v>3487</v>
      </c>
      <c r="J93" s="3185">
        <v>224820</v>
      </c>
      <c r="K93" s="3185">
        <v>9000</v>
      </c>
      <c r="L93" s="3181">
        <v>224820</v>
      </c>
      <c r="M93" s="3181"/>
      <c r="N93" s="3180" t="s">
        <v>3486</v>
      </c>
      <c r="O93" s="3190">
        <f t="shared" si="6"/>
        <v>199840</v>
      </c>
    </row>
    <row r="94" spans="1:15" ht="24.95" customHeight="1">
      <c r="A94" s="3185">
        <v>93</v>
      </c>
      <c r="B94" s="3185">
        <v>2</v>
      </c>
      <c r="C94" s="3185"/>
      <c r="D94" s="3186">
        <v>-110</v>
      </c>
      <c r="E94" s="3192" t="str">
        <f t="shared" si="4"/>
        <v>2---110</v>
      </c>
      <c r="F94" s="3186">
        <v>22.3</v>
      </c>
      <c r="G94" s="3193">
        <v>11.06</v>
      </c>
      <c r="H94" s="3185"/>
      <c r="I94" s="3185" t="s">
        <v>3487</v>
      </c>
      <c r="J94" s="3185">
        <v>200700</v>
      </c>
      <c r="K94" s="3185">
        <v>9000</v>
      </c>
      <c r="L94" s="3181">
        <v>200700</v>
      </c>
      <c r="M94" s="3181"/>
      <c r="N94" s="3180" t="s">
        <v>3486</v>
      </c>
      <c r="O94" s="3190">
        <f t="shared" si="6"/>
        <v>178400</v>
      </c>
    </row>
    <row r="95" spans="1:15" ht="24.95" customHeight="1">
      <c r="A95" s="3185">
        <v>94</v>
      </c>
      <c r="B95" s="3185">
        <v>3</v>
      </c>
      <c r="C95" s="3185"/>
      <c r="D95" s="3186">
        <v>101</v>
      </c>
      <c r="E95" s="3176" t="str">
        <f t="shared" si="4"/>
        <v>3--101</v>
      </c>
      <c r="F95" s="3191">
        <v>114.93</v>
      </c>
      <c r="G95" s="3188">
        <v>93.55</v>
      </c>
      <c r="H95" s="3189" t="s">
        <v>3476</v>
      </c>
      <c r="I95" s="3189" t="s">
        <v>3470</v>
      </c>
      <c r="J95" s="3189">
        <v>3220530.53</v>
      </c>
      <c r="K95" s="3189">
        <v>28021.67</v>
      </c>
      <c r="L95" s="3181">
        <v>3220530</v>
      </c>
      <c r="M95" s="3181">
        <v>28021.67</v>
      </c>
      <c r="N95" s="3180" t="s">
        <v>3486</v>
      </c>
      <c r="O95" s="3190">
        <f>ROUND(L95*0.95,0)</f>
        <v>3059504</v>
      </c>
    </row>
    <row r="96" spans="1:15" ht="24.95" customHeight="1">
      <c r="A96" s="3185">
        <v>95</v>
      </c>
      <c r="B96" s="3185">
        <v>3</v>
      </c>
      <c r="C96" s="3185"/>
      <c r="D96" s="3186">
        <v>102</v>
      </c>
      <c r="E96" s="3176" t="str">
        <f t="shared" si="4"/>
        <v>3--102</v>
      </c>
      <c r="F96" s="3191">
        <v>131.5</v>
      </c>
      <c r="G96" s="3188">
        <v>107.04</v>
      </c>
      <c r="H96" s="3189" t="s">
        <v>3475</v>
      </c>
      <c r="I96" s="3189" t="s">
        <v>3470</v>
      </c>
      <c r="J96" s="3189">
        <v>3711149.61</v>
      </c>
      <c r="K96" s="3189">
        <v>28221.67</v>
      </c>
      <c r="L96" s="3181">
        <v>3711149</v>
      </c>
      <c r="M96" s="3181">
        <v>28221.67</v>
      </c>
      <c r="N96" s="3180" t="s">
        <v>3486</v>
      </c>
      <c r="O96" s="3190">
        <f>ROUND(L96*0.95,0)</f>
        <v>3525592</v>
      </c>
    </row>
    <row r="97" spans="1:15" ht="24.95" customHeight="1">
      <c r="A97" s="3185">
        <v>96</v>
      </c>
      <c r="B97" s="3185">
        <v>3</v>
      </c>
      <c r="C97" s="3185"/>
      <c r="D97" s="3186">
        <v>201</v>
      </c>
      <c r="E97" s="3176" t="str">
        <f t="shared" si="4"/>
        <v>3--201</v>
      </c>
      <c r="F97" s="3191">
        <v>114.93</v>
      </c>
      <c r="G97" s="3188">
        <v>93.55</v>
      </c>
      <c r="H97" s="3189" t="s">
        <v>3476</v>
      </c>
      <c r="I97" s="3189" t="s">
        <v>3470</v>
      </c>
      <c r="J97" s="3189">
        <v>3255009.53</v>
      </c>
      <c r="K97" s="3189">
        <v>28321.67</v>
      </c>
      <c r="L97" s="3181">
        <v>3255009</v>
      </c>
      <c r="M97" s="3181">
        <v>28321.67</v>
      </c>
      <c r="N97" s="3180" t="s">
        <v>3486</v>
      </c>
      <c r="O97" s="3190">
        <f>ROUND(L97*0.95,0)</f>
        <v>3092259</v>
      </c>
    </row>
    <row r="98" spans="1:15" ht="24.95" customHeight="1">
      <c r="A98" s="3185">
        <v>97</v>
      </c>
      <c r="B98" s="3185">
        <v>3</v>
      </c>
      <c r="C98" s="3185"/>
      <c r="D98" s="3186">
        <v>202</v>
      </c>
      <c r="E98" s="3176" t="str">
        <f t="shared" si="4"/>
        <v>3--202</v>
      </c>
      <c r="F98" s="3191">
        <v>131.5</v>
      </c>
      <c r="G98" s="3188">
        <v>107.04</v>
      </c>
      <c r="H98" s="3189" t="s">
        <v>3475</v>
      </c>
      <c r="I98" s="3189" t="s">
        <v>3470</v>
      </c>
      <c r="J98" s="3189">
        <v>3750599.61</v>
      </c>
      <c r="K98" s="3189">
        <v>28521.67</v>
      </c>
      <c r="L98" s="3181">
        <v>3750599</v>
      </c>
      <c r="M98" s="3181">
        <v>28521.67</v>
      </c>
      <c r="N98" s="3180" t="s">
        <v>3486</v>
      </c>
      <c r="O98" s="3190">
        <f>ROUND(L98*0.95,0)</f>
        <v>3563069</v>
      </c>
    </row>
    <row r="99" spans="1:15" ht="24.95" customHeight="1">
      <c r="A99" s="3185">
        <v>98</v>
      </c>
      <c r="B99" s="3185">
        <v>3</v>
      </c>
      <c r="C99" s="3185"/>
      <c r="D99" s="3186">
        <v>301</v>
      </c>
      <c r="E99" s="3176" t="str">
        <f t="shared" si="4"/>
        <v>3--301</v>
      </c>
      <c r="F99" s="3191">
        <v>114.93</v>
      </c>
      <c r="G99" s="3188">
        <v>93.55</v>
      </c>
      <c r="H99" s="3189" t="s">
        <v>3476</v>
      </c>
      <c r="I99" s="3189" t="s">
        <v>3470</v>
      </c>
      <c r="J99" s="3189">
        <v>3312474.53</v>
      </c>
      <c r="K99" s="3189">
        <v>28821.67</v>
      </c>
      <c r="L99" s="3181">
        <v>3312474</v>
      </c>
      <c r="M99" s="3181">
        <v>28821.67</v>
      </c>
      <c r="N99" s="3180" t="s">
        <v>3486</v>
      </c>
      <c r="O99" s="3190">
        <f>ROUND(L99*0.95,0)</f>
        <v>3146850</v>
      </c>
    </row>
    <row r="100" spans="1:15" ht="24.95" customHeight="1">
      <c r="A100" s="3185">
        <v>99</v>
      </c>
      <c r="B100" s="3185">
        <v>3</v>
      </c>
      <c r="C100" s="3185"/>
      <c r="D100" s="3186">
        <v>302</v>
      </c>
      <c r="E100" s="3176" t="str">
        <f t="shared" si="4"/>
        <v>3--302</v>
      </c>
      <c r="F100" s="3191">
        <v>131.5</v>
      </c>
      <c r="G100" s="3188">
        <v>107.04</v>
      </c>
      <c r="H100" s="3189" t="s">
        <v>3475</v>
      </c>
      <c r="I100" s="3189" t="s">
        <v>3470</v>
      </c>
      <c r="J100" s="3189">
        <v>3816349.61</v>
      </c>
      <c r="K100" s="3189">
        <v>29021.67</v>
      </c>
      <c r="L100" s="3181">
        <v>3816349</v>
      </c>
      <c r="M100" s="3181">
        <v>29021.67</v>
      </c>
      <c r="N100" s="3180" t="s">
        <v>3471</v>
      </c>
      <c r="O100" s="3190">
        <v>3587368</v>
      </c>
    </row>
    <row r="101" spans="1:15" ht="24.95" customHeight="1">
      <c r="A101" s="3185">
        <v>100</v>
      </c>
      <c r="B101" s="3185">
        <v>3</v>
      </c>
      <c r="C101" s="3185"/>
      <c r="D101" s="3186">
        <v>401</v>
      </c>
      <c r="E101" s="3176" t="str">
        <f t="shared" si="4"/>
        <v>3--401</v>
      </c>
      <c r="F101" s="3191">
        <v>114.93</v>
      </c>
      <c r="G101" s="3188">
        <v>93.55</v>
      </c>
      <c r="H101" s="3189" t="s">
        <v>3476</v>
      </c>
      <c r="I101" s="3189" t="s">
        <v>3470</v>
      </c>
      <c r="J101" s="3189">
        <v>3346953.53</v>
      </c>
      <c r="K101" s="3189">
        <v>29121.67</v>
      </c>
      <c r="L101" s="3181">
        <v>3346953</v>
      </c>
      <c r="M101" s="3181">
        <v>29121.67</v>
      </c>
      <c r="N101" s="3180" t="s">
        <v>3471</v>
      </c>
      <c r="O101" s="3190">
        <v>3182919</v>
      </c>
    </row>
    <row r="102" spans="1:15" ht="24.95" customHeight="1">
      <c r="A102" s="3185">
        <v>101</v>
      </c>
      <c r="B102" s="3185">
        <v>3</v>
      </c>
      <c r="C102" s="3185"/>
      <c r="D102" s="3186">
        <v>402</v>
      </c>
      <c r="E102" s="3176" t="str">
        <f t="shared" si="4"/>
        <v>3--402</v>
      </c>
      <c r="F102" s="3191">
        <v>131.5</v>
      </c>
      <c r="G102" s="3188">
        <v>107.04</v>
      </c>
      <c r="H102" s="3189" t="s">
        <v>3475</v>
      </c>
      <c r="I102" s="3189" t="s">
        <v>3470</v>
      </c>
      <c r="J102" s="3189">
        <v>3855799.61</v>
      </c>
      <c r="K102" s="3189">
        <v>29321.67</v>
      </c>
      <c r="L102" s="3181">
        <v>3855799</v>
      </c>
      <c r="M102" s="3181">
        <v>29321.67</v>
      </c>
      <c r="N102" s="3180" t="s">
        <v>3471</v>
      </c>
      <c r="O102" s="3190">
        <v>3666826</v>
      </c>
    </row>
    <row r="103" spans="1:15" ht="24.95" customHeight="1">
      <c r="A103" s="3185">
        <v>102</v>
      </c>
      <c r="B103" s="3185">
        <v>3</v>
      </c>
      <c r="C103" s="3185"/>
      <c r="D103" s="3186">
        <v>501</v>
      </c>
      <c r="E103" s="3176" t="str">
        <f t="shared" si="4"/>
        <v>3--501</v>
      </c>
      <c r="F103" s="3191">
        <v>114.93</v>
      </c>
      <c r="G103" s="3188">
        <v>93.55</v>
      </c>
      <c r="H103" s="3189" t="s">
        <v>3476</v>
      </c>
      <c r="I103" s="3189" t="s">
        <v>3470</v>
      </c>
      <c r="J103" s="3189">
        <v>3369939.53</v>
      </c>
      <c r="K103" s="3189">
        <v>29321.67</v>
      </c>
      <c r="L103" s="3181">
        <v>3369939</v>
      </c>
      <c r="M103" s="3181">
        <v>29321.67</v>
      </c>
      <c r="N103" s="3180" t="s">
        <v>3471</v>
      </c>
      <c r="O103" s="3190">
        <v>3204778</v>
      </c>
    </row>
    <row r="104" spans="1:15" ht="24.95" customHeight="1">
      <c r="A104" s="3185">
        <v>103</v>
      </c>
      <c r="B104" s="3185">
        <v>3</v>
      </c>
      <c r="C104" s="3185"/>
      <c r="D104" s="3186">
        <v>502</v>
      </c>
      <c r="E104" s="3176" t="str">
        <f t="shared" si="4"/>
        <v>3--502</v>
      </c>
      <c r="F104" s="3191">
        <v>131.5</v>
      </c>
      <c r="G104" s="3188">
        <v>107.04</v>
      </c>
      <c r="H104" s="3189" t="s">
        <v>3475</v>
      </c>
      <c r="I104" s="3189" t="s">
        <v>3470</v>
      </c>
      <c r="J104" s="3189">
        <v>3888674.61</v>
      </c>
      <c r="K104" s="3189">
        <v>29571.67</v>
      </c>
      <c r="L104" s="3181">
        <v>3888674</v>
      </c>
      <c r="M104" s="3181">
        <v>29571.67</v>
      </c>
      <c r="N104" s="3180" t="s">
        <v>3471</v>
      </c>
      <c r="O104" s="3190">
        <v>3661109</v>
      </c>
    </row>
    <row r="105" spans="1:15" ht="24.95" customHeight="1">
      <c r="A105" s="3185">
        <v>104</v>
      </c>
      <c r="B105" s="3185">
        <v>3</v>
      </c>
      <c r="C105" s="3185"/>
      <c r="D105" s="3186">
        <v>601</v>
      </c>
      <c r="E105" s="3176" t="str">
        <f t="shared" si="4"/>
        <v>3--601</v>
      </c>
      <c r="F105" s="3191">
        <v>114.93</v>
      </c>
      <c r="G105" s="3188">
        <v>93.55</v>
      </c>
      <c r="H105" s="3189" t="s">
        <v>3476</v>
      </c>
      <c r="I105" s="3189" t="s">
        <v>3470</v>
      </c>
      <c r="J105" s="3189">
        <v>3392925.53</v>
      </c>
      <c r="K105" s="3189">
        <v>29521.67</v>
      </c>
      <c r="L105" s="3181">
        <v>3392925</v>
      </c>
      <c r="M105" s="3181">
        <v>29521.67</v>
      </c>
      <c r="N105" s="3180" t="s">
        <v>3471</v>
      </c>
      <c r="O105" s="3190">
        <v>3226638</v>
      </c>
    </row>
    <row r="106" spans="1:15" ht="24.95" customHeight="1">
      <c r="A106" s="3185">
        <v>105</v>
      </c>
      <c r="B106" s="3185">
        <v>3</v>
      </c>
      <c r="C106" s="3185"/>
      <c r="D106" s="3186">
        <v>602</v>
      </c>
      <c r="E106" s="3176" t="str">
        <f t="shared" si="4"/>
        <v>3--602</v>
      </c>
      <c r="F106" s="3191">
        <v>131.5</v>
      </c>
      <c r="G106" s="3188">
        <v>107.04</v>
      </c>
      <c r="H106" s="3189" t="s">
        <v>3475</v>
      </c>
      <c r="I106" s="3189" t="s">
        <v>3470</v>
      </c>
      <c r="J106" s="3189">
        <v>3914974.61</v>
      </c>
      <c r="K106" s="3189">
        <v>29771.67</v>
      </c>
      <c r="L106" s="3181">
        <v>3914974</v>
      </c>
      <c r="M106" s="3181">
        <v>29771.67</v>
      </c>
      <c r="N106" s="3180" t="s">
        <v>3471</v>
      </c>
      <c r="O106" s="3190">
        <v>3723101</v>
      </c>
    </row>
    <row r="107" spans="1:15" ht="24.95" customHeight="1">
      <c r="A107" s="3185">
        <v>106</v>
      </c>
      <c r="B107" s="3185">
        <v>3</v>
      </c>
      <c r="C107" s="3185"/>
      <c r="D107" s="3186">
        <v>701</v>
      </c>
      <c r="E107" s="3176" t="str">
        <f t="shared" si="4"/>
        <v>3--701</v>
      </c>
      <c r="F107" s="3191">
        <v>114.93</v>
      </c>
      <c r="G107" s="3188">
        <v>93.55</v>
      </c>
      <c r="H107" s="3189" t="s">
        <v>3476</v>
      </c>
      <c r="I107" s="3189" t="s">
        <v>3470</v>
      </c>
      <c r="J107" s="3189">
        <v>3415911.53</v>
      </c>
      <c r="K107" s="3189">
        <v>29721.67</v>
      </c>
      <c r="L107" s="3181">
        <v>3415911</v>
      </c>
      <c r="M107" s="3181">
        <v>29721.67</v>
      </c>
      <c r="N107" s="3180" t="s">
        <v>3471</v>
      </c>
      <c r="O107" s="3190">
        <v>3216012</v>
      </c>
    </row>
    <row r="108" spans="1:15" ht="24.95" customHeight="1">
      <c r="A108" s="3185">
        <v>107</v>
      </c>
      <c r="B108" s="3185">
        <v>3</v>
      </c>
      <c r="C108" s="3185"/>
      <c r="D108" s="3186">
        <v>702</v>
      </c>
      <c r="E108" s="3176" t="str">
        <f t="shared" si="4"/>
        <v>3--702</v>
      </c>
      <c r="F108" s="3191">
        <v>131.5</v>
      </c>
      <c r="G108" s="3188">
        <v>107.04</v>
      </c>
      <c r="H108" s="3189" t="s">
        <v>3475</v>
      </c>
      <c r="I108" s="3189" t="s">
        <v>3470</v>
      </c>
      <c r="J108" s="3189">
        <v>3941274.61</v>
      </c>
      <c r="K108" s="3189">
        <v>29971.67</v>
      </c>
      <c r="L108" s="3181">
        <v>3941274</v>
      </c>
      <c r="M108" s="3181">
        <v>29971.67</v>
      </c>
      <c r="N108" s="3180" t="s">
        <v>3471</v>
      </c>
      <c r="O108" s="3190">
        <v>3747730</v>
      </c>
    </row>
    <row r="109" spans="1:15" ht="24.95" customHeight="1">
      <c r="A109" s="3185">
        <v>108</v>
      </c>
      <c r="B109" s="3185">
        <v>3</v>
      </c>
      <c r="C109" s="3185"/>
      <c r="D109" s="3186">
        <v>801</v>
      </c>
      <c r="E109" s="3176" t="str">
        <f t="shared" si="4"/>
        <v>3--801</v>
      </c>
      <c r="F109" s="3191">
        <v>114.93</v>
      </c>
      <c r="G109" s="3188">
        <v>93.55</v>
      </c>
      <c r="H109" s="3189" t="s">
        <v>3476</v>
      </c>
      <c r="I109" s="3189" t="s">
        <v>3470</v>
      </c>
      <c r="J109" s="3189">
        <v>3723732</v>
      </c>
      <c r="K109" s="3189">
        <v>32400</v>
      </c>
      <c r="L109" s="3181">
        <v>3723732</v>
      </c>
      <c r="M109" s="3181">
        <v>32400</v>
      </c>
      <c r="N109" s="3180" t="s">
        <v>3486</v>
      </c>
      <c r="O109" s="3190">
        <f>ROUND(L109*0.95,0)</f>
        <v>3537545</v>
      </c>
    </row>
    <row r="110" spans="1:15" ht="24.95" customHeight="1">
      <c r="A110" s="3185">
        <v>109</v>
      </c>
      <c r="B110" s="3185">
        <v>3</v>
      </c>
      <c r="C110" s="3185"/>
      <c r="D110" s="3186">
        <v>802</v>
      </c>
      <c r="E110" s="3176" t="str">
        <f t="shared" si="4"/>
        <v>3--802</v>
      </c>
      <c r="F110" s="3191">
        <v>131.5</v>
      </c>
      <c r="G110" s="3188">
        <v>107.04</v>
      </c>
      <c r="H110" s="3189" t="s">
        <v>3475</v>
      </c>
      <c r="I110" s="3189" t="s">
        <v>3470</v>
      </c>
      <c r="J110" s="3189">
        <v>4260600</v>
      </c>
      <c r="K110" s="3189">
        <v>32400</v>
      </c>
      <c r="L110" s="3181">
        <v>4260600</v>
      </c>
      <c r="M110" s="3181">
        <v>32400</v>
      </c>
      <c r="N110" s="3180" t="s">
        <v>3471</v>
      </c>
      <c r="O110" s="3190">
        <v>4260600</v>
      </c>
    </row>
    <row r="111" spans="1:15" ht="24.95" customHeight="1">
      <c r="A111" s="3185">
        <v>110</v>
      </c>
      <c r="B111" s="3185">
        <v>3</v>
      </c>
      <c r="C111" s="3185"/>
      <c r="D111" s="3186">
        <v>-101</v>
      </c>
      <c r="E111" s="3192" t="str">
        <f t="shared" si="4"/>
        <v>3---101</v>
      </c>
      <c r="F111" s="3186">
        <v>16.05</v>
      </c>
      <c r="G111" s="3193">
        <v>8.4499999999999993</v>
      </c>
      <c r="H111" s="3185"/>
      <c r="I111" s="3185" t="s">
        <v>3487</v>
      </c>
      <c r="J111" s="3185">
        <v>144450</v>
      </c>
      <c r="K111" s="3185">
        <v>9000</v>
      </c>
      <c r="L111" s="3181">
        <v>144450</v>
      </c>
      <c r="M111" s="3181"/>
      <c r="N111" s="3180" t="s">
        <v>3486</v>
      </c>
      <c r="O111" s="3190">
        <f t="shared" ref="O111:O122" si="7">F111*8000</f>
        <v>128400</v>
      </c>
    </row>
    <row r="112" spans="1:15" ht="24.95" customHeight="1">
      <c r="A112" s="3185">
        <v>111</v>
      </c>
      <c r="B112" s="3185">
        <v>3</v>
      </c>
      <c r="C112" s="3185"/>
      <c r="D112" s="3186">
        <v>-102</v>
      </c>
      <c r="E112" s="3192" t="str">
        <f t="shared" si="4"/>
        <v>3---102</v>
      </c>
      <c r="F112" s="3186">
        <v>12.8</v>
      </c>
      <c r="G112" s="3193">
        <v>6.74</v>
      </c>
      <c r="H112" s="3185"/>
      <c r="I112" s="3185" t="s">
        <v>3487</v>
      </c>
      <c r="J112" s="3185">
        <v>115200</v>
      </c>
      <c r="K112" s="3185">
        <v>9000</v>
      </c>
      <c r="L112" s="3181">
        <v>115200</v>
      </c>
      <c r="M112" s="3181"/>
      <c r="N112" s="3180" t="s">
        <v>3486</v>
      </c>
      <c r="O112" s="3190">
        <f t="shared" si="7"/>
        <v>102400</v>
      </c>
    </row>
    <row r="113" spans="1:15" ht="24.95" customHeight="1">
      <c r="A113" s="3185">
        <v>112</v>
      </c>
      <c r="B113" s="3185">
        <v>3</v>
      </c>
      <c r="C113" s="3185"/>
      <c r="D113" s="3186">
        <v>-103</v>
      </c>
      <c r="E113" s="3192" t="str">
        <f t="shared" si="4"/>
        <v>3---103</v>
      </c>
      <c r="F113" s="3186">
        <v>32.409999999999997</v>
      </c>
      <c r="G113" s="3193">
        <v>17.059999999999999</v>
      </c>
      <c r="H113" s="3185"/>
      <c r="I113" s="3185" t="s">
        <v>3487</v>
      </c>
      <c r="J113" s="3185">
        <v>291690</v>
      </c>
      <c r="K113" s="3185">
        <v>9000</v>
      </c>
      <c r="L113" s="3181">
        <v>291690</v>
      </c>
      <c r="M113" s="3181"/>
      <c r="N113" s="3180" t="s">
        <v>3486</v>
      </c>
      <c r="O113" s="3190">
        <f t="shared" si="7"/>
        <v>259279.99999999997</v>
      </c>
    </row>
    <row r="114" spans="1:15" ht="24.95" customHeight="1">
      <c r="A114" s="3185">
        <v>113</v>
      </c>
      <c r="B114" s="3185">
        <v>3</v>
      </c>
      <c r="C114" s="3185"/>
      <c r="D114" s="3186">
        <v>-104</v>
      </c>
      <c r="E114" s="3192" t="str">
        <f t="shared" si="4"/>
        <v>3---104</v>
      </c>
      <c r="F114" s="3186">
        <v>10.45</v>
      </c>
      <c r="G114" s="3193">
        <v>5.5</v>
      </c>
      <c r="H114" s="3185"/>
      <c r="I114" s="3185" t="s">
        <v>3487</v>
      </c>
      <c r="J114" s="3185">
        <v>94050</v>
      </c>
      <c r="K114" s="3185">
        <v>9000</v>
      </c>
      <c r="L114" s="3181">
        <v>94050</v>
      </c>
      <c r="M114" s="3181"/>
      <c r="N114" s="3180" t="s">
        <v>3486</v>
      </c>
      <c r="O114" s="3190">
        <f t="shared" si="7"/>
        <v>83600</v>
      </c>
    </row>
    <row r="115" spans="1:15" ht="24.95" customHeight="1">
      <c r="A115" s="3185">
        <v>114</v>
      </c>
      <c r="B115" s="3185">
        <v>3</v>
      </c>
      <c r="C115" s="3185"/>
      <c r="D115" s="3186">
        <v>-105</v>
      </c>
      <c r="E115" s="3192" t="str">
        <f t="shared" si="4"/>
        <v>3---105</v>
      </c>
      <c r="F115" s="3186">
        <v>13.79</v>
      </c>
      <c r="G115" s="3193">
        <v>7.26</v>
      </c>
      <c r="H115" s="3185"/>
      <c r="I115" s="3185" t="s">
        <v>3487</v>
      </c>
      <c r="J115" s="3185">
        <v>124110</v>
      </c>
      <c r="K115" s="3185">
        <v>9000</v>
      </c>
      <c r="L115" s="3181">
        <v>124110</v>
      </c>
      <c r="M115" s="3181"/>
      <c r="N115" s="3180" t="s">
        <v>3486</v>
      </c>
      <c r="O115" s="3190">
        <f t="shared" si="7"/>
        <v>110320</v>
      </c>
    </row>
    <row r="116" spans="1:15" ht="24.95" customHeight="1">
      <c r="A116" s="3185">
        <v>115</v>
      </c>
      <c r="B116" s="3185">
        <v>3</v>
      </c>
      <c r="C116" s="3185"/>
      <c r="D116" s="3186">
        <v>-106</v>
      </c>
      <c r="E116" s="3192" t="str">
        <f t="shared" si="4"/>
        <v>3---106</v>
      </c>
      <c r="F116" s="3186">
        <v>25.29</v>
      </c>
      <c r="G116" s="3193">
        <v>13.31</v>
      </c>
      <c r="H116" s="3185"/>
      <c r="I116" s="3185" t="s">
        <v>3487</v>
      </c>
      <c r="J116" s="3185">
        <v>227610</v>
      </c>
      <c r="K116" s="3185">
        <v>9000</v>
      </c>
      <c r="L116" s="3181">
        <v>227610</v>
      </c>
      <c r="M116" s="3181"/>
      <c r="N116" s="3180" t="s">
        <v>3486</v>
      </c>
      <c r="O116" s="3190">
        <f t="shared" si="7"/>
        <v>202320</v>
      </c>
    </row>
    <row r="117" spans="1:15" ht="24.95" customHeight="1">
      <c r="A117" s="3185">
        <v>116</v>
      </c>
      <c r="B117" s="3185">
        <v>3</v>
      </c>
      <c r="C117" s="3185"/>
      <c r="D117" s="3186">
        <v>-107</v>
      </c>
      <c r="E117" s="3192" t="str">
        <f t="shared" si="4"/>
        <v>3---107</v>
      </c>
      <c r="F117" s="3186">
        <v>27.41</v>
      </c>
      <c r="G117" s="3193">
        <v>14.43</v>
      </c>
      <c r="H117" s="3185"/>
      <c r="I117" s="3185" t="s">
        <v>3487</v>
      </c>
      <c r="J117" s="3185">
        <v>246690</v>
      </c>
      <c r="K117" s="3185">
        <v>9000</v>
      </c>
      <c r="L117" s="3181">
        <v>246690</v>
      </c>
      <c r="M117" s="3181"/>
      <c r="N117" s="3180" t="s">
        <v>3486</v>
      </c>
      <c r="O117" s="3190">
        <f t="shared" si="7"/>
        <v>219280</v>
      </c>
    </row>
    <row r="118" spans="1:15" ht="24.95" customHeight="1">
      <c r="A118" s="3185">
        <v>117</v>
      </c>
      <c r="B118" s="3185">
        <v>3</v>
      </c>
      <c r="C118" s="3185"/>
      <c r="D118" s="3186">
        <v>-108</v>
      </c>
      <c r="E118" s="3192" t="str">
        <f t="shared" si="4"/>
        <v>3---108</v>
      </c>
      <c r="F118" s="3186">
        <v>16.22</v>
      </c>
      <c r="G118" s="3193">
        <v>8.5399999999999991</v>
      </c>
      <c r="H118" s="3185"/>
      <c r="I118" s="3185" t="s">
        <v>3487</v>
      </c>
      <c r="J118" s="3185">
        <v>145980</v>
      </c>
      <c r="K118" s="3185">
        <v>9000</v>
      </c>
      <c r="L118" s="3181">
        <v>145980</v>
      </c>
      <c r="M118" s="3181"/>
      <c r="N118" s="3180" t="s">
        <v>3486</v>
      </c>
      <c r="O118" s="3190">
        <f t="shared" si="7"/>
        <v>129759.99999999999</v>
      </c>
    </row>
    <row r="119" spans="1:15" ht="24.95" customHeight="1">
      <c r="A119" s="3185">
        <v>118</v>
      </c>
      <c r="B119" s="3185">
        <v>3</v>
      </c>
      <c r="C119" s="3185"/>
      <c r="D119" s="3186">
        <v>-109</v>
      </c>
      <c r="E119" s="3192" t="str">
        <f t="shared" si="4"/>
        <v>3---109</v>
      </c>
      <c r="F119" s="3186">
        <v>16.149999999999999</v>
      </c>
      <c r="G119" s="3193">
        <v>8.5</v>
      </c>
      <c r="H119" s="3185"/>
      <c r="I119" s="3185" t="s">
        <v>3487</v>
      </c>
      <c r="J119" s="3185">
        <v>145350</v>
      </c>
      <c r="K119" s="3185">
        <v>9000</v>
      </c>
      <c r="L119" s="3181">
        <v>145350</v>
      </c>
      <c r="M119" s="3181"/>
      <c r="N119" s="3180" t="s">
        <v>3486</v>
      </c>
      <c r="O119" s="3190">
        <f t="shared" si="7"/>
        <v>129199.99999999999</v>
      </c>
    </row>
    <row r="120" spans="1:15" ht="24.95" customHeight="1">
      <c r="A120" s="3185">
        <v>119</v>
      </c>
      <c r="B120" s="3185">
        <v>3</v>
      </c>
      <c r="C120" s="3185"/>
      <c r="D120" s="3186">
        <v>-110</v>
      </c>
      <c r="E120" s="3192" t="str">
        <f t="shared" si="4"/>
        <v>3---110</v>
      </c>
      <c r="F120" s="3186">
        <v>38.36</v>
      </c>
      <c r="G120" s="3193">
        <v>20.190000000000001</v>
      </c>
      <c r="H120" s="3185"/>
      <c r="I120" s="3185" t="s">
        <v>3487</v>
      </c>
      <c r="J120" s="3185">
        <v>345240</v>
      </c>
      <c r="K120" s="3185">
        <v>9000</v>
      </c>
      <c r="L120" s="3181">
        <v>345240</v>
      </c>
      <c r="M120" s="3181"/>
      <c r="N120" s="3180" t="s">
        <v>3486</v>
      </c>
      <c r="O120" s="3190">
        <f t="shared" si="7"/>
        <v>306880</v>
      </c>
    </row>
    <row r="121" spans="1:15" ht="24.95" customHeight="1">
      <c r="A121" s="3185">
        <v>120</v>
      </c>
      <c r="B121" s="3185">
        <v>3</v>
      </c>
      <c r="C121" s="3185"/>
      <c r="D121" s="3186">
        <v>-111</v>
      </c>
      <c r="E121" s="3192" t="str">
        <f t="shared" si="4"/>
        <v>3---111</v>
      </c>
      <c r="F121" s="3186">
        <v>12.6</v>
      </c>
      <c r="G121" s="3193">
        <v>6.63</v>
      </c>
      <c r="H121" s="3185"/>
      <c r="I121" s="3185" t="s">
        <v>3487</v>
      </c>
      <c r="J121" s="3185">
        <v>113400</v>
      </c>
      <c r="K121" s="3185">
        <v>9000</v>
      </c>
      <c r="L121" s="3181">
        <v>113400</v>
      </c>
      <c r="M121" s="3181"/>
      <c r="N121" s="3180" t="s">
        <v>3486</v>
      </c>
      <c r="O121" s="3190">
        <f t="shared" si="7"/>
        <v>100800</v>
      </c>
    </row>
    <row r="122" spans="1:15" ht="24.95" customHeight="1">
      <c r="A122" s="3185">
        <v>121</v>
      </c>
      <c r="B122" s="3185">
        <v>3</v>
      </c>
      <c r="C122" s="3185"/>
      <c r="D122" s="3186">
        <v>-112</v>
      </c>
      <c r="E122" s="3192" t="str">
        <f t="shared" si="4"/>
        <v>3---112</v>
      </c>
      <c r="F122" s="3186">
        <v>16.239999999999998</v>
      </c>
      <c r="G122" s="3193">
        <v>8.5500000000000007</v>
      </c>
      <c r="H122" s="3185"/>
      <c r="I122" s="3185" t="s">
        <v>3487</v>
      </c>
      <c r="J122" s="3185">
        <v>146160</v>
      </c>
      <c r="K122" s="3185">
        <v>9000</v>
      </c>
      <c r="L122" s="3181">
        <v>146160</v>
      </c>
      <c r="M122" s="3181"/>
      <c r="N122" s="3180" t="s">
        <v>3486</v>
      </c>
      <c r="O122" s="3190">
        <f t="shared" si="7"/>
        <v>129919.99999999999</v>
      </c>
    </row>
    <row r="123" spans="1:15" ht="24.95" customHeight="1">
      <c r="A123" s="3185">
        <v>122</v>
      </c>
      <c r="B123" s="3185">
        <v>4</v>
      </c>
      <c r="C123" s="3185">
        <v>1</v>
      </c>
      <c r="D123" s="3186">
        <v>101</v>
      </c>
      <c r="E123" s="3176" t="str">
        <f t="shared" si="4"/>
        <v>4-1-101</v>
      </c>
      <c r="F123" s="3191">
        <v>114.31</v>
      </c>
      <c r="G123" s="3188">
        <v>93.55</v>
      </c>
      <c r="H123" s="3189" t="s">
        <v>3476</v>
      </c>
      <c r="I123" s="3189" t="s">
        <v>3470</v>
      </c>
      <c r="J123" s="3189">
        <v>3294605.1</v>
      </c>
      <c r="K123" s="3189">
        <v>28821.67</v>
      </c>
      <c r="L123" s="3181">
        <v>3294605</v>
      </c>
      <c r="M123" s="3181">
        <v>28821.67</v>
      </c>
      <c r="N123" s="3180" t="s">
        <v>3486</v>
      </c>
      <c r="O123" s="3190">
        <f t="shared" ref="O123:O128" si="8">ROUND(L123*0.95,0)</f>
        <v>3129875</v>
      </c>
    </row>
    <row r="124" spans="1:15" ht="24.95" customHeight="1">
      <c r="A124" s="3185">
        <v>123</v>
      </c>
      <c r="B124" s="3185">
        <v>4</v>
      </c>
      <c r="C124" s="3185">
        <v>1</v>
      </c>
      <c r="D124" s="3186">
        <v>102</v>
      </c>
      <c r="E124" s="3176" t="str">
        <f t="shared" si="4"/>
        <v>4-1-102</v>
      </c>
      <c r="F124" s="3191">
        <v>110.18</v>
      </c>
      <c r="G124" s="3188">
        <v>90.17</v>
      </c>
      <c r="H124" s="3189" t="s">
        <v>3469</v>
      </c>
      <c r="I124" s="3189" t="s">
        <v>3470</v>
      </c>
      <c r="J124" s="3189">
        <v>3148026.6</v>
      </c>
      <c r="K124" s="3189">
        <v>28571.67</v>
      </c>
      <c r="L124" s="3181">
        <v>3148026</v>
      </c>
      <c r="M124" s="3181">
        <v>28571.66</v>
      </c>
      <c r="N124" s="3180" t="s">
        <v>3486</v>
      </c>
      <c r="O124" s="3190">
        <f t="shared" si="8"/>
        <v>2990625</v>
      </c>
    </row>
    <row r="125" spans="1:15" ht="24.95" customHeight="1">
      <c r="A125" s="3185">
        <v>124</v>
      </c>
      <c r="B125" s="3185">
        <v>4</v>
      </c>
      <c r="C125" s="3185">
        <v>1</v>
      </c>
      <c r="D125" s="3186">
        <v>201</v>
      </c>
      <c r="E125" s="3176" t="str">
        <f t="shared" si="4"/>
        <v>4-1-201</v>
      </c>
      <c r="F125" s="3191">
        <v>114.31</v>
      </c>
      <c r="G125" s="3188">
        <v>93.55</v>
      </c>
      <c r="H125" s="3189" t="s">
        <v>3476</v>
      </c>
      <c r="I125" s="3189" t="s">
        <v>3470</v>
      </c>
      <c r="J125" s="3189">
        <v>3328898.1</v>
      </c>
      <c r="K125" s="3189">
        <v>29121.67</v>
      </c>
      <c r="L125" s="3181">
        <v>3328898</v>
      </c>
      <c r="M125" s="3181">
        <v>29121.67</v>
      </c>
      <c r="N125" s="3180" t="s">
        <v>3486</v>
      </c>
      <c r="O125" s="3190">
        <f t="shared" si="8"/>
        <v>3162453</v>
      </c>
    </row>
    <row r="126" spans="1:15" ht="24.95" customHeight="1">
      <c r="A126" s="3185">
        <v>125</v>
      </c>
      <c r="B126" s="3185">
        <v>4</v>
      </c>
      <c r="C126" s="3185">
        <v>1</v>
      </c>
      <c r="D126" s="3186">
        <v>202</v>
      </c>
      <c r="E126" s="3176" t="str">
        <f t="shared" si="4"/>
        <v>4-1-202</v>
      </c>
      <c r="F126" s="3191">
        <v>110.18</v>
      </c>
      <c r="G126" s="3188">
        <v>90.17</v>
      </c>
      <c r="H126" s="3189" t="s">
        <v>3469</v>
      </c>
      <c r="I126" s="3189" t="s">
        <v>3470</v>
      </c>
      <c r="J126" s="3189">
        <v>3181080.6</v>
      </c>
      <c r="K126" s="3189">
        <v>28871.67</v>
      </c>
      <c r="L126" s="3181">
        <v>3181080</v>
      </c>
      <c r="M126" s="3181">
        <v>28871.66</v>
      </c>
      <c r="N126" s="3180" t="s">
        <v>3486</v>
      </c>
      <c r="O126" s="3190">
        <f t="shared" si="8"/>
        <v>3022026</v>
      </c>
    </row>
    <row r="127" spans="1:15" ht="24.95" customHeight="1">
      <c r="A127" s="3185">
        <v>126</v>
      </c>
      <c r="B127" s="3185">
        <v>4</v>
      </c>
      <c r="C127" s="3185">
        <v>1</v>
      </c>
      <c r="D127" s="3186">
        <v>301</v>
      </c>
      <c r="E127" s="3176" t="str">
        <f t="shared" si="4"/>
        <v>4-1-301</v>
      </c>
      <c r="F127" s="3191">
        <v>114.31</v>
      </c>
      <c r="G127" s="3188">
        <v>93.55</v>
      </c>
      <c r="H127" s="3189" t="s">
        <v>3476</v>
      </c>
      <c r="I127" s="3189" t="s">
        <v>3470</v>
      </c>
      <c r="J127" s="3189">
        <v>3386053.1</v>
      </c>
      <c r="K127" s="3189">
        <v>29621.67</v>
      </c>
      <c r="L127" s="3181">
        <v>3386053</v>
      </c>
      <c r="M127" s="3181">
        <v>29621.67</v>
      </c>
      <c r="N127" s="3180" t="s">
        <v>3486</v>
      </c>
      <c r="O127" s="3190">
        <f t="shared" si="8"/>
        <v>3216750</v>
      </c>
    </row>
    <row r="128" spans="1:15" ht="24.95" customHeight="1">
      <c r="A128" s="3185">
        <v>127</v>
      </c>
      <c r="B128" s="3185">
        <v>4</v>
      </c>
      <c r="C128" s="3185">
        <v>1</v>
      </c>
      <c r="D128" s="3186">
        <v>302</v>
      </c>
      <c r="E128" s="3176" t="str">
        <f t="shared" si="4"/>
        <v>4-1-302</v>
      </c>
      <c r="F128" s="3191">
        <v>110.18</v>
      </c>
      <c r="G128" s="3188">
        <v>90.17</v>
      </c>
      <c r="H128" s="3189" t="s">
        <v>3469</v>
      </c>
      <c r="I128" s="3189" t="s">
        <v>3470</v>
      </c>
      <c r="J128" s="3189">
        <v>3236170.6</v>
      </c>
      <c r="K128" s="3189">
        <v>29371.67</v>
      </c>
      <c r="L128" s="3181">
        <v>3236170</v>
      </c>
      <c r="M128" s="3181">
        <v>29371.66</v>
      </c>
      <c r="N128" s="3180" t="s">
        <v>3486</v>
      </c>
      <c r="O128" s="3190">
        <f t="shared" si="8"/>
        <v>3074362</v>
      </c>
    </row>
    <row r="129" spans="1:15" ht="24.95" customHeight="1">
      <c r="A129" s="3185">
        <v>128</v>
      </c>
      <c r="B129" s="3185">
        <v>4</v>
      </c>
      <c r="C129" s="3185">
        <v>1</v>
      </c>
      <c r="D129" s="3186">
        <v>401</v>
      </c>
      <c r="E129" s="3176" t="str">
        <f t="shared" si="4"/>
        <v>4-1-401</v>
      </c>
      <c r="F129" s="3191">
        <v>114.31</v>
      </c>
      <c r="G129" s="3188">
        <v>93.55</v>
      </c>
      <c r="H129" s="3189" t="s">
        <v>3476</v>
      </c>
      <c r="I129" s="3189" t="s">
        <v>3470</v>
      </c>
      <c r="J129" s="3189">
        <v>3420346.1</v>
      </c>
      <c r="K129" s="3189">
        <v>29921.67</v>
      </c>
      <c r="L129" s="3181">
        <v>3420346</v>
      </c>
      <c r="M129" s="3181">
        <v>29921.67</v>
      </c>
      <c r="N129" s="3180" t="s">
        <v>3471</v>
      </c>
      <c r="O129" s="3190">
        <v>3220188</v>
      </c>
    </row>
    <row r="130" spans="1:15" ht="24.95" customHeight="1">
      <c r="A130" s="3185">
        <v>129</v>
      </c>
      <c r="B130" s="3185">
        <v>4</v>
      </c>
      <c r="C130" s="3185">
        <v>1</v>
      </c>
      <c r="D130" s="3186">
        <v>402</v>
      </c>
      <c r="E130" s="3176" t="str">
        <f t="shared" ref="E130:E193" si="9">CONCATENATE(B130,"-",C130,"-",D130)</f>
        <v>4-1-402</v>
      </c>
      <c r="F130" s="3191">
        <v>110.18</v>
      </c>
      <c r="G130" s="3188">
        <v>90.17</v>
      </c>
      <c r="H130" s="3189" t="s">
        <v>3469</v>
      </c>
      <c r="I130" s="3189" t="s">
        <v>3470</v>
      </c>
      <c r="J130" s="3189">
        <v>3269224.6</v>
      </c>
      <c r="K130" s="3189">
        <v>29671.67</v>
      </c>
      <c r="L130" s="3181">
        <v>3269224</v>
      </c>
      <c r="M130" s="3181">
        <v>29671.66</v>
      </c>
      <c r="N130" s="3180" t="s">
        <v>3471</v>
      </c>
      <c r="O130" s="3190">
        <v>3108999</v>
      </c>
    </row>
    <row r="131" spans="1:15" ht="24.95" customHeight="1">
      <c r="A131" s="3185">
        <v>130</v>
      </c>
      <c r="B131" s="3185">
        <v>4</v>
      </c>
      <c r="C131" s="3185">
        <v>1</v>
      </c>
      <c r="D131" s="3186">
        <v>501</v>
      </c>
      <c r="E131" s="3176" t="str">
        <f t="shared" si="9"/>
        <v>4-1-501</v>
      </c>
      <c r="F131" s="3191">
        <v>114.31</v>
      </c>
      <c r="G131" s="3188">
        <v>93.55</v>
      </c>
      <c r="H131" s="3189" t="s">
        <v>3476</v>
      </c>
      <c r="I131" s="3189" t="s">
        <v>3470</v>
      </c>
      <c r="J131" s="3189">
        <v>3443208.1</v>
      </c>
      <c r="K131" s="3189">
        <v>30121.67</v>
      </c>
      <c r="L131" s="3181">
        <v>3443208</v>
      </c>
      <c r="M131" s="3181">
        <v>30121.67</v>
      </c>
      <c r="N131" s="3180" t="s">
        <v>3471</v>
      </c>
      <c r="O131" s="3190">
        <v>3274457</v>
      </c>
    </row>
    <row r="132" spans="1:15" ht="24.95" customHeight="1">
      <c r="A132" s="3185">
        <v>131</v>
      </c>
      <c r="B132" s="3185">
        <v>4</v>
      </c>
      <c r="C132" s="3185">
        <v>1</v>
      </c>
      <c r="D132" s="3186">
        <v>502</v>
      </c>
      <c r="E132" s="3176" t="str">
        <f t="shared" si="9"/>
        <v>4-1-502</v>
      </c>
      <c r="F132" s="3191">
        <v>110.18</v>
      </c>
      <c r="G132" s="3188">
        <v>90.17</v>
      </c>
      <c r="H132" s="3189" t="s">
        <v>3469</v>
      </c>
      <c r="I132" s="3189" t="s">
        <v>3470</v>
      </c>
      <c r="J132" s="3189">
        <v>3291260.6</v>
      </c>
      <c r="K132" s="3189">
        <v>29871.67</v>
      </c>
      <c r="L132" s="3181">
        <v>3291260</v>
      </c>
      <c r="M132" s="3181">
        <v>29871.66</v>
      </c>
      <c r="N132" s="3180" t="s">
        <v>3471</v>
      </c>
      <c r="O132" s="3190">
        <v>3098340</v>
      </c>
    </row>
    <row r="133" spans="1:15" ht="24.95" customHeight="1">
      <c r="A133" s="3185">
        <v>132</v>
      </c>
      <c r="B133" s="3185">
        <v>4</v>
      </c>
      <c r="C133" s="3185">
        <v>1</v>
      </c>
      <c r="D133" s="3186">
        <v>601</v>
      </c>
      <c r="E133" s="3176" t="str">
        <f t="shared" si="9"/>
        <v>4-1-601</v>
      </c>
      <c r="F133" s="3191">
        <v>114.31</v>
      </c>
      <c r="G133" s="3188">
        <v>93.55</v>
      </c>
      <c r="H133" s="3189" t="s">
        <v>3476</v>
      </c>
      <c r="I133" s="3189" t="s">
        <v>3470</v>
      </c>
      <c r="J133" s="3189">
        <v>3466070.1</v>
      </c>
      <c r="K133" s="3189">
        <v>30321.67</v>
      </c>
      <c r="L133" s="3181">
        <v>3466070</v>
      </c>
      <c r="M133" s="3181">
        <v>30321.67</v>
      </c>
      <c r="N133" s="3180" t="s">
        <v>3471</v>
      </c>
      <c r="O133" s="3190">
        <v>3296198</v>
      </c>
    </row>
    <row r="134" spans="1:15" ht="24.95" customHeight="1">
      <c r="A134" s="3185">
        <v>133</v>
      </c>
      <c r="B134" s="3185">
        <v>4</v>
      </c>
      <c r="C134" s="3185">
        <v>1</v>
      </c>
      <c r="D134" s="3186">
        <v>602</v>
      </c>
      <c r="E134" s="3176" t="str">
        <f t="shared" si="9"/>
        <v>4-1-602</v>
      </c>
      <c r="F134" s="3191">
        <v>110.18</v>
      </c>
      <c r="G134" s="3188">
        <v>90.17</v>
      </c>
      <c r="H134" s="3189" t="s">
        <v>3469</v>
      </c>
      <c r="I134" s="3189" t="s">
        <v>3470</v>
      </c>
      <c r="J134" s="3189">
        <v>3313296.6</v>
      </c>
      <c r="K134" s="3189">
        <v>30071.67</v>
      </c>
      <c r="L134" s="3181">
        <v>3313296</v>
      </c>
      <c r="M134" s="3181">
        <v>30071.66</v>
      </c>
      <c r="N134" s="3180" t="s">
        <v>3471</v>
      </c>
      <c r="O134" s="3190">
        <v>3150912</v>
      </c>
    </row>
    <row r="135" spans="1:15" ht="24.95" customHeight="1">
      <c r="A135" s="3185">
        <v>134</v>
      </c>
      <c r="B135" s="3185">
        <v>4</v>
      </c>
      <c r="C135" s="3185">
        <v>1</v>
      </c>
      <c r="D135" s="3186">
        <v>701</v>
      </c>
      <c r="E135" s="3176" t="str">
        <f t="shared" si="9"/>
        <v>4-1-701</v>
      </c>
      <c r="F135" s="3191">
        <v>114.31</v>
      </c>
      <c r="G135" s="3188">
        <v>93.55</v>
      </c>
      <c r="H135" s="3189" t="s">
        <v>3476</v>
      </c>
      <c r="I135" s="3189" t="s">
        <v>3470</v>
      </c>
      <c r="J135" s="3189">
        <v>3488932.1</v>
      </c>
      <c r="K135" s="3189">
        <v>30521.67</v>
      </c>
      <c r="L135" s="3181">
        <v>3488932</v>
      </c>
      <c r="M135" s="3181">
        <v>30521.67</v>
      </c>
      <c r="N135" s="3180" t="s">
        <v>3471</v>
      </c>
      <c r="O135" s="3190">
        <v>3284760</v>
      </c>
    </row>
    <row r="136" spans="1:15" ht="24.95" customHeight="1">
      <c r="A136" s="3185">
        <v>135</v>
      </c>
      <c r="B136" s="3185">
        <v>4</v>
      </c>
      <c r="C136" s="3185">
        <v>1</v>
      </c>
      <c r="D136" s="3186">
        <v>702</v>
      </c>
      <c r="E136" s="3176" t="str">
        <f t="shared" si="9"/>
        <v>4-1-702</v>
      </c>
      <c r="F136" s="3191">
        <v>110.18</v>
      </c>
      <c r="G136" s="3188">
        <v>90.17</v>
      </c>
      <c r="H136" s="3189" t="s">
        <v>3469</v>
      </c>
      <c r="I136" s="3189" t="s">
        <v>3470</v>
      </c>
      <c r="J136" s="3189">
        <v>3335332.6</v>
      </c>
      <c r="K136" s="3189">
        <v>30271.67</v>
      </c>
      <c r="L136" s="3181">
        <v>3335332</v>
      </c>
      <c r="M136" s="3181">
        <v>30271.66</v>
      </c>
      <c r="N136" s="3180" t="s">
        <v>3471</v>
      </c>
      <c r="O136" s="3190">
        <v>3171544</v>
      </c>
    </row>
    <row r="137" spans="1:15" ht="24.95" customHeight="1">
      <c r="A137" s="3185">
        <v>136</v>
      </c>
      <c r="B137" s="3185">
        <v>4</v>
      </c>
      <c r="C137" s="3185">
        <v>1</v>
      </c>
      <c r="D137" s="3186">
        <v>801</v>
      </c>
      <c r="E137" s="3176" t="str">
        <f t="shared" si="9"/>
        <v>4-1-801</v>
      </c>
      <c r="F137" s="3191">
        <v>114.31</v>
      </c>
      <c r="G137" s="3188">
        <v>93.55</v>
      </c>
      <c r="H137" s="3189" t="s">
        <v>3476</v>
      </c>
      <c r="I137" s="3189" t="s">
        <v>3470</v>
      </c>
      <c r="J137" s="3189">
        <v>3703644</v>
      </c>
      <c r="K137" s="3189">
        <v>32400</v>
      </c>
      <c r="L137" s="3181">
        <v>3703644</v>
      </c>
      <c r="M137" s="3181">
        <v>32400</v>
      </c>
      <c r="N137" s="3180" t="s">
        <v>3486</v>
      </c>
      <c r="O137" s="3190">
        <f>ROUND(L137*0.95,0)</f>
        <v>3518462</v>
      </c>
    </row>
    <row r="138" spans="1:15" ht="24.95" customHeight="1">
      <c r="A138" s="3185">
        <v>137</v>
      </c>
      <c r="B138" s="3185">
        <v>4</v>
      </c>
      <c r="C138" s="3185">
        <v>1</v>
      </c>
      <c r="D138" s="3186">
        <v>802</v>
      </c>
      <c r="E138" s="3176" t="str">
        <f t="shared" si="9"/>
        <v>4-1-802</v>
      </c>
      <c r="F138" s="3191">
        <v>110.18</v>
      </c>
      <c r="G138" s="3188">
        <v>90.17</v>
      </c>
      <c r="H138" s="3189" t="s">
        <v>3469</v>
      </c>
      <c r="I138" s="3189" t="s">
        <v>3470</v>
      </c>
      <c r="J138" s="3189">
        <v>3569832</v>
      </c>
      <c r="K138" s="3189">
        <v>32400</v>
      </c>
      <c r="L138" s="3181">
        <v>3569832</v>
      </c>
      <c r="M138" s="3181">
        <v>32400</v>
      </c>
      <c r="N138" s="3180" t="s">
        <v>3471</v>
      </c>
      <c r="O138" s="3190">
        <v>3534134</v>
      </c>
    </row>
    <row r="139" spans="1:15" ht="24.95" customHeight="1">
      <c r="A139" s="3185">
        <v>138</v>
      </c>
      <c r="B139" s="3185">
        <v>4</v>
      </c>
      <c r="C139" s="3185">
        <v>2</v>
      </c>
      <c r="D139" s="3186">
        <v>201</v>
      </c>
      <c r="E139" s="3176" t="str">
        <f t="shared" si="9"/>
        <v>4-2-201</v>
      </c>
      <c r="F139" s="3191">
        <v>110.18</v>
      </c>
      <c r="G139" s="3188">
        <v>90.17</v>
      </c>
      <c r="H139" s="3189" t="s">
        <v>3472</v>
      </c>
      <c r="I139" s="3189" t="s">
        <v>3470</v>
      </c>
      <c r="J139" s="3189">
        <v>3181080.6</v>
      </c>
      <c r="K139" s="3189">
        <v>28871.67</v>
      </c>
      <c r="L139" s="3181">
        <v>3181080</v>
      </c>
      <c r="M139" s="3181">
        <v>28871.66</v>
      </c>
      <c r="N139" s="3180" t="s">
        <v>3486</v>
      </c>
      <c r="O139" s="3190">
        <f>ROUND(L139*0.95,0)</f>
        <v>3022026</v>
      </c>
    </row>
    <row r="140" spans="1:15" ht="24.95" customHeight="1">
      <c r="A140" s="3185">
        <v>139</v>
      </c>
      <c r="B140" s="3185">
        <v>4</v>
      </c>
      <c r="C140" s="3185">
        <v>2</v>
      </c>
      <c r="D140" s="3186">
        <v>202</v>
      </c>
      <c r="E140" s="3176" t="str">
        <f t="shared" si="9"/>
        <v>4-2-202</v>
      </c>
      <c r="F140" s="3191">
        <v>110.63</v>
      </c>
      <c r="G140" s="3188">
        <v>90.54</v>
      </c>
      <c r="H140" s="3189" t="s">
        <v>3469</v>
      </c>
      <c r="I140" s="3189" t="s">
        <v>3470</v>
      </c>
      <c r="J140" s="3189">
        <v>3199604.35</v>
      </c>
      <c r="K140" s="3189">
        <v>28921.67</v>
      </c>
      <c r="L140" s="3181">
        <v>3199604</v>
      </c>
      <c r="M140" s="3181">
        <v>28921.67</v>
      </c>
      <c r="N140" s="3180" t="s">
        <v>3486</v>
      </c>
      <c r="O140" s="3190">
        <f>ROUND(L140*0.95,0)</f>
        <v>3039624</v>
      </c>
    </row>
    <row r="141" spans="1:15" ht="24.95" customHeight="1">
      <c r="A141" s="3185">
        <v>140</v>
      </c>
      <c r="B141" s="3185">
        <v>4</v>
      </c>
      <c r="C141" s="3185">
        <v>2</v>
      </c>
      <c r="D141" s="3186">
        <v>301</v>
      </c>
      <c r="E141" s="3176" t="str">
        <f t="shared" si="9"/>
        <v>4-2-301</v>
      </c>
      <c r="F141" s="3191">
        <v>110.18</v>
      </c>
      <c r="G141" s="3188">
        <v>90.17</v>
      </c>
      <c r="H141" s="3189" t="s">
        <v>3472</v>
      </c>
      <c r="I141" s="3189" t="s">
        <v>3470</v>
      </c>
      <c r="J141" s="3189">
        <v>3236170.6</v>
      </c>
      <c r="K141" s="3189">
        <v>29371.67</v>
      </c>
      <c r="L141" s="3181">
        <v>3236170</v>
      </c>
      <c r="M141" s="3181">
        <v>29371.66</v>
      </c>
      <c r="N141" s="3180" t="s">
        <v>3471</v>
      </c>
      <c r="O141" s="3190">
        <v>3046479</v>
      </c>
    </row>
    <row r="142" spans="1:15" ht="24.95" customHeight="1">
      <c r="A142" s="3185">
        <v>141</v>
      </c>
      <c r="B142" s="3185">
        <v>4</v>
      </c>
      <c r="C142" s="3185">
        <v>2</v>
      </c>
      <c r="D142" s="3186">
        <v>302</v>
      </c>
      <c r="E142" s="3176" t="str">
        <f t="shared" si="9"/>
        <v>4-2-302</v>
      </c>
      <c r="F142" s="3191">
        <v>110.63</v>
      </c>
      <c r="G142" s="3188">
        <v>90.54</v>
      </c>
      <c r="H142" s="3189" t="s">
        <v>3469</v>
      </c>
      <c r="I142" s="3189" t="s">
        <v>3470</v>
      </c>
      <c r="J142" s="3189">
        <v>3254919.35</v>
      </c>
      <c r="K142" s="3189">
        <v>29421.67</v>
      </c>
      <c r="L142" s="3181">
        <v>3254919</v>
      </c>
      <c r="M142" s="3181">
        <v>29421.67</v>
      </c>
      <c r="N142" s="3180" t="s">
        <v>3471</v>
      </c>
      <c r="O142" s="3190">
        <v>3064129</v>
      </c>
    </row>
    <row r="143" spans="1:15" ht="24.95" customHeight="1">
      <c r="A143" s="3185">
        <v>142</v>
      </c>
      <c r="B143" s="3185">
        <v>4</v>
      </c>
      <c r="C143" s="3185">
        <v>2</v>
      </c>
      <c r="D143" s="3186">
        <v>401</v>
      </c>
      <c r="E143" s="3176" t="str">
        <f t="shared" si="9"/>
        <v>4-2-401</v>
      </c>
      <c r="F143" s="3191">
        <v>110.18</v>
      </c>
      <c r="G143" s="3188">
        <v>90.17</v>
      </c>
      <c r="H143" s="3189" t="s">
        <v>3472</v>
      </c>
      <c r="I143" s="3189" t="s">
        <v>3470</v>
      </c>
      <c r="J143" s="3189">
        <v>3269224.6</v>
      </c>
      <c r="K143" s="3189">
        <v>29671.67</v>
      </c>
      <c r="L143" s="3181">
        <v>3269224</v>
      </c>
      <c r="M143" s="3181">
        <v>29671.66</v>
      </c>
      <c r="N143" s="3180" t="s">
        <v>3471</v>
      </c>
      <c r="O143" s="3190">
        <v>3108999</v>
      </c>
    </row>
    <row r="144" spans="1:15" ht="24.95" customHeight="1">
      <c r="A144" s="3185">
        <v>143</v>
      </c>
      <c r="B144" s="3185">
        <v>4</v>
      </c>
      <c r="C144" s="3185">
        <v>2</v>
      </c>
      <c r="D144" s="3186">
        <v>402</v>
      </c>
      <c r="E144" s="3176" t="str">
        <f t="shared" si="9"/>
        <v>4-2-402</v>
      </c>
      <c r="F144" s="3191">
        <v>110.63</v>
      </c>
      <c r="G144" s="3188">
        <v>90.54</v>
      </c>
      <c r="H144" s="3189" t="s">
        <v>3469</v>
      </c>
      <c r="I144" s="3189" t="s">
        <v>3470</v>
      </c>
      <c r="J144" s="3189">
        <v>3288108.35</v>
      </c>
      <c r="K144" s="3189">
        <v>29721.67</v>
      </c>
      <c r="L144" s="3181">
        <v>3288108</v>
      </c>
      <c r="M144" s="3181">
        <v>29721.67</v>
      </c>
      <c r="N144" s="3180" t="s">
        <v>3471</v>
      </c>
      <c r="O144" s="3190">
        <v>3126958</v>
      </c>
    </row>
    <row r="145" spans="1:15" ht="24.95" customHeight="1">
      <c r="A145" s="3185">
        <v>144</v>
      </c>
      <c r="B145" s="3185">
        <v>4</v>
      </c>
      <c r="C145" s="3185">
        <v>2</v>
      </c>
      <c r="D145" s="3186">
        <v>501</v>
      </c>
      <c r="E145" s="3176" t="str">
        <f t="shared" si="9"/>
        <v>4-2-501</v>
      </c>
      <c r="F145" s="3191">
        <v>110.18</v>
      </c>
      <c r="G145" s="3188">
        <v>90.17</v>
      </c>
      <c r="H145" s="3189" t="s">
        <v>3472</v>
      </c>
      <c r="I145" s="3189" t="s">
        <v>3470</v>
      </c>
      <c r="J145" s="3189">
        <v>3291260.6</v>
      </c>
      <c r="K145" s="3189">
        <v>29871.67</v>
      </c>
      <c r="L145" s="3181">
        <v>3291260</v>
      </c>
      <c r="M145" s="3181">
        <v>29871.66</v>
      </c>
      <c r="N145" s="3180" t="s">
        <v>3471</v>
      </c>
      <c r="O145" s="3190">
        <v>3129956</v>
      </c>
    </row>
    <row r="146" spans="1:15" ht="24.95" customHeight="1">
      <c r="A146" s="3185">
        <v>145</v>
      </c>
      <c r="B146" s="3185">
        <v>4</v>
      </c>
      <c r="C146" s="3185">
        <v>2</v>
      </c>
      <c r="D146" s="3186">
        <v>502</v>
      </c>
      <c r="E146" s="3176" t="str">
        <f t="shared" si="9"/>
        <v>4-2-502</v>
      </c>
      <c r="F146" s="3191">
        <v>110.63</v>
      </c>
      <c r="G146" s="3188">
        <v>90.54</v>
      </c>
      <c r="H146" s="3189" t="s">
        <v>3469</v>
      </c>
      <c r="I146" s="3189" t="s">
        <v>3470</v>
      </c>
      <c r="J146" s="3189">
        <v>3310234.35</v>
      </c>
      <c r="K146" s="3189">
        <v>29921.67</v>
      </c>
      <c r="L146" s="3181">
        <v>3310234</v>
      </c>
      <c r="M146" s="3181">
        <v>29921.67</v>
      </c>
      <c r="N146" s="3180" t="s">
        <v>3471</v>
      </c>
      <c r="O146" s="3190">
        <v>3148000</v>
      </c>
    </row>
    <row r="147" spans="1:15" ht="24.95" customHeight="1">
      <c r="A147" s="3185">
        <v>146</v>
      </c>
      <c r="B147" s="3185">
        <v>4</v>
      </c>
      <c r="C147" s="3185">
        <v>2</v>
      </c>
      <c r="D147" s="3186">
        <v>601</v>
      </c>
      <c r="E147" s="3176" t="str">
        <f t="shared" si="9"/>
        <v>4-2-601</v>
      </c>
      <c r="F147" s="3191">
        <v>110.18</v>
      </c>
      <c r="G147" s="3188">
        <v>90.17</v>
      </c>
      <c r="H147" s="3189" t="s">
        <v>3472</v>
      </c>
      <c r="I147" s="3189" t="s">
        <v>3470</v>
      </c>
      <c r="J147" s="3189">
        <v>3313296.6</v>
      </c>
      <c r="K147" s="3189">
        <v>30071.67</v>
      </c>
      <c r="L147" s="3181">
        <v>3313296</v>
      </c>
      <c r="M147" s="3181">
        <v>30071.66</v>
      </c>
      <c r="N147" s="3180" t="s">
        <v>3471</v>
      </c>
      <c r="O147" s="3190">
        <v>3150912</v>
      </c>
    </row>
    <row r="148" spans="1:15" ht="24.95" customHeight="1">
      <c r="A148" s="3185">
        <v>147</v>
      </c>
      <c r="B148" s="3185">
        <v>4</v>
      </c>
      <c r="C148" s="3185">
        <v>2</v>
      </c>
      <c r="D148" s="3186">
        <v>602</v>
      </c>
      <c r="E148" s="3176" t="str">
        <f t="shared" si="9"/>
        <v>4-2-602</v>
      </c>
      <c r="F148" s="3191">
        <v>110.63</v>
      </c>
      <c r="G148" s="3188">
        <v>90.54</v>
      </c>
      <c r="H148" s="3189" t="s">
        <v>3469</v>
      </c>
      <c r="I148" s="3189" t="s">
        <v>3470</v>
      </c>
      <c r="J148" s="3189">
        <v>3332360.35</v>
      </c>
      <c r="K148" s="3189">
        <v>30121.67</v>
      </c>
      <c r="L148" s="3181">
        <v>3332360</v>
      </c>
      <c r="M148" s="3181">
        <v>30121.67</v>
      </c>
      <c r="N148" s="3180" t="s">
        <v>3471</v>
      </c>
      <c r="O148" s="3190">
        <v>3137351</v>
      </c>
    </row>
    <row r="149" spans="1:15" ht="24.95" customHeight="1">
      <c r="A149" s="3185">
        <v>148</v>
      </c>
      <c r="B149" s="3185">
        <v>4</v>
      </c>
      <c r="C149" s="3185">
        <v>2</v>
      </c>
      <c r="D149" s="3186">
        <v>701</v>
      </c>
      <c r="E149" s="3176" t="str">
        <f t="shared" si="9"/>
        <v>4-2-701</v>
      </c>
      <c r="F149" s="3191">
        <v>110.18</v>
      </c>
      <c r="G149" s="3188">
        <v>90.17</v>
      </c>
      <c r="H149" s="3189" t="s">
        <v>3472</v>
      </c>
      <c r="I149" s="3189" t="s">
        <v>3470</v>
      </c>
      <c r="J149" s="3189">
        <v>3335332.6</v>
      </c>
      <c r="K149" s="3189">
        <v>30271.67</v>
      </c>
      <c r="L149" s="3181">
        <v>3335332</v>
      </c>
      <c r="M149" s="3181">
        <v>30271.66</v>
      </c>
      <c r="N149" s="3180" t="s">
        <v>3471</v>
      </c>
      <c r="O149" s="3190">
        <v>3171868</v>
      </c>
    </row>
    <row r="150" spans="1:15" ht="24.95" customHeight="1">
      <c r="A150" s="3185">
        <v>149</v>
      </c>
      <c r="B150" s="3185">
        <v>4</v>
      </c>
      <c r="C150" s="3185">
        <v>2</v>
      </c>
      <c r="D150" s="3186">
        <v>702</v>
      </c>
      <c r="E150" s="3176" t="str">
        <f t="shared" si="9"/>
        <v>4-2-702</v>
      </c>
      <c r="F150" s="3191">
        <v>110.63</v>
      </c>
      <c r="G150" s="3188">
        <v>90.54</v>
      </c>
      <c r="H150" s="3189" t="s">
        <v>3469</v>
      </c>
      <c r="I150" s="3189" t="s">
        <v>3470</v>
      </c>
      <c r="J150" s="3189">
        <v>3354486.35</v>
      </c>
      <c r="K150" s="3189">
        <v>30321.67</v>
      </c>
      <c r="L150" s="3181">
        <v>3354486</v>
      </c>
      <c r="M150" s="3181">
        <v>30321.67</v>
      </c>
      <c r="N150" s="3180" t="s">
        <v>3486</v>
      </c>
      <c r="O150" s="3190">
        <f>ROUND(L150*0.95,0)</f>
        <v>3186762</v>
      </c>
    </row>
    <row r="151" spans="1:15" ht="24.95" customHeight="1">
      <c r="A151" s="3185">
        <v>150</v>
      </c>
      <c r="B151" s="3185">
        <v>4</v>
      </c>
      <c r="C151" s="3185">
        <v>2</v>
      </c>
      <c r="D151" s="3186">
        <v>801</v>
      </c>
      <c r="E151" s="3176" t="str">
        <f t="shared" si="9"/>
        <v>4-2-801</v>
      </c>
      <c r="F151" s="3191">
        <v>110.18</v>
      </c>
      <c r="G151" s="3188">
        <v>90.17</v>
      </c>
      <c r="H151" s="3189" t="s">
        <v>3472</v>
      </c>
      <c r="I151" s="3189" t="s">
        <v>3470</v>
      </c>
      <c r="J151" s="3189">
        <v>3569832</v>
      </c>
      <c r="K151" s="3189">
        <v>32400</v>
      </c>
      <c r="L151" s="3181">
        <v>3569832</v>
      </c>
      <c r="M151" s="3181">
        <v>32400</v>
      </c>
      <c r="N151" s="3180" t="s">
        <v>3471</v>
      </c>
      <c r="O151" s="3190">
        <v>3534134</v>
      </c>
    </row>
    <row r="152" spans="1:15" ht="24.95" customHeight="1">
      <c r="A152" s="3185">
        <v>151</v>
      </c>
      <c r="B152" s="3185">
        <v>4</v>
      </c>
      <c r="C152" s="3185">
        <v>2</v>
      </c>
      <c r="D152" s="3186">
        <v>802</v>
      </c>
      <c r="E152" s="3176" t="str">
        <f t="shared" si="9"/>
        <v>4-2-802</v>
      </c>
      <c r="F152" s="3191">
        <v>110.63</v>
      </c>
      <c r="G152" s="3188">
        <v>90.54</v>
      </c>
      <c r="H152" s="3189" t="s">
        <v>3469</v>
      </c>
      <c r="I152" s="3189" t="s">
        <v>3470</v>
      </c>
      <c r="J152" s="3189">
        <v>3584412</v>
      </c>
      <c r="K152" s="3189">
        <v>32400</v>
      </c>
      <c r="L152" s="3181">
        <v>3584412</v>
      </c>
      <c r="M152" s="3181">
        <v>32400</v>
      </c>
      <c r="N152" s="3180" t="s">
        <v>3486</v>
      </c>
      <c r="O152" s="3190">
        <f>ROUND(L152*0.95,0)</f>
        <v>3405191</v>
      </c>
    </row>
    <row r="153" spans="1:15" ht="24.95" customHeight="1">
      <c r="A153" s="3185">
        <v>152</v>
      </c>
      <c r="B153" s="3185">
        <v>4</v>
      </c>
      <c r="C153" s="3185"/>
      <c r="D153" s="3194">
        <v>-101</v>
      </c>
      <c r="E153" s="3192" t="str">
        <f t="shared" si="9"/>
        <v>4---101</v>
      </c>
      <c r="F153" s="3195">
        <v>7.2</v>
      </c>
      <c r="G153" s="3193">
        <v>7.2</v>
      </c>
      <c r="H153" s="3185"/>
      <c r="I153" s="3185" t="s">
        <v>3487</v>
      </c>
      <c r="J153" s="3185">
        <v>64800</v>
      </c>
      <c r="K153" s="3185">
        <v>9000</v>
      </c>
      <c r="L153" s="3181">
        <v>64800</v>
      </c>
      <c r="M153" s="3181"/>
      <c r="N153" s="3180" t="s">
        <v>3486</v>
      </c>
      <c r="O153" s="3190">
        <f>F153*8000</f>
        <v>57600</v>
      </c>
    </row>
    <row r="154" spans="1:15" ht="24.95" customHeight="1">
      <c r="A154" s="3185">
        <v>153</v>
      </c>
      <c r="B154" s="3185">
        <v>5</v>
      </c>
      <c r="C154" s="3185">
        <v>1</v>
      </c>
      <c r="D154" s="3186">
        <v>201</v>
      </c>
      <c r="E154" s="3176" t="str">
        <f t="shared" si="9"/>
        <v>5-1-201</v>
      </c>
      <c r="F154" s="3191">
        <v>110.63</v>
      </c>
      <c r="G154" s="3188">
        <v>90.54</v>
      </c>
      <c r="H154" s="3189" t="s">
        <v>3472</v>
      </c>
      <c r="I154" s="3189" t="s">
        <v>3470</v>
      </c>
      <c r="J154" s="3189">
        <v>3277045.35</v>
      </c>
      <c r="K154" s="3189">
        <v>29621.67</v>
      </c>
      <c r="L154" s="3181">
        <v>3277045</v>
      </c>
      <c r="M154" s="3181">
        <v>29621.67</v>
      </c>
      <c r="N154" s="3180" t="s">
        <v>3486</v>
      </c>
      <c r="O154" s="3190">
        <f t="shared" ref="O154:O160" si="10">ROUND(L154*0.95,0)</f>
        <v>3113193</v>
      </c>
    </row>
    <row r="155" spans="1:15" ht="24.95" customHeight="1">
      <c r="A155" s="3185">
        <v>154</v>
      </c>
      <c r="B155" s="3185">
        <v>5</v>
      </c>
      <c r="C155" s="3185">
        <v>1</v>
      </c>
      <c r="D155" s="3186">
        <v>202</v>
      </c>
      <c r="E155" s="3176" t="str">
        <f t="shared" si="9"/>
        <v>5-1-202</v>
      </c>
      <c r="F155" s="3191">
        <v>110.18</v>
      </c>
      <c r="G155" s="3188">
        <v>90.17</v>
      </c>
      <c r="H155" s="3189" t="s">
        <v>3469</v>
      </c>
      <c r="I155" s="3189" t="s">
        <v>3470</v>
      </c>
      <c r="J155" s="3189">
        <v>3258206.6</v>
      </c>
      <c r="K155" s="3189">
        <v>29571.67</v>
      </c>
      <c r="L155" s="3181">
        <v>3258206</v>
      </c>
      <c r="M155" s="3181">
        <v>29571.66</v>
      </c>
      <c r="N155" s="3180" t="s">
        <v>3486</v>
      </c>
      <c r="O155" s="3190">
        <f t="shared" si="10"/>
        <v>3095296</v>
      </c>
    </row>
    <row r="156" spans="1:15" ht="24.95" customHeight="1">
      <c r="A156" s="3185">
        <v>155</v>
      </c>
      <c r="B156" s="3185">
        <v>5</v>
      </c>
      <c r="C156" s="3185">
        <v>1</v>
      </c>
      <c r="D156" s="3186">
        <v>301</v>
      </c>
      <c r="E156" s="3176" t="str">
        <f t="shared" si="9"/>
        <v>5-1-301</v>
      </c>
      <c r="F156" s="3191">
        <v>110.63</v>
      </c>
      <c r="G156" s="3188">
        <v>90.54</v>
      </c>
      <c r="H156" s="3189" t="s">
        <v>3472</v>
      </c>
      <c r="I156" s="3189" t="s">
        <v>3470</v>
      </c>
      <c r="J156" s="3189">
        <v>3332360.35</v>
      </c>
      <c r="K156" s="3189">
        <v>30121.67</v>
      </c>
      <c r="L156" s="3181">
        <v>3332360</v>
      </c>
      <c r="M156" s="3181">
        <v>30121.67</v>
      </c>
      <c r="N156" s="3180" t="s">
        <v>3486</v>
      </c>
      <c r="O156" s="3190">
        <f t="shared" si="10"/>
        <v>3165742</v>
      </c>
    </row>
    <row r="157" spans="1:15" ht="24.95" customHeight="1">
      <c r="A157" s="3185">
        <v>156</v>
      </c>
      <c r="B157" s="3185">
        <v>5</v>
      </c>
      <c r="C157" s="3185">
        <v>1</v>
      </c>
      <c r="D157" s="3186">
        <v>302</v>
      </c>
      <c r="E157" s="3176" t="str">
        <f t="shared" si="9"/>
        <v>5-1-302</v>
      </c>
      <c r="F157" s="3191">
        <v>110.18</v>
      </c>
      <c r="G157" s="3188">
        <v>90.17</v>
      </c>
      <c r="H157" s="3189" t="s">
        <v>3469</v>
      </c>
      <c r="I157" s="3189" t="s">
        <v>3470</v>
      </c>
      <c r="J157" s="3189">
        <v>3313296.6</v>
      </c>
      <c r="K157" s="3189">
        <v>30071.67</v>
      </c>
      <c r="L157" s="3181">
        <v>3313296</v>
      </c>
      <c r="M157" s="3181">
        <v>30071.66</v>
      </c>
      <c r="N157" s="3180" t="s">
        <v>3486</v>
      </c>
      <c r="O157" s="3190">
        <f t="shared" si="10"/>
        <v>3147631</v>
      </c>
    </row>
    <row r="158" spans="1:15" ht="24.95" customHeight="1">
      <c r="A158" s="3185">
        <v>157</v>
      </c>
      <c r="B158" s="3185">
        <v>5</v>
      </c>
      <c r="C158" s="3185">
        <v>1</v>
      </c>
      <c r="D158" s="3186">
        <v>401</v>
      </c>
      <c r="E158" s="3176" t="str">
        <f t="shared" si="9"/>
        <v>5-1-401</v>
      </c>
      <c r="F158" s="3191">
        <v>110.63</v>
      </c>
      <c r="G158" s="3188">
        <v>90.54</v>
      </c>
      <c r="H158" s="3189" t="s">
        <v>3472</v>
      </c>
      <c r="I158" s="3189" t="s">
        <v>3470</v>
      </c>
      <c r="J158" s="3189">
        <v>3365549.35</v>
      </c>
      <c r="K158" s="3189">
        <v>30421.67</v>
      </c>
      <c r="L158" s="3181">
        <v>3365549</v>
      </c>
      <c r="M158" s="3181">
        <v>30421.67</v>
      </c>
      <c r="N158" s="3180" t="s">
        <v>3486</v>
      </c>
      <c r="O158" s="3190">
        <f t="shared" si="10"/>
        <v>3197272</v>
      </c>
    </row>
    <row r="159" spans="1:15" ht="24.95" customHeight="1">
      <c r="A159" s="3185">
        <v>158</v>
      </c>
      <c r="B159" s="3185">
        <v>5</v>
      </c>
      <c r="C159" s="3185">
        <v>1</v>
      </c>
      <c r="D159" s="3186">
        <v>402</v>
      </c>
      <c r="E159" s="3176" t="str">
        <f t="shared" si="9"/>
        <v>5-1-402</v>
      </c>
      <c r="F159" s="3191">
        <v>110.18</v>
      </c>
      <c r="G159" s="3188">
        <v>90.17</v>
      </c>
      <c r="H159" s="3189" t="s">
        <v>3469</v>
      </c>
      <c r="I159" s="3189" t="s">
        <v>3470</v>
      </c>
      <c r="J159" s="3189">
        <v>3346350.6</v>
      </c>
      <c r="K159" s="3189">
        <v>30371.67</v>
      </c>
      <c r="L159" s="3181">
        <v>3346350</v>
      </c>
      <c r="M159" s="3181">
        <v>30371.66</v>
      </c>
      <c r="N159" s="3180" t="s">
        <v>3486</v>
      </c>
      <c r="O159" s="3190">
        <f t="shared" si="10"/>
        <v>3179033</v>
      </c>
    </row>
    <row r="160" spans="1:15" ht="24.95" customHeight="1">
      <c r="A160" s="3185">
        <v>159</v>
      </c>
      <c r="B160" s="3185">
        <v>5</v>
      </c>
      <c r="C160" s="3185">
        <v>1</v>
      </c>
      <c r="D160" s="3186">
        <v>501</v>
      </c>
      <c r="E160" s="3176" t="str">
        <f t="shared" si="9"/>
        <v>5-1-501</v>
      </c>
      <c r="F160" s="3191">
        <v>110.63</v>
      </c>
      <c r="G160" s="3188">
        <v>90.54</v>
      </c>
      <c r="H160" s="3189" t="s">
        <v>3472</v>
      </c>
      <c r="I160" s="3189" t="s">
        <v>3470</v>
      </c>
      <c r="J160" s="3189">
        <v>3387675.35</v>
      </c>
      <c r="K160" s="3189">
        <v>30621.67</v>
      </c>
      <c r="L160" s="3181">
        <v>3387675</v>
      </c>
      <c r="M160" s="3181">
        <v>30621.67</v>
      </c>
      <c r="N160" s="3180" t="s">
        <v>3486</v>
      </c>
      <c r="O160" s="3190">
        <f t="shared" si="10"/>
        <v>3218291</v>
      </c>
    </row>
    <row r="161" spans="1:15" ht="24.95" customHeight="1">
      <c r="A161" s="3185">
        <v>160</v>
      </c>
      <c r="B161" s="3185">
        <v>5</v>
      </c>
      <c r="C161" s="3185">
        <v>1</v>
      </c>
      <c r="D161" s="3186">
        <v>502</v>
      </c>
      <c r="E161" s="3176" t="str">
        <f t="shared" si="9"/>
        <v>5-1-502</v>
      </c>
      <c r="F161" s="3191">
        <v>110.18</v>
      </c>
      <c r="G161" s="3188">
        <v>90.17</v>
      </c>
      <c r="H161" s="3189" t="s">
        <v>3469</v>
      </c>
      <c r="I161" s="3189" t="s">
        <v>3470</v>
      </c>
      <c r="J161" s="3189">
        <v>3368386.6</v>
      </c>
      <c r="K161" s="3189">
        <v>30571.67</v>
      </c>
      <c r="L161" s="3181">
        <v>3368386</v>
      </c>
      <c r="M161" s="3181">
        <v>30571.66</v>
      </c>
      <c r="N161" s="3180" t="s">
        <v>3471</v>
      </c>
      <c r="O161" s="3190">
        <v>3170945</v>
      </c>
    </row>
    <row r="162" spans="1:15" ht="24.95" customHeight="1">
      <c r="A162" s="3185">
        <v>161</v>
      </c>
      <c r="B162" s="3185">
        <v>5</v>
      </c>
      <c r="C162" s="3185">
        <v>1</v>
      </c>
      <c r="D162" s="3186">
        <v>601</v>
      </c>
      <c r="E162" s="3176" t="str">
        <f t="shared" si="9"/>
        <v>5-1-601</v>
      </c>
      <c r="F162" s="3191">
        <v>110.63</v>
      </c>
      <c r="G162" s="3188">
        <v>90.54</v>
      </c>
      <c r="H162" s="3189" t="s">
        <v>3472</v>
      </c>
      <c r="I162" s="3189" t="s">
        <v>3470</v>
      </c>
      <c r="J162" s="3189">
        <v>3409801.35</v>
      </c>
      <c r="K162" s="3189">
        <v>30821.67</v>
      </c>
      <c r="L162" s="3181">
        <v>3409801</v>
      </c>
      <c r="M162" s="3181">
        <v>30821.67</v>
      </c>
      <c r="N162" s="3180" t="s">
        <v>3486</v>
      </c>
      <c r="O162" s="3190">
        <f>ROUND(L162*0.95,0)</f>
        <v>3239311</v>
      </c>
    </row>
    <row r="163" spans="1:15" ht="24.95" customHeight="1">
      <c r="A163" s="3185">
        <v>162</v>
      </c>
      <c r="B163" s="3185">
        <v>5</v>
      </c>
      <c r="C163" s="3185">
        <v>1</v>
      </c>
      <c r="D163" s="3186">
        <v>602</v>
      </c>
      <c r="E163" s="3176" t="str">
        <f t="shared" si="9"/>
        <v>5-1-602</v>
      </c>
      <c r="F163" s="3191">
        <v>110.18</v>
      </c>
      <c r="G163" s="3188">
        <v>90.17</v>
      </c>
      <c r="H163" s="3189" t="s">
        <v>3469</v>
      </c>
      <c r="I163" s="3189" t="s">
        <v>3470</v>
      </c>
      <c r="J163" s="3189">
        <v>3390422.6</v>
      </c>
      <c r="K163" s="3189">
        <v>30771.67</v>
      </c>
      <c r="L163" s="3181">
        <v>3390422</v>
      </c>
      <c r="M163" s="3181">
        <v>30771.66</v>
      </c>
      <c r="N163" s="3180" t="s">
        <v>3471</v>
      </c>
      <c r="O163" s="3190">
        <v>3159772</v>
      </c>
    </row>
    <row r="164" spans="1:15" ht="24.95" customHeight="1">
      <c r="A164" s="3185">
        <v>163</v>
      </c>
      <c r="B164" s="3185">
        <v>5</v>
      </c>
      <c r="C164" s="3185">
        <v>1</v>
      </c>
      <c r="D164" s="3186">
        <v>701</v>
      </c>
      <c r="E164" s="3176" t="str">
        <f t="shared" si="9"/>
        <v>5-1-701</v>
      </c>
      <c r="F164" s="3191">
        <v>110.63</v>
      </c>
      <c r="G164" s="3188">
        <v>90.54</v>
      </c>
      <c r="H164" s="3189" t="s">
        <v>3472</v>
      </c>
      <c r="I164" s="3189" t="s">
        <v>3470</v>
      </c>
      <c r="J164" s="3189">
        <v>3431927.35</v>
      </c>
      <c r="K164" s="3189">
        <v>31021.67</v>
      </c>
      <c r="L164" s="3181">
        <v>3431927</v>
      </c>
      <c r="M164" s="3181">
        <v>31021.67</v>
      </c>
      <c r="N164" s="3180" t="s">
        <v>3486</v>
      </c>
      <c r="O164" s="3190">
        <f t="shared" ref="O164:O177" si="11">ROUND(L164*0.95,0)</f>
        <v>3260331</v>
      </c>
    </row>
    <row r="165" spans="1:15" ht="24.95" customHeight="1">
      <c r="A165" s="3185">
        <v>164</v>
      </c>
      <c r="B165" s="3185">
        <v>5</v>
      </c>
      <c r="C165" s="3185">
        <v>1</v>
      </c>
      <c r="D165" s="3186">
        <v>702</v>
      </c>
      <c r="E165" s="3176" t="str">
        <f t="shared" si="9"/>
        <v>5-1-702</v>
      </c>
      <c r="F165" s="3191">
        <v>110.18</v>
      </c>
      <c r="G165" s="3188">
        <v>90.17</v>
      </c>
      <c r="H165" s="3189" t="s">
        <v>3469</v>
      </c>
      <c r="I165" s="3189" t="s">
        <v>3470</v>
      </c>
      <c r="J165" s="3189">
        <v>3412458.6</v>
      </c>
      <c r="K165" s="3189">
        <v>30971.67</v>
      </c>
      <c r="L165" s="3181">
        <v>3412458</v>
      </c>
      <c r="M165" s="3181">
        <v>30971.66</v>
      </c>
      <c r="N165" s="3180" t="s">
        <v>3486</v>
      </c>
      <c r="O165" s="3190">
        <f t="shared" si="11"/>
        <v>3241835</v>
      </c>
    </row>
    <row r="166" spans="1:15" ht="24.95" customHeight="1">
      <c r="A166" s="3185">
        <v>165</v>
      </c>
      <c r="B166" s="3185">
        <v>5</v>
      </c>
      <c r="C166" s="3185">
        <v>1</v>
      </c>
      <c r="D166" s="3186">
        <v>801</v>
      </c>
      <c r="E166" s="3176" t="str">
        <f t="shared" si="9"/>
        <v>5-1-801</v>
      </c>
      <c r="F166" s="3191">
        <v>110.63</v>
      </c>
      <c r="G166" s="3188">
        <v>90.54</v>
      </c>
      <c r="H166" s="3189" t="s">
        <v>3472</v>
      </c>
      <c r="I166" s="3189" t="s">
        <v>3470</v>
      </c>
      <c r="J166" s="3189">
        <v>3584412</v>
      </c>
      <c r="K166" s="3189">
        <v>32400</v>
      </c>
      <c r="L166" s="3181">
        <v>3584412</v>
      </c>
      <c r="M166" s="3181">
        <v>32400</v>
      </c>
      <c r="N166" s="3180" t="s">
        <v>3486</v>
      </c>
      <c r="O166" s="3190">
        <f t="shared" si="11"/>
        <v>3405191</v>
      </c>
    </row>
    <row r="167" spans="1:15" ht="24.95" customHeight="1">
      <c r="A167" s="3185">
        <v>166</v>
      </c>
      <c r="B167" s="3185">
        <v>5</v>
      </c>
      <c r="C167" s="3185">
        <v>1</v>
      </c>
      <c r="D167" s="3186">
        <v>802</v>
      </c>
      <c r="E167" s="3176" t="str">
        <f t="shared" si="9"/>
        <v>5-1-802</v>
      </c>
      <c r="F167" s="3191">
        <v>110.18</v>
      </c>
      <c r="G167" s="3188">
        <v>90.17</v>
      </c>
      <c r="H167" s="3189" t="s">
        <v>3469</v>
      </c>
      <c r="I167" s="3189" t="s">
        <v>3470</v>
      </c>
      <c r="J167" s="3189">
        <v>3569832</v>
      </c>
      <c r="K167" s="3189">
        <v>32400</v>
      </c>
      <c r="L167" s="3181">
        <v>3569832</v>
      </c>
      <c r="M167" s="3181">
        <v>32400</v>
      </c>
      <c r="N167" s="3180" t="s">
        <v>3486</v>
      </c>
      <c r="O167" s="3190">
        <f t="shared" si="11"/>
        <v>3391340</v>
      </c>
    </row>
    <row r="168" spans="1:15" s="3201" customFormat="1" ht="24.95" customHeight="1">
      <c r="A168" s="3185">
        <v>167</v>
      </c>
      <c r="B168" s="3196">
        <v>5</v>
      </c>
      <c r="C168" s="3196">
        <v>2</v>
      </c>
      <c r="D168" s="3197">
        <v>102</v>
      </c>
      <c r="E168" s="3176" t="str">
        <f t="shared" si="9"/>
        <v>5-2-102</v>
      </c>
      <c r="F168" s="3198">
        <v>114.15</v>
      </c>
      <c r="G168" s="3199">
        <v>93.42</v>
      </c>
      <c r="H168" s="3189" t="s">
        <v>409</v>
      </c>
      <c r="I168" s="3200" t="s">
        <v>3470</v>
      </c>
      <c r="J168" s="3200">
        <v>3364191.13</v>
      </c>
      <c r="K168" s="3189">
        <v>29471.67</v>
      </c>
      <c r="L168" s="3181">
        <v>3364191</v>
      </c>
      <c r="M168" s="3181">
        <v>29471.67</v>
      </c>
      <c r="N168" s="3180" t="s">
        <v>3486</v>
      </c>
      <c r="O168" s="3190">
        <f t="shared" si="11"/>
        <v>3195981</v>
      </c>
    </row>
    <row r="169" spans="1:15" ht="24.95" customHeight="1">
      <c r="A169" s="3185">
        <v>168</v>
      </c>
      <c r="B169" s="3185">
        <v>5</v>
      </c>
      <c r="C169" s="3185">
        <v>2</v>
      </c>
      <c r="D169" s="3186">
        <v>201</v>
      </c>
      <c r="E169" s="3176" t="str">
        <f t="shared" si="9"/>
        <v>5-2-201</v>
      </c>
      <c r="F169" s="3191">
        <v>110.18</v>
      </c>
      <c r="G169" s="3188">
        <v>90.17</v>
      </c>
      <c r="H169" s="3189" t="s">
        <v>3472</v>
      </c>
      <c r="I169" s="3189" t="s">
        <v>3470</v>
      </c>
      <c r="J169" s="3189">
        <v>3258206.6</v>
      </c>
      <c r="K169" s="3189">
        <v>29571.67</v>
      </c>
      <c r="L169" s="3181">
        <v>3258206</v>
      </c>
      <c r="M169" s="3181">
        <v>29571.66</v>
      </c>
      <c r="N169" s="3180" t="s">
        <v>3486</v>
      </c>
      <c r="O169" s="3190">
        <f t="shared" si="11"/>
        <v>3095296</v>
      </c>
    </row>
    <row r="170" spans="1:15" ht="24.95" customHeight="1">
      <c r="A170" s="3185">
        <v>169</v>
      </c>
      <c r="B170" s="3185">
        <v>5</v>
      </c>
      <c r="C170" s="3185">
        <v>2</v>
      </c>
      <c r="D170" s="3186">
        <v>202</v>
      </c>
      <c r="E170" s="3176" t="str">
        <f t="shared" si="9"/>
        <v>5-2-202</v>
      </c>
      <c r="F170" s="3191">
        <v>114.31</v>
      </c>
      <c r="G170" s="3188">
        <v>93.55</v>
      </c>
      <c r="H170" s="3189" t="s">
        <v>409</v>
      </c>
      <c r="I170" s="3189" t="s">
        <v>3470</v>
      </c>
      <c r="J170" s="3189">
        <v>3403199.6</v>
      </c>
      <c r="K170" s="3189">
        <v>29771.67</v>
      </c>
      <c r="L170" s="3181">
        <v>3403199</v>
      </c>
      <c r="M170" s="3181">
        <v>29771.66</v>
      </c>
      <c r="N170" s="3180" t="s">
        <v>3486</v>
      </c>
      <c r="O170" s="3190">
        <f t="shared" si="11"/>
        <v>3233039</v>
      </c>
    </row>
    <row r="171" spans="1:15" ht="24.95" customHeight="1">
      <c r="A171" s="3185">
        <v>170</v>
      </c>
      <c r="B171" s="3185">
        <v>5</v>
      </c>
      <c r="C171" s="3185">
        <v>2</v>
      </c>
      <c r="D171" s="3186">
        <v>301</v>
      </c>
      <c r="E171" s="3176" t="str">
        <f t="shared" si="9"/>
        <v>5-2-301</v>
      </c>
      <c r="F171" s="3191">
        <v>110.18</v>
      </c>
      <c r="G171" s="3188">
        <v>90.17</v>
      </c>
      <c r="H171" s="3189" t="s">
        <v>3472</v>
      </c>
      <c r="I171" s="3189" t="s">
        <v>3470</v>
      </c>
      <c r="J171" s="3189">
        <v>3313296.6</v>
      </c>
      <c r="K171" s="3189">
        <v>30071.67</v>
      </c>
      <c r="L171" s="3181">
        <v>3313296</v>
      </c>
      <c r="M171" s="3181">
        <v>30071.66</v>
      </c>
      <c r="N171" s="3180" t="s">
        <v>3486</v>
      </c>
      <c r="O171" s="3190">
        <f t="shared" si="11"/>
        <v>3147631</v>
      </c>
    </row>
    <row r="172" spans="1:15" ht="24.95" customHeight="1">
      <c r="A172" s="3185">
        <v>171</v>
      </c>
      <c r="B172" s="3185">
        <v>5</v>
      </c>
      <c r="C172" s="3185">
        <v>2</v>
      </c>
      <c r="D172" s="3186">
        <v>302</v>
      </c>
      <c r="E172" s="3176" t="str">
        <f t="shared" si="9"/>
        <v>5-2-302</v>
      </c>
      <c r="F172" s="3191">
        <v>114.31</v>
      </c>
      <c r="G172" s="3188">
        <v>93.55</v>
      </c>
      <c r="H172" s="3189" t="s">
        <v>409</v>
      </c>
      <c r="I172" s="3189" t="s">
        <v>3470</v>
      </c>
      <c r="J172" s="3189">
        <v>3460354.6</v>
      </c>
      <c r="K172" s="3189">
        <v>30271.67</v>
      </c>
      <c r="L172" s="3181">
        <v>3460354</v>
      </c>
      <c r="M172" s="3181">
        <v>30271.66</v>
      </c>
      <c r="N172" s="3180" t="s">
        <v>3486</v>
      </c>
      <c r="O172" s="3190">
        <f t="shared" si="11"/>
        <v>3287336</v>
      </c>
    </row>
    <row r="173" spans="1:15" ht="24.95" customHeight="1">
      <c r="A173" s="3185">
        <v>172</v>
      </c>
      <c r="B173" s="3185">
        <v>5</v>
      </c>
      <c r="C173" s="3185">
        <v>2</v>
      </c>
      <c r="D173" s="3186">
        <v>401</v>
      </c>
      <c r="E173" s="3202" t="str">
        <f t="shared" si="9"/>
        <v>5-2-401</v>
      </c>
      <c r="F173" s="3203">
        <v>110.18</v>
      </c>
      <c r="G173" s="3204">
        <v>90.17</v>
      </c>
      <c r="H173" s="3205" t="s">
        <v>3472</v>
      </c>
      <c r="I173" s="3205" t="s">
        <v>3470</v>
      </c>
      <c r="J173" s="3205">
        <v>3346350.6</v>
      </c>
      <c r="K173" s="3205">
        <v>30371.67</v>
      </c>
      <c r="L173" s="3206">
        <v>3346350</v>
      </c>
      <c r="M173" s="3206">
        <v>30371.66</v>
      </c>
      <c r="N173" s="3207" t="s">
        <v>3486</v>
      </c>
      <c r="O173" s="3190">
        <f t="shared" si="11"/>
        <v>3179033</v>
      </c>
    </row>
    <row r="174" spans="1:15" ht="24.95" customHeight="1">
      <c r="A174" s="3185">
        <v>173</v>
      </c>
      <c r="B174" s="3185">
        <v>5</v>
      </c>
      <c r="C174" s="3185">
        <v>2</v>
      </c>
      <c r="D174" s="3186">
        <v>402</v>
      </c>
      <c r="E174" s="3176" t="str">
        <f t="shared" si="9"/>
        <v>5-2-402</v>
      </c>
      <c r="F174" s="3191">
        <v>114.31</v>
      </c>
      <c r="G174" s="3188">
        <v>93.55</v>
      </c>
      <c r="H174" s="3189" t="s">
        <v>409</v>
      </c>
      <c r="I174" s="3189" t="s">
        <v>3470</v>
      </c>
      <c r="J174" s="3189">
        <v>3500363.1</v>
      </c>
      <c r="K174" s="3189">
        <v>30621.67</v>
      </c>
      <c r="L174" s="3181">
        <v>3500363</v>
      </c>
      <c r="M174" s="3181">
        <v>30621.67</v>
      </c>
      <c r="N174" s="3180" t="s">
        <v>3486</v>
      </c>
      <c r="O174" s="3190">
        <f t="shared" si="11"/>
        <v>3325345</v>
      </c>
    </row>
    <row r="175" spans="1:15" ht="24.95" customHeight="1">
      <c r="A175" s="3185">
        <v>174</v>
      </c>
      <c r="B175" s="3185">
        <v>5</v>
      </c>
      <c r="C175" s="3185">
        <v>2</v>
      </c>
      <c r="D175" s="3186">
        <v>501</v>
      </c>
      <c r="E175" s="3176" t="str">
        <f t="shared" si="9"/>
        <v>5-2-501</v>
      </c>
      <c r="F175" s="3191">
        <v>110.18</v>
      </c>
      <c r="G175" s="3188">
        <v>90.17</v>
      </c>
      <c r="H175" s="3189" t="s">
        <v>3472</v>
      </c>
      <c r="I175" s="3189" t="s">
        <v>3470</v>
      </c>
      <c r="J175" s="3189">
        <v>3368386.6</v>
      </c>
      <c r="K175" s="3189">
        <v>30571.67</v>
      </c>
      <c r="L175" s="3181">
        <v>3368386</v>
      </c>
      <c r="M175" s="3181">
        <v>30571.66</v>
      </c>
      <c r="N175" s="3180" t="s">
        <v>3486</v>
      </c>
      <c r="O175" s="3190">
        <f t="shared" si="11"/>
        <v>3199967</v>
      </c>
    </row>
    <row r="176" spans="1:15" ht="24.95" customHeight="1">
      <c r="A176" s="3185">
        <v>175</v>
      </c>
      <c r="B176" s="3185">
        <v>5</v>
      </c>
      <c r="C176" s="3185">
        <v>2</v>
      </c>
      <c r="D176" s="3186">
        <v>502</v>
      </c>
      <c r="E176" s="3176" t="str">
        <f t="shared" si="9"/>
        <v>5-2-502</v>
      </c>
      <c r="F176" s="3191">
        <v>114.31</v>
      </c>
      <c r="G176" s="3188">
        <v>93.55</v>
      </c>
      <c r="H176" s="3189" t="s">
        <v>409</v>
      </c>
      <c r="I176" s="3189" t="s">
        <v>3470</v>
      </c>
      <c r="J176" s="3189">
        <v>3523225.1</v>
      </c>
      <c r="K176" s="3189">
        <v>30821.67</v>
      </c>
      <c r="L176" s="3181">
        <v>3523225</v>
      </c>
      <c r="M176" s="3181">
        <v>30821.67</v>
      </c>
      <c r="N176" s="3180" t="s">
        <v>3486</v>
      </c>
      <c r="O176" s="3190">
        <f t="shared" si="11"/>
        <v>3347064</v>
      </c>
    </row>
    <row r="177" spans="1:15" ht="24.95" customHeight="1">
      <c r="A177" s="3185">
        <v>176</v>
      </c>
      <c r="B177" s="3185">
        <v>5</v>
      </c>
      <c r="C177" s="3185">
        <v>2</v>
      </c>
      <c r="D177" s="3186">
        <v>601</v>
      </c>
      <c r="E177" s="3176" t="str">
        <f t="shared" si="9"/>
        <v>5-2-601</v>
      </c>
      <c r="F177" s="3191">
        <v>110.18</v>
      </c>
      <c r="G177" s="3188">
        <v>90.17</v>
      </c>
      <c r="H177" s="3189" t="s">
        <v>3472</v>
      </c>
      <c r="I177" s="3189" t="s">
        <v>3470</v>
      </c>
      <c r="J177" s="3189">
        <v>3390422.6</v>
      </c>
      <c r="K177" s="3189">
        <v>30771.67</v>
      </c>
      <c r="L177" s="3181">
        <v>3390422</v>
      </c>
      <c r="M177" s="3181">
        <v>30771.66</v>
      </c>
      <c r="N177" s="3180" t="s">
        <v>3486</v>
      </c>
      <c r="O177" s="3190">
        <f t="shared" si="11"/>
        <v>3220901</v>
      </c>
    </row>
    <row r="178" spans="1:15" ht="24.95" customHeight="1">
      <c r="A178" s="3185">
        <v>177</v>
      </c>
      <c r="B178" s="3185">
        <v>5</v>
      </c>
      <c r="C178" s="3185">
        <v>2</v>
      </c>
      <c r="D178" s="3186">
        <v>602</v>
      </c>
      <c r="E178" s="3176" t="str">
        <f t="shared" si="9"/>
        <v>5-2-602</v>
      </c>
      <c r="F178" s="3191">
        <v>114.31</v>
      </c>
      <c r="G178" s="3188">
        <v>93.55</v>
      </c>
      <c r="H178" s="3189" t="s">
        <v>409</v>
      </c>
      <c r="I178" s="3189" t="s">
        <v>3470</v>
      </c>
      <c r="J178" s="3189">
        <v>3546087.1</v>
      </c>
      <c r="K178" s="3189">
        <v>31021.67</v>
      </c>
      <c r="L178" s="3181">
        <v>3546087</v>
      </c>
      <c r="M178" s="3181">
        <v>31021.67</v>
      </c>
      <c r="N178" s="3180" t="s">
        <v>3471</v>
      </c>
      <c r="O178" s="3190">
        <v>3372293</v>
      </c>
    </row>
    <row r="179" spans="1:15" ht="24.95" customHeight="1">
      <c r="A179" s="3185">
        <v>178</v>
      </c>
      <c r="B179" s="3185">
        <v>5</v>
      </c>
      <c r="C179" s="3185">
        <v>2</v>
      </c>
      <c r="D179" s="3186">
        <v>701</v>
      </c>
      <c r="E179" s="3176" t="str">
        <f t="shared" si="9"/>
        <v>5-2-701</v>
      </c>
      <c r="F179" s="3191">
        <v>110.18</v>
      </c>
      <c r="G179" s="3188">
        <v>90.17</v>
      </c>
      <c r="H179" s="3189" t="s">
        <v>3472</v>
      </c>
      <c r="I179" s="3189" t="s">
        <v>3470</v>
      </c>
      <c r="J179" s="3189">
        <v>3412458.6</v>
      </c>
      <c r="K179" s="3189">
        <v>30971.67</v>
      </c>
      <c r="L179" s="3181">
        <v>3412458</v>
      </c>
      <c r="M179" s="3181">
        <v>30971.66</v>
      </c>
      <c r="N179" s="3180" t="s">
        <v>3486</v>
      </c>
      <c r="O179" s="3190">
        <f>ROUND(L179*0.95,0)</f>
        <v>3241835</v>
      </c>
    </row>
    <row r="180" spans="1:15" ht="24.95" customHeight="1">
      <c r="A180" s="3185">
        <v>179</v>
      </c>
      <c r="B180" s="3185">
        <v>5</v>
      </c>
      <c r="C180" s="3185">
        <v>2</v>
      </c>
      <c r="D180" s="3186">
        <v>702</v>
      </c>
      <c r="E180" s="3176" t="str">
        <f t="shared" si="9"/>
        <v>5-2-702</v>
      </c>
      <c r="F180" s="3191">
        <v>114.31</v>
      </c>
      <c r="G180" s="3188">
        <v>93.55</v>
      </c>
      <c r="H180" s="3189" t="s">
        <v>409</v>
      </c>
      <c r="I180" s="3189" t="s">
        <v>3470</v>
      </c>
      <c r="J180" s="3189">
        <v>3568949.1</v>
      </c>
      <c r="K180" s="3189">
        <v>31221.67</v>
      </c>
      <c r="L180" s="3181">
        <v>3568949</v>
      </c>
      <c r="M180" s="3181">
        <v>31221.67</v>
      </c>
      <c r="N180" s="3180" t="s">
        <v>3486</v>
      </c>
      <c r="O180" s="3190">
        <f>ROUND(L180*0.95,0)</f>
        <v>3390502</v>
      </c>
    </row>
    <row r="181" spans="1:15" ht="24.95" customHeight="1">
      <c r="A181" s="3185">
        <v>180</v>
      </c>
      <c r="B181" s="3185">
        <v>5</v>
      </c>
      <c r="C181" s="3185">
        <v>2</v>
      </c>
      <c r="D181" s="3186">
        <v>801</v>
      </c>
      <c r="E181" s="3176" t="str">
        <f t="shared" si="9"/>
        <v>5-2-801</v>
      </c>
      <c r="F181" s="3191">
        <v>110.18</v>
      </c>
      <c r="G181" s="3188">
        <v>90.17</v>
      </c>
      <c r="H181" s="3189" t="s">
        <v>3472</v>
      </c>
      <c r="I181" s="3189" t="s">
        <v>3470</v>
      </c>
      <c r="J181" s="3189">
        <v>3569832</v>
      </c>
      <c r="K181" s="3189">
        <v>32400</v>
      </c>
      <c r="L181" s="3181">
        <v>3569832</v>
      </c>
      <c r="M181" s="3181">
        <v>32400</v>
      </c>
      <c r="N181" s="3180" t="s">
        <v>3486</v>
      </c>
      <c r="O181" s="3190">
        <f>ROUND(L181*0.95,0)</f>
        <v>3391340</v>
      </c>
    </row>
    <row r="182" spans="1:15" ht="24.95" customHeight="1">
      <c r="A182" s="3185">
        <v>181</v>
      </c>
      <c r="B182" s="3185">
        <v>5</v>
      </c>
      <c r="C182" s="3185">
        <v>2</v>
      </c>
      <c r="D182" s="3186">
        <v>802</v>
      </c>
      <c r="E182" s="3176" t="str">
        <f t="shared" si="9"/>
        <v>5-2-802</v>
      </c>
      <c r="F182" s="3191">
        <v>114.31</v>
      </c>
      <c r="G182" s="3188">
        <v>93.55</v>
      </c>
      <c r="H182" s="3189" t="s">
        <v>409</v>
      </c>
      <c r="I182" s="3189" t="s">
        <v>3470</v>
      </c>
      <c r="J182" s="3189">
        <v>3703644</v>
      </c>
      <c r="K182" s="3189">
        <v>32400</v>
      </c>
      <c r="L182" s="3181">
        <v>3703644</v>
      </c>
      <c r="M182" s="3181">
        <v>32400</v>
      </c>
      <c r="N182" s="3180" t="s">
        <v>3486</v>
      </c>
      <c r="O182" s="3190">
        <f>ROUND(L182*0.95,0)</f>
        <v>3518462</v>
      </c>
    </row>
    <row r="183" spans="1:15" ht="24.95" customHeight="1">
      <c r="A183" s="3185">
        <v>182</v>
      </c>
      <c r="B183" s="3185">
        <v>5</v>
      </c>
      <c r="C183" s="3185"/>
      <c r="D183" s="3186">
        <v>-101</v>
      </c>
      <c r="E183" s="3192" t="str">
        <f t="shared" si="9"/>
        <v>5---101</v>
      </c>
      <c r="F183" s="3193">
        <v>7.2</v>
      </c>
      <c r="G183" s="3193">
        <v>7.2</v>
      </c>
      <c r="H183" s="3185"/>
      <c r="I183" s="3185" t="s">
        <v>3487</v>
      </c>
      <c r="J183" s="3185">
        <v>64800</v>
      </c>
      <c r="K183" s="3185">
        <v>9000</v>
      </c>
      <c r="L183" s="3181">
        <v>64800</v>
      </c>
      <c r="M183" s="3181"/>
      <c r="N183" s="3180" t="s">
        <v>3486</v>
      </c>
      <c r="O183" s="3190">
        <f>F183*8000</f>
        <v>57600</v>
      </c>
    </row>
    <row r="184" spans="1:15" ht="24.95" customHeight="1">
      <c r="A184" s="3185">
        <v>183</v>
      </c>
      <c r="B184" s="3185">
        <v>6</v>
      </c>
      <c r="C184" s="3185"/>
      <c r="D184" s="3186">
        <v>101</v>
      </c>
      <c r="E184" s="3176" t="str">
        <f t="shared" si="9"/>
        <v>6--101</v>
      </c>
      <c r="F184" s="3191">
        <v>141.16999999999999</v>
      </c>
      <c r="G184" s="3188">
        <v>111.76</v>
      </c>
      <c r="H184" s="3189" t="s">
        <v>3473</v>
      </c>
      <c r="I184" s="3189" t="s">
        <v>3470</v>
      </c>
      <c r="J184" s="3189">
        <v>4202866.6500000004</v>
      </c>
      <c r="K184" s="3189">
        <v>29771.67</v>
      </c>
      <c r="L184" s="3181">
        <v>4202866</v>
      </c>
      <c r="M184" s="3181">
        <v>29771.67</v>
      </c>
      <c r="N184" s="3180" t="s">
        <v>3486</v>
      </c>
      <c r="O184" s="3190">
        <f t="shared" ref="O184:O191" si="12">ROUND(L184*0.95,0)</f>
        <v>3992723</v>
      </c>
    </row>
    <row r="185" spans="1:15" ht="24.95" customHeight="1">
      <c r="A185" s="3185">
        <v>184</v>
      </c>
      <c r="B185" s="3185">
        <v>6</v>
      </c>
      <c r="C185" s="3185"/>
      <c r="D185" s="3186">
        <v>102</v>
      </c>
      <c r="E185" s="3176" t="str">
        <f t="shared" si="9"/>
        <v>6--102</v>
      </c>
      <c r="F185" s="3191">
        <v>140.15</v>
      </c>
      <c r="G185" s="3188">
        <v>110.95</v>
      </c>
      <c r="H185" s="3189" t="s">
        <v>3474</v>
      </c>
      <c r="I185" s="3189" t="s">
        <v>3470</v>
      </c>
      <c r="J185" s="3189">
        <v>4130454.55</v>
      </c>
      <c r="K185" s="3189">
        <v>29471.67</v>
      </c>
      <c r="L185" s="3181">
        <v>4130454</v>
      </c>
      <c r="M185" s="3181">
        <v>29471.67</v>
      </c>
      <c r="N185" s="3180" t="s">
        <v>3486</v>
      </c>
      <c r="O185" s="3190">
        <f t="shared" si="12"/>
        <v>3923931</v>
      </c>
    </row>
    <row r="186" spans="1:15" ht="24.95" customHeight="1">
      <c r="A186" s="3185">
        <v>185</v>
      </c>
      <c r="B186" s="3185">
        <v>6</v>
      </c>
      <c r="C186" s="3185"/>
      <c r="D186" s="3186">
        <v>201</v>
      </c>
      <c r="E186" s="3176" t="str">
        <f t="shared" si="9"/>
        <v>6--201</v>
      </c>
      <c r="F186" s="3191">
        <v>141.16999999999999</v>
      </c>
      <c r="G186" s="3188">
        <v>111.76</v>
      </c>
      <c r="H186" s="3189" t="s">
        <v>3473</v>
      </c>
      <c r="I186" s="3189" t="s">
        <v>3470</v>
      </c>
      <c r="J186" s="3189">
        <v>4245217.6500000004</v>
      </c>
      <c r="K186" s="3189">
        <v>30071.67</v>
      </c>
      <c r="L186" s="3181">
        <v>4245217</v>
      </c>
      <c r="M186" s="3181">
        <v>30071.67</v>
      </c>
      <c r="N186" s="3180" t="s">
        <v>3486</v>
      </c>
      <c r="O186" s="3190">
        <f t="shared" si="12"/>
        <v>4032956</v>
      </c>
    </row>
    <row r="187" spans="1:15" ht="24.95" customHeight="1">
      <c r="A187" s="3185">
        <v>186</v>
      </c>
      <c r="B187" s="3185">
        <v>6</v>
      </c>
      <c r="C187" s="3185"/>
      <c r="D187" s="3186">
        <v>202</v>
      </c>
      <c r="E187" s="3176" t="str">
        <f t="shared" si="9"/>
        <v>6--202</v>
      </c>
      <c r="F187" s="3191">
        <v>140.15</v>
      </c>
      <c r="G187" s="3188">
        <v>110.95</v>
      </c>
      <c r="H187" s="3189" t="s">
        <v>3474</v>
      </c>
      <c r="I187" s="3189" t="s">
        <v>3470</v>
      </c>
      <c r="J187" s="3189">
        <v>4172499.55</v>
      </c>
      <c r="K187" s="3189">
        <v>29771.67</v>
      </c>
      <c r="L187" s="3181">
        <v>4172499</v>
      </c>
      <c r="M187" s="3181">
        <v>29771.67</v>
      </c>
      <c r="N187" s="3180" t="s">
        <v>3486</v>
      </c>
      <c r="O187" s="3190">
        <f t="shared" si="12"/>
        <v>3963874</v>
      </c>
    </row>
    <row r="188" spans="1:15" ht="24.95" customHeight="1">
      <c r="A188" s="3185">
        <v>187</v>
      </c>
      <c r="B188" s="3185">
        <v>6</v>
      </c>
      <c r="C188" s="3185"/>
      <c r="D188" s="3186">
        <v>301</v>
      </c>
      <c r="E188" s="3176" t="str">
        <f t="shared" si="9"/>
        <v>6--301</v>
      </c>
      <c r="F188" s="3191">
        <v>141.16999999999999</v>
      </c>
      <c r="G188" s="3188">
        <v>111.76</v>
      </c>
      <c r="H188" s="3189" t="s">
        <v>3473</v>
      </c>
      <c r="I188" s="3189" t="s">
        <v>3470</v>
      </c>
      <c r="J188" s="3189">
        <v>4315802.6500000004</v>
      </c>
      <c r="K188" s="3189">
        <v>30571.67</v>
      </c>
      <c r="L188" s="3181">
        <v>4315802</v>
      </c>
      <c r="M188" s="3181">
        <v>30571.67</v>
      </c>
      <c r="N188" s="3180" t="s">
        <v>3486</v>
      </c>
      <c r="O188" s="3190">
        <f t="shared" si="12"/>
        <v>4100012</v>
      </c>
    </row>
    <row r="189" spans="1:15" ht="24.95" customHeight="1">
      <c r="A189" s="3185">
        <v>188</v>
      </c>
      <c r="B189" s="3185">
        <v>6</v>
      </c>
      <c r="C189" s="3185"/>
      <c r="D189" s="3186">
        <v>302</v>
      </c>
      <c r="E189" s="3176" t="str">
        <f t="shared" si="9"/>
        <v>6--302</v>
      </c>
      <c r="F189" s="3191">
        <v>140.15</v>
      </c>
      <c r="G189" s="3188">
        <v>110.95</v>
      </c>
      <c r="H189" s="3189" t="s">
        <v>3474</v>
      </c>
      <c r="I189" s="3189" t="s">
        <v>3470</v>
      </c>
      <c r="J189" s="3189">
        <v>4242574.55</v>
      </c>
      <c r="K189" s="3189">
        <v>30271.67</v>
      </c>
      <c r="L189" s="3181">
        <v>4242574</v>
      </c>
      <c r="M189" s="3181">
        <v>30271.67</v>
      </c>
      <c r="N189" s="3180" t="s">
        <v>3486</v>
      </c>
      <c r="O189" s="3190">
        <f t="shared" si="12"/>
        <v>4030445</v>
      </c>
    </row>
    <row r="190" spans="1:15" ht="24.95" customHeight="1">
      <c r="A190" s="3185">
        <v>189</v>
      </c>
      <c r="B190" s="3185">
        <v>6</v>
      </c>
      <c r="C190" s="3185"/>
      <c r="D190" s="3186">
        <v>401</v>
      </c>
      <c r="E190" s="3176" t="str">
        <f t="shared" si="9"/>
        <v>6--401</v>
      </c>
      <c r="F190" s="3191">
        <v>141.16999999999999</v>
      </c>
      <c r="G190" s="3188">
        <v>111.76</v>
      </c>
      <c r="H190" s="3189" t="s">
        <v>3473</v>
      </c>
      <c r="I190" s="3189" t="s">
        <v>3470</v>
      </c>
      <c r="J190" s="3189">
        <v>4358153.6500000004</v>
      </c>
      <c r="K190" s="3189">
        <v>30871.67</v>
      </c>
      <c r="L190" s="3181">
        <v>4358153</v>
      </c>
      <c r="M190" s="3181">
        <v>30871.67</v>
      </c>
      <c r="N190" s="3180" t="s">
        <v>3486</v>
      </c>
      <c r="O190" s="3190">
        <f t="shared" si="12"/>
        <v>4140245</v>
      </c>
    </row>
    <row r="191" spans="1:15" ht="24.95" customHeight="1">
      <c r="A191" s="3185">
        <v>190</v>
      </c>
      <c r="B191" s="3185">
        <v>6</v>
      </c>
      <c r="C191" s="3185"/>
      <c r="D191" s="3186">
        <v>402</v>
      </c>
      <c r="E191" s="3176" t="str">
        <f t="shared" si="9"/>
        <v>6--402</v>
      </c>
      <c r="F191" s="3191">
        <v>140.15</v>
      </c>
      <c r="G191" s="3188">
        <v>110.95</v>
      </c>
      <c r="H191" s="3189" t="s">
        <v>3474</v>
      </c>
      <c r="I191" s="3189" t="s">
        <v>3470</v>
      </c>
      <c r="J191" s="3189">
        <v>4284619.55</v>
      </c>
      <c r="K191" s="3189">
        <v>30571.67</v>
      </c>
      <c r="L191" s="3181">
        <v>4284619</v>
      </c>
      <c r="M191" s="3181">
        <v>30571.67</v>
      </c>
      <c r="N191" s="3180" t="s">
        <v>3486</v>
      </c>
      <c r="O191" s="3190">
        <f t="shared" si="12"/>
        <v>4070388</v>
      </c>
    </row>
    <row r="192" spans="1:15" ht="24.95" customHeight="1">
      <c r="A192" s="3185">
        <v>191</v>
      </c>
      <c r="B192" s="3185">
        <v>6</v>
      </c>
      <c r="C192" s="3185"/>
      <c r="D192" s="3186">
        <v>501</v>
      </c>
      <c r="E192" s="3176" t="str">
        <f t="shared" si="9"/>
        <v>6--501</v>
      </c>
      <c r="F192" s="3191">
        <v>141.16999999999999</v>
      </c>
      <c r="G192" s="3188">
        <v>111.76</v>
      </c>
      <c r="H192" s="3189" t="s">
        <v>3473</v>
      </c>
      <c r="I192" s="3189" t="s">
        <v>3470</v>
      </c>
      <c r="J192" s="3189">
        <v>4386387.6500000004</v>
      </c>
      <c r="K192" s="3189">
        <v>31071.67</v>
      </c>
      <c r="L192" s="3181">
        <v>4386387</v>
      </c>
      <c r="M192" s="3181">
        <v>31071.67</v>
      </c>
      <c r="N192" s="3180" t="s">
        <v>3471</v>
      </c>
      <c r="O192" s="3190">
        <v>4129275</v>
      </c>
    </row>
    <row r="193" spans="1:15" ht="24.95" customHeight="1">
      <c r="A193" s="3185">
        <v>192</v>
      </c>
      <c r="B193" s="3185">
        <v>6</v>
      </c>
      <c r="C193" s="3185"/>
      <c r="D193" s="3186">
        <v>502</v>
      </c>
      <c r="E193" s="3176" t="str">
        <f t="shared" si="9"/>
        <v>6--502</v>
      </c>
      <c r="F193" s="3191">
        <v>140.15</v>
      </c>
      <c r="G193" s="3188">
        <v>110.95</v>
      </c>
      <c r="H193" s="3189" t="s">
        <v>3474</v>
      </c>
      <c r="I193" s="3189" t="s">
        <v>3470</v>
      </c>
      <c r="J193" s="3189">
        <v>4312649.55</v>
      </c>
      <c r="K193" s="3189">
        <v>30771.67</v>
      </c>
      <c r="L193" s="3181">
        <v>4312649</v>
      </c>
      <c r="M193" s="3181">
        <v>30771.67</v>
      </c>
      <c r="N193" s="3180" t="s">
        <v>3471</v>
      </c>
      <c r="O193" s="3190">
        <v>4059859</v>
      </c>
    </row>
    <row r="194" spans="1:15" ht="24.95" customHeight="1">
      <c r="A194" s="3185">
        <v>193</v>
      </c>
      <c r="B194" s="3185">
        <v>6</v>
      </c>
      <c r="C194" s="3185"/>
      <c r="D194" s="3186">
        <v>601</v>
      </c>
      <c r="E194" s="3176" t="str">
        <f t="shared" ref="E194:E257" si="13">CONCATENATE(B194,"-",C194,"-",D194)</f>
        <v>6--601</v>
      </c>
      <c r="F194" s="3191">
        <v>141.16999999999999</v>
      </c>
      <c r="G194" s="3188">
        <v>111.76</v>
      </c>
      <c r="H194" s="3189" t="s">
        <v>3473</v>
      </c>
      <c r="I194" s="3189" t="s">
        <v>3470</v>
      </c>
      <c r="J194" s="3189">
        <v>4414621.6500000004</v>
      </c>
      <c r="K194" s="3189">
        <v>31271.67</v>
      </c>
      <c r="L194" s="3181">
        <v>4414621</v>
      </c>
      <c r="M194" s="3181">
        <v>31271.67</v>
      </c>
      <c r="N194" s="3180" t="s">
        <v>3471</v>
      </c>
      <c r="O194" s="3190">
        <v>4198260</v>
      </c>
    </row>
    <row r="195" spans="1:15" ht="24.95" customHeight="1">
      <c r="A195" s="3185">
        <v>194</v>
      </c>
      <c r="B195" s="3185">
        <v>6</v>
      </c>
      <c r="C195" s="3185"/>
      <c r="D195" s="3186">
        <v>602</v>
      </c>
      <c r="E195" s="3176" t="str">
        <f t="shared" si="13"/>
        <v>6--602</v>
      </c>
      <c r="F195" s="3191">
        <v>140.15</v>
      </c>
      <c r="G195" s="3188">
        <v>110.95</v>
      </c>
      <c r="H195" s="3189" t="s">
        <v>3474</v>
      </c>
      <c r="I195" s="3189" t="s">
        <v>3470</v>
      </c>
      <c r="J195" s="3189">
        <v>4340679.55</v>
      </c>
      <c r="K195" s="3189">
        <v>30971.67</v>
      </c>
      <c r="L195" s="3181">
        <v>4340679</v>
      </c>
      <c r="M195" s="3181">
        <v>30971.67</v>
      </c>
      <c r="N195" s="3180" t="s">
        <v>3471</v>
      </c>
      <c r="O195" s="3190">
        <v>4127943</v>
      </c>
    </row>
    <row r="196" spans="1:15" ht="24.95" customHeight="1">
      <c r="A196" s="3185">
        <v>195</v>
      </c>
      <c r="B196" s="3185">
        <v>6</v>
      </c>
      <c r="C196" s="3185"/>
      <c r="D196" s="3186">
        <v>701</v>
      </c>
      <c r="E196" s="3176" t="str">
        <f t="shared" si="13"/>
        <v>6--701</v>
      </c>
      <c r="F196" s="3191">
        <v>141.16999999999999</v>
      </c>
      <c r="G196" s="3188">
        <v>111.76</v>
      </c>
      <c r="H196" s="3189" t="s">
        <v>3473</v>
      </c>
      <c r="I196" s="3189" t="s">
        <v>3470</v>
      </c>
      <c r="J196" s="3189">
        <v>4442855.6500000004</v>
      </c>
      <c r="K196" s="3189">
        <v>31471.67</v>
      </c>
      <c r="L196" s="3181">
        <v>4442855</v>
      </c>
      <c r="M196" s="3181">
        <v>31471.67</v>
      </c>
      <c r="N196" s="3180" t="s">
        <v>3471</v>
      </c>
      <c r="O196" s="3190">
        <v>4265141</v>
      </c>
    </row>
    <row r="197" spans="1:15" ht="24.95" customHeight="1">
      <c r="A197" s="3185">
        <v>196</v>
      </c>
      <c r="B197" s="3185">
        <v>6</v>
      </c>
      <c r="C197" s="3185"/>
      <c r="D197" s="3186">
        <v>702</v>
      </c>
      <c r="E197" s="3176" t="str">
        <f t="shared" si="13"/>
        <v>6--702</v>
      </c>
      <c r="F197" s="3191">
        <v>140.15</v>
      </c>
      <c r="G197" s="3188">
        <v>110.95</v>
      </c>
      <c r="H197" s="3189" t="s">
        <v>3474</v>
      </c>
      <c r="I197" s="3189" t="s">
        <v>3470</v>
      </c>
      <c r="J197" s="3189">
        <v>4368709.55</v>
      </c>
      <c r="K197" s="3189">
        <v>31171.67</v>
      </c>
      <c r="L197" s="3181">
        <v>4368709</v>
      </c>
      <c r="M197" s="3181">
        <v>31171.67</v>
      </c>
      <c r="N197" s="3180" t="s">
        <v>3486</v>
      </c>
      <c r="O197" s="3190">
        <f>ROUND(L197*0.95,0)</f>
        <v>4150274</v>
      </c>
    </row>
    <row r="198" spans="1:15" ht="24.95" customHeight="1">
      <c r="A198" s="3185">
        <v>197</v>
      </c>
      <c r="B198" s="3185">
        <v>6</v>
      </c>
      <c r="C198" s="3185"/>
      <c r="D198" s="3186">
        <v>801</v>
      </c>
      <c r="E198" s="3176" t="str">
        <f t="shared" si="13"/>
        <v>6--801</v>
      </c>
      <c r="F198" s="3191">
        <v>141.16999999999999</v>
      </c>
      <c r="G198" s="3188">
        <v>111.76</v>
      </c>
      <c r="H198" s="3189" t="s">
        <v>3473</v>
      </c>
      <c r="I198" s="3189" t="s">
        <v>3470</v>
      </c>
      <c r="J198" s="3189">
        <v>4573908</v>
      </c>
      <c r="K198" s="3189">
        <v>32400</v>
      </c>
      <c r="L198" s="3181">
        <v>4573908</v>
      </c>
      <c r="M198" s="3181">
        <v>32400</v>
      </c>
      <c r="N198" s="3180" t="s">
        <v>3471</v>
      </c>
      <c r="O198" s="3190">
        <v>4573908</v>
      </c>
    </row>
    <row r="199" spans="1:15" ht="24.95" customHeight="1">
      <c r="A199" s="3185">
        <v>198</v>
      </c>
      <c r="B199" s="3185">
        <v>6</v>
      </c>
      <c r="C199" s="3185"/>
      <c r="D199" s="3186">
        <v>802</v>
      </c>
      <c r="E199" s="3176" t="str">
        <f t="shared" si="13"/>
        <v>6--802</v>
      </c>
      <c r="F199" s="3191">
        <v>140.15</v>
      </c>
      <c r="G199" s="3188">
        <v>110.95</v>
      </c>
      <c r="H199" s="3189" t="s">
        <v>3474</v>
      </c>
      <c r="I199" s="3189" t="s">
        <v>3470</v>
      </c>
      <c r="J199" s="3189">
        <v>4540860</v>
      </c>
      <c r="K199" s="3189">
        <v>32400</v>
      </c>
      <c r="L199" s="3181">
        <v>4540860</v>
      </c>
      <c r="M199" s="3181">
        <v>32400</v>
      </c>
      <c r="N199" s="3180" t="s">
        <v>3486</v>
      </c>
      <c r="O199" s="3190">
        <f>ROUND(L199*0.95,0)</f>
        <v>4313817</v>
      </c>
    </row>
    <row r="200" spans="1:15" ht="24.95" customHeight="1">
      <c r="A200" s="3185">
        <v>199</v>
      </c>
      <c r="B200" s="3185">
        <v>6</v>
      </c>
      <c r="C200" s="3185"/>
      <c r="D200" s="3186">
        <v>-101</v>
      </c>
      <c r="E200" s="3192" t="str">
        <f t="shared" si="13"/>
        <v>6---101</v>
      </c>
      <c r="F200" s="3186">
        <v>14.41</v>
      </c>
      <c r="G200" s="3193">
        <v>7.15</v>
      </c>
      <c r="H200" s="3185"/>
      <c r="I200" s="3185" t="s">
        <v>3487</v>
      </c>
      <c r="J200" s="3185">
        <v>129690</v>
      </c>
      <c r="K200" s="3185">
        <v>9000</v>
      </c>
      <c r="L200" s="3181">
        <v>129690</v>
      </c>
      <c r="M200" s="3181"/>
      <c r="N200" s="3180" t="s">
        <v>3486</v>
      </c>
      <c r="O200" s="3190">
        <f t="shared" ref="O200:O209" si="14">F200*8000</f>
        <v>115280</v>
      </c>
    </row>
    <row r="201" spans="1:15" ht="24.95" customHeight="1">
      <c r="A201" s="3185">
        <v>200</v>
      </c>
      <c r="B201" s="3185">
        <v>6</v>
      </c>
      <c r="C201" s="3185"/>
      <c r="D201" s="3186">
        <v>-102</v>
      </c>
      <c r="E201" s="3192" t="str">
        <f t="shared" si="13"/>
        <v>6---102</v>
      </c>
      <c r="F201" s="3186">
        <v>16.97</v>
      </c>
      <c r="G201" s="3193">
        <v>8.42</v>
      </c>
      <c r="H201" s="3185"/>
      <c r="I201" s="3185" t="s">
        <v>3487</v>
      </c>
      <c r="J201" s="3185">
        <v>152730</v>
      </c>
      <c r="K201" s="3185">
        <v>9000</v>
      </c>
      <c r="L201" s="3181">
        <v>152730</v>
      </c>
      <c r="M201" s="3181"/>
      <c r="N201" s="3180" t="s">
        <v>3486</v>
      </c>
      <c r="O201" s="3190">
        <f t="shared" si="14"/>
        <v>135760</v>
      </c>
    </row>
    <row r="202" spans="1:15" ht="24.95" customHeight="1">
      <c r="A202" s="3185">
        <v>201</v>
      </c>
      <c r="B202" s="3185">
        <v>6</v>
      </c>
      <c r="C202" s="3185"/>
      <c r="D202" s="3186">
        <v>-103</v>
      </c>
      <c r="E202" s="3192" t="str">
        <f t="shared" si="13"/>
        <v>6---103</v>
      </c>
      <c r="F202" s="3186">
        <v>27.92</v>
      </c>
      <c r="G202" s="3193">
        <v>13.85</v>
      </c>
      <c r="H202" s="3185"/>
      <c r="I202" s="3185" t="s">
        <v>3487</v>
      </c>
      <c r="J202" s="3185">
        <v>251280</v>
      </c>
      <c r="K202" s="3185">
        <v>9000</v>
      </c>
      <c r="L202" s="3181">
        <v>251280</v>
      </c>
      <c r="M202" s="3181"/>
      <c r="N202" s="3180" t="s">
        <v>3486</v>
      </c>
      <c r="O202" s="3190">
        <f t="shared" si="14"/>
        <v>223360</v>
      </c>
    </row>
    <row r="203" spans="1:15" ht="24.95" customHeight="1">
      <c r="A203" s="3185">
        <v>202</v>
      </c>
      <c r="B203" s="3185">
        <v>6</v>
      </c>
      <c r="C203" s="3185"/>
      <c r="D203" s="3186">
        <v>-104</v>
      </c>
      <c r="E203" s="3192" t="str">
        <f t="shared" si="13"/>
        <v>6---104</v>
      </c>
      <c r="F203" s="3186">
        <v>22.82</v>
      </c>
      <c r="G203" s="3193">
        <v>11.32</v>
      </c>
      <c r="H203" s="3185"/>
      <c r="I203" s="3185" t="s">
        <v>3487</v>
      </c>
      <c r="J203" s="3185">
        <v>205380</v>
      </c>
      <c r="K203" s="3185">
        <v>9000</v>
      </c>
      <c r="L203" s="3181">
        <v>205380</v>
      </c>
      <c r="M203" s="3181"/>
      <c r="N203" s="3180" t="s">
        <v>3486</v>
      </c>
      <c r="O203" s="3190">
        <f t="shared" si="14"/>
        <v>182560</v>
      </c>
    </row>
    <row r="204" spans="1:15" ht="24.95" customHeight="1">
      <c r="A204" s="3185">
        <v>203</v>
      </c>
      <c r="B204" s="3185">
        <v>6</v>
      </c>
      <c r="C204" s="3185"/>
      <c r="D204" s="3186">
        <v>-105</v>
      </c>
      <c r="E204" s="3192" t="str">
        <f t="shared" si="13"/>
        <v>6---105</v>
      </c>
      <c r="F204" s="3186">
        <v>35.4</v>
      </c>
      <c r="G204" s="3193">
        <v>17.559999999999999</v>
      </c>
      <c r="H204" s="3185"/>
      <c r="I204" s="3185" t="s">
        <v>3487</v>
      </c>
      <c r="J204" s="3185">
        <v>318600</v>
      </c>
      <c r="K204" s="3185">
        <v>9000</v>
      </c>
      <c r="L204" s="3181">
        <v>318600</v>
      </c>
      <c r="M204" s="3181"/>
      <c r="N204" s="3180" t="s">
        <v>3486</v>
      </c>
      <c r="O204" s="3190">
        <f t="shared" si="14"/>
        <v>283200</v>
      </c>
    </row>
    <row r="205" spans="1:15" ht="24.95" customHeight="1">
      <c r="A205" s="3185">
        <v>204</v>
      </c>
      <c r="B205" s="3185">
        <v>6</v>
      </c>
      <c r="C205" s="3185"/>
      <c r="D205" s="3186">
        <v>-106</v>
      </c>
      <c r="E205" s="3192" t="str">
        <f t="shared" si="13"/>
        <v>6---106</v>
      </c>
      <c r="F205" s="3186">
        <v>37.07</v>
      </c>
      <c r="G205" s="3193">
        <v>18.39</v>
      </c>
      <c r="H205" s="3185"/>
      <c r="I205" s="3185" t="s">
        <v>3487</v>
      </c>
      <c r="J205" s="3185">
        <v>333630</v>
      </c>
      <c r="K205" s="3185">
        <v>9000</v>
      </c>
      <c r="L205" s="3181">
        <v>333630</v>
      </c>
      <c r="M205" s="3181"/>
      <c r="N205" s="3180" t="s">
        <v>3486</v>
      </c>
      <c r="O205" s="3190">
        <f t="shared" si="14"/>
        <v>296560</v>
      </c>
    </row>
    <row r="206" spans="1:15" ht="24.95" customHeight="1">
      <c r="A206" s="3185">
        <v>205</v>
      </c>
      <c r="B206" s="3185">
        <v>6</v>
      </c>
      <c r="C206" s="3185"/>
      <c r="D206" s="3186">
        <v>-107</v>
      </c>
      <c r="E206" s="3192" t="str">
        <f t="shared" si="13"/>
        <v>6---107</v>
      </c>
      <c r="F206" s="3186">
        <v>29.15</v>
      </c>
      <c r="G206" s="3193">
        <v>14.46</v>
      </c>
      <c r="H206" s="3185"/>
      <c r="I206" s="3185" t="s">
        <v>3487</v>
      </c>
      <c r="J206" s="3185">
        <v>262350</v>
      </c>
      <c r="K206" s="3185">
        <v>9000</v>
      </c>
      <c r="L206" s="3181">
        <v>262350</v>
      </c>
      <c r="M206" s="3181"/>
      <c r="N206" s="3180" t="s">
        <v>3486</v>
      </c>
      <c r="O206" s="3190">
        <f t="shared" si="14"/>
        <v>233200</v>
      </c>
    </row>
    <row r="207" spans="1:15" ht="24.95" customHeight="1">
      <c r="A207" s="3185">
        <v>206</v>
      </c>
      <c r="B207" s="3185">
        <v>6</v>
      </c>
      <c r="C207" s="3185"/>
      <c r="D207" s="3186">
        <v>-108</v>
      </c>
      <c r="E207" s="3192" t="str">
        <f t="shared" si="13"/>
        <v>6---108</v>
      </c>
      <c r="F207" s="3186">
        <v>33.020000000000003</v>
      </c>
      <c r="G207" s="3193">
        <v>16.38</v>
      </c>
      <c r="H207" s="3185"/>
      <c r="I207" s="3185" t="s">
        <v>3487</v>
      </c>
      <c r="J207" s="3185">
        <v>297180</v>
      </c>
      <c r="K207" s="3185">
        <v>9000</v>
      </c>
      <c r="L207" s="3181">
        <v>297180</v>
      </c>
      <c r="M207" s="3181"/>
      <c r="N207" s="3180" t="s">
        <v>3486</v>
      </c>
      <c r="O207" s="3190">
        <f t="shared" si="14"/>
        <v>264160</v>
      </c>
    </row>
    <row r="208" spans="1:15" ht="24.95" customHeight="1">
      <c r="A208" s="3185">
        <v>207</v>
      </c>
      <c r="B208" s="3185">
        <v>6</v>
      </c>
      <c r="C208" s="3185"/>
      <c r="D208" s="3186">
        <v>-109</v>
      </c>
      <c r="E208" s="3192" t="str">
        <f t="shared" si="13"/>
        <v>6---109</v>
      </c>
      <c r="F208" s="3186">
        <v>24.97</v>
      </c>
      <c r="G208" s="3193">
        <v>12.39</v>
      </c>
      <c r="H208" s="3185"/>
      <c r="I208" s="3185" t="s">
        <v>3487</v>
      </c>
      <c r="J208" s="3185">
        <v>224730</v>
      </c>
      <c r="K208" s="3185">
        <v>9000</v>
      </c>
      <c r="L208" s="3181">
        <v>224730</v>
      </c>
      <c r="M208" s="3181"/>
      <c r="N208" s="3180" t="s">
        <v>3486</v>
      </c>
      <c r="O208" s="3190">
        <f t="shared" si="14"/>
        <v>199760</v>
      </c>
    </row>
    <row r="209" spans="1:15" ht="24.95" customHeight="1">
      <c r="A209" s="3185">
        <v>208</v>
      </c>
      <c r="B209" s="3185">
        <v>6</v>
      </c>
      <c r="C209" s="3185"/>
      <c r="D209" s="3186">
        <v>-110</v>
      </c>
      <c r="E209" s="3192" t="str">
        <f t="shared" si="13"/>
        <v>6---110</v>
      </c>
      <c r="F209" s="3186">
        <v>22.29</v>
      </c>
      <c r="G209" s="3193">
        <v>11.06</v>
      </c>
      <c r="H209" s="3185"/>
      <c r="I209" s="3185" t="s">
        <v>3487</v>
      </c>
      <c r="J209" s="3185">
        <v>200610</v>
      </c>
      <c r="K209" s="3185">
        <v>9000</v>
      </c>
      <c r="L209" s="3181">
        <v>200610</v>
      </c>
      <c r="M209" s="3181"/>
      <c r="N209" s="3180" t="s">
        <v>3486</v>
      </c>
      <c r="O209" s="3190">
        <f t="shared" si="14"/>
        <v>178320</v>
      </c>
    </row>
    <row r="210" spans="1:15" ht="24.95" customHeight="1">
      <c r="A210" s="3185">
        <v>209</v>
      </c>
      <c r="B210" s="3185">
        <v>7</v>
      </c>
      <c r="C210" s="3185"/>
      <c r="D210" s="3186">
        <v>101</v>
      </c>
      <c r="E210" s="3176" t="str">
        <f t="shared" si="13"/>
        <v>7--101</v>
      </c>
      <c r="F210" s="3191">
        <v>115.15</v>
      </c>
      <c r="G210" s="3188">
        <v>93.55</v>
      </c>
      <c r="H210" s="3189" t="s">
        <v>3476</v>
      </c>
      <c r="I210" s="3189" t="s">
        <v>3470</v>
      </c>
      <c r="J210" s="3189">
        <v>3330330.3</v>
      </c>
      <c r="K210" s="3189">
        <v>28921.67</v>
      </c>
      <c r="L210" s="3181">
        <v>3330330</v>
      </c>
      <c r="M210" s="3181">
        <v>28921.67</v>
      </c>
      <c r="N210" s="3180" t="s">
        <v>3486</v>
      </c>
      <c r="O210" s="3190">
        <f t="shared" ref="O210:O218" si="15">ROUND(L210*0.95,0)</f>
        <v>3163814</v>
      </c>
    </row>
    <row r="211" spans="1:15" ht="24.95" customHeight="1">
      <c r="A211" s="3185">
        <v>210</v>
      </c>
      <c r="B211" s="3185">
        <v>7</v>
      </c>
      <c r="C211" s="3185"/>
      <c r="D211" s="3186">
        <v>102</v>
      </c>
      <c r="E211" s="3176" t="str">
        <f t="shared" si="13"/>
        <v>7--102</v>
      </c>
      <c r="F211" s="3191">
        <v>131.75</v>
      </c>
      <c r="G211" s="3188">
        <v>107.04</v>
      </c>
      <c r="H211" s="3189" t="s">
        <v>3475</v>
      </c>
      <c r="I211" s="3189" t="s">
        <v>3470</v>
      </c>
      <c r="J211" s="3189">
        <v>3843367.52</v>
      </c>
      <c r="K211" s="3189">
        <v>29171.67</v>
      </c>
      <c r="L211" s="3181">
        <v>3843367</v>
      </c>
      <c r="M211" s="3181">
        <v>29171.67</v>
      </c>
      <c r="N211" s="3180" t="s">
        <v>3486</v>
      </c>
      <c r="O211" s="3190">
        <f t="shared" si="15"/>
        <v>3651199</v>
      </c>
    </row>
    <row r="212" spans="1:15" ht="24.95" customHeight="1">
      <c r="A212" s="3185">
        <v>211</v>
      </c>
      <c r="B212" s="3185">
        <v>7</v>
      </c>
      <c r="C212" s="3185"/>
      <c r="D212" s="3186">
        <v>201</v>
      </c>
      <c r="E212" s="3176" t="str">
        <f t="shared" si="13"/>
        <v>7--201</v>
      </c>
      <c r="F212" s="3191">
        <v>115.15</v>
      </c>
      <c r="G212" s="3188">
        <v>93.55</v>
      </c>
      <c r="H212" s="3189" t="s">
        <v>3476</v>
      </c>
      <c r="I212" s="3189" t="s">
        <v>3470</v>
      </c>
      <c r="J212" s="3189">
        <v>3364875.3</v>
      </c>
      <c r="K212" s="3189">
        <v>29221.67</v>
      </c>
      <c r="L212" s="3181">
        <v>3364875</v>
      </c>
      <c r="M212" s="3181">
        <v>29221.67</v>
      </c>
      <c r="N212" s="3180" t="s">
        <v>3486</v>
      </c>
      <c r="O212" s="3190">
        <f t="shared" si="15"/>
        <v>3196631</v>
      </c>
    </row>
    <row r="213" spans="1:15" ht="24.95" customHeight="1">
      <c r="A213" s="3185">
        <v>212</v>
      </c>
      <c r="B213" s="3185">
        <v>7</v>
      </c>
      <c r="C213" s="3185"/>
      <c r="D213" s="3186">
        <v>202</v>
      </c>
      <c r="E213" s="3176" t="str">
        <f t="shared" si="13"/>
        <v>7--202</v>
      </c>
      <c r="F213" s="3191">
        <v>131.75</v>
      </c>
      <c r="G213" s="3188">
        <v>107.04</v>
      </c>
      <c r="H213" s="3189" t="s">
        <v>3475</v>
      </c>
      <c r="I213" s="3189" t="s">
        <v>3470</v>
      </c>
      <c r="J213" s="3189">
        <v>3882892.52</v>
      </c>
      <c r="K213" s="3189">
        <v>29471.67</v>
      </c>
      <c r="L213" s="3181">
        <v>3882892</v>
      </c>
      <c r="M213" s="3181">
        <v>29471.67</v>
      </c>
      <c r="N213" s="3180" t="s">
        <v>3486</v>
      </c>
      <c r="O213" s="3190">
        <f t="shared" si="15"/>
        <v>3688747</v>
      </c>
    </row>
    <row r="214" spans="1:15" ht="24.95" customHeight="1">
      <c r="A214" s="3185">
        <v>213</v>
      </c>
      <c r="B214" s="3185">
        <v>7</v>
      </c>
      <c r="C214" s="3185"/>
      <c r="D214" s="3186">
        <v>301</v>
      </c>
      <c r="E214" s="3176" t="str">
        <f t="shared" si="13"/>
        <v>7--301</v>
      </c>
      <c r="F214" s="3191">
        <v>115.15</v>
      </c>
      <c r="G214" s="3188">
        <v>93.55</v>
      </c>
      <c r="H214" s="3189" t="s">
        <v>3476</v>
      </c>
      <c r="I214" s="3189" t="s">
        <v>3470</v>
      </c>
      <c r="J214" s="3189">
        <v>3422450.3</v>
      </c>
      <c r="K214" s="3189">
        <v>29721.67</v>
      </c>
      <c r="L214" s="3181">
        <v>3422450</v>
      </c>
      <c r="M214" s="3181">
        <v>29721.67</v>
      </c>
      <c r="N214" s="3180" t="s">
        <v>3486</v>
      </c>
      <c r="O214" s="3190">
        <f t="shared" si="15"/>
        <v>3251328</v>
      </c>
    </row>
    <row r="215" spans="1:15" ht="24.95" customHeight="1">
      <c r="A215" s="3185">
        <v>214</v>
      </c>
      <c r="B215" s="3185">
        <v>7</v>
      </c>
      <c r="C215" s="3185"/>
      <c r="D215" s="3186">
        <v>302</v>
      </c>
      <c r="E215" s="3176" t="str">
        <f t="shared" si="13"/>
        <v>7--302</v>
      </c>
      <c r="F215" s="3191">
        <v>131.75</v>
      </c>
      <c r="G215" s="3188">
        <v>107.04</v>
      </c>
      <c r="H215" s="3189" t="s">
        <v>3475</v>
      </c>
      <c r="I215" s="3189" t="s">
        <v>3470</v>
      </c>
      <c r="J215" s="3189">
        <v>3948767.52</v>
      </c>
      <c r="K215" s="3189">
        <v>29971.67</v>
      </c>
      <c r="L215" s="3181">
        <v>3948767</v>
      </c>
      <c r="M215" s="3181">
        <v>29971.67</v>
      </c>
      <c r="N215" s="3180" t="s">
        <v>3486</v>
      </c>
      <c r="O215" s="3190">
        <f t="shared" si="15"/>
        <v>3751329</v>
      </c>
    </row>
    <row r="216" spans="1:15" ht="24.95" customHeight="1">
      <c r="A216" s="3185">
        <v>215</v>
      </c>
      <c r="B216" s="3185">
        <v>7</v>
      </c>
      <c r="C216" s="3185"/>
      <c r="D216" s="3186">
        <v>401</v>
      </c>
      <c r="E216" s="3176" t="str">
        <f t="shared" si="13"/>
        <v>7--401</v>
      </c>
      <c r="F216" s="3191">
        <v>115.15</v>
      </c>
      <c r="G216" s="3188">
        <v>93.55</v>
      </c>
      <c r="H216" s="3189" t="s">
        <v>3476</v>
      </c>
      <c r="I216" s="3189" t="s">
        <v>3470</v>
      </c>
      <c r="J216" s="3189">
        <v>3456995.3</v>
      </c>
      <c r="K216" s="3189">
        <v>30021.67</v>
      </c>
      <c r="L216" s="3181">
        <v>3456995</v>
      </c>
      <c r="M216" s="3181">
        <v>30021.67</v>
      </c>
      <c r="N216" s="3180" t="s">
        <v>3486</v>
      </c>
      <c r="O216" s="3190">
        <f t="shared" si="15"/>
        <v>3284145</v>
      </c>
    </row>
    <row r="217" spans="1:15" ht="24.95" customHeight="1">
      <c r="A217" s="3185">
        <v>216</v>
      </c>
      <c r="B217" s="3185">
        <v>7</v>
      </c>
      <c r="C217" s="3185"/>
      <c r="D217" s="3186">
        <v>402</v>
      </c>
      <c r="E217" s="3176" t="str">
        <f t="shared" si="13"/>
        <v>7--402</v>
      </c>
      <c r="F217" s="3191">
        <v>131.75</v>
      </c>
      <c r="G217" s="3188">
        <v>107.04</v>
      </c>
      <c r="H217" s="3189" t="s">
        <v>3475</v>
      </c>
      <c r="I217" s="3189" t="s">
        <v>3470</v>
      </c>
      <c r="J217" s="3189">
        <v>3988292.52</v>
      </c>
      <c r="K217" s="3189">
        <v>30271.67</v>
      </c>
      <c r="L217" s="3181">
        <v>3988292</v>
      </c>
      <c r="M217" s="3181">
        <v>30271.67</v>
      </c>
      <c r="N217" s="3180" t="s">
        <v>3486</v>
      </c>
      <c r="O217" s="3190">
        <f t="shared" si="15"/>
        <v>3788877</v>
      </c>
    </row>
    <row r="218" spans="1:15" ht="24.95" customHeight="1">
      <c r="A218" s="3185">
        <v>217</v>
      </c>
      <c r="B218" s="3185">
        <v>7</v>
      </c>
      <c r="C218" s="3185"/>
      <c r="D218" s="3186">
        <v>501</v>
      </c>
      <c r="E218" s="3176" t="str">
        <f t="shared" si="13"/>
        <v>7--501</v>
      </c>
      <c r="F218" s="3191">
        <v>115.15</v>
      </c>
      <c r="G218" s="3188">
        <v>93.55</v>
      </c>
      <c r="H218" s="3189" t="s">
        <v>3476</v>
      </c>
      <c r="I218" s="3189" t="s">
        <v>3470</v>
      </c>
      <c r="J218" s="3189">
        <v>3485782.8</v>
      </c>
      <c r="K218" s="3189">
        <v>30271.67</v>
      </c>
      <c r="L218" s="3181">
        <v>3485782</v>
      </c>
      <c r="M218" s="3181">
        <v>30271.66</v>
      </c>
      <c r="N218" s="3180" t="s">
        <v>3486</v>
      </c>
      <c r="O218" s="3190">
        <f t="shared" si="15"/>
        <v>3311493</v>
      </c>
    </row>
    <row r="219" spans="1:15" ht="24.95" customHeight="1">
      <c r="A219" s="3185">
        <v>218</v>
      </c>
      <c r="B219" s="3185">
        <v>7</v>
      </c>
      <c r="C219" s="3185"/>
      <c r="D219" s="3186">
        <v>502</v>
      </c>
      <c r="E219" s="3176" t="str">
        <f t="shared" si="13"/>
        <v>7--502</v>
      </c>
      <c r="F219" s="3191">
        <v>131.75</v>
      </c>
      <c r="G219" s="3188">
        <v>107.04</v>
      </c>
      <c r="H219" s="3189" t="s">
        <v>3475</v>
      </c>
      <c r="I219" s="3189" t="s">
        <v>3470</v>
      </c>
      <c r="J219" s="3189">
        <v>4021230.02</v>
      </c>
      <c r="K219" s="3189">
        <v>30521.67</v>
      </c>
      <c r="L219" s="3181">
        <v>4021230</v>
      </c>
      <c r="M219" s="3181">
        <v>30521.67</v>
      </c>
      <c r="N219" s="3180" t="s">
        <v>3471</v>
      </c>
      <c r="O219" s="3190">
        <v>3785522</v>
      </c>
    </row>
    <row r="220" spans="1:15" ht="24.95" customHeight="1">
      <c r="A220" s="3185">
        <v>219</v>
      </c>
      <c r="B220" s="3185">
        <v>7</v>
      </c>
      <c r="C220" s="3185"/>
      <c r="D220" s="3186">
        <v>601</v>
      </c>
      <c r="E220" s="3176" t="str">
        <f t="shared" si="13"/>
        <v>7--601</v>
      </c>
      <c r="F220" s="3191">
        <v>115.15</v>
      </c>
      <c r="G220" s="3188">
        <v>93.55</v>
      </c>
      <c r="H220" s="3189" t="s">
        <v>3476</v>
      </c>
      <c r="I220" s="3189" t="s">
        <v>3470</v>
      </c>
      <c r="J220" s="3189">
        <v>3508812.8</v>
      </c>
      <c r="K220" s="3189">
        <v>30471.67</v>
      </c>
      <c r="L220" s="3181">
        <v>3508812</v>
      </c>
      <c r="M220" s="3181">
        <v>30471.66</v>
      </c>
      <c r="N220" s="3180" t="s">
        <v>3486</v>
      </c>
      <c r="O220" s="3190">
        <f>ROUND(L220*0.95,0)</f>
        <v>3333371</v>
      </c>
    </row>
    <row r="221" spans="1:15" ht="24.95" customHeight="1">
      <c r="A221" s="3185">
        <v>220</v>
      </c>
      <c r="B221" s="3185">
        <v>7</v>
      </c>
      <c r="C221" s="3185"/>
      <c r="D221" s="3186">
        <v>602</v>
      </c>
      <c r="E221" s="3176" t="str">
        <f t="shared" si="13"/>
        <v>7--602</v>
      </c>
      <c r="F221" s="3191">
        <v>131.75</v>
      </c>
      <c r="G221" s="3188">
        <v>107.04</v>
      </c>
      <c r="H221" s="3189" t="s">
        <v>3475</v>
      </c>
      <c r="I221" s="3189" t="s">
        <v>3470</v>
      </c>
      <c r="J221" s="3189">
        <v>4047580.02</v>
      </c>
      <c r="K221" s="3189">
        <v>30721.67</v>
      </c>
      <c r="L221" s="3181">
        <v>4047580</v>
      </c>
      <c r="M221" s="3181">
        <v>30721.67</v>
      </c>
      <c r="N221" s="3180" t="s">
        <v>3471</v>
      </c>
      <c r="O221" s="3190">
        <v>3810716</v>
      </c>
    </row>
    <row r="222" spans="1:15" ht="24.95" customHeight="1">
      <c r="A222" s="3185">
        <v>221</v>
      </c>
      <c r="B222" s="3185">
        <v>7</v>
      </c>
      <c r="C222" s="3185"/>
      <c r="D222" s="3186">
        <v>701</v>
      </c>
      <c r="E222" s="3176" t="str">
        <f t="shared" si="13"/>
        <v>7--701</v>
      </c>
      <c r="F222" s="3191">
        <v>115.15</v>
      </c>
      <c r="G222" s="3188">
        <v>93.55</v>
      </c>
      <c r="H222" s="3189" t="s">
        <v>3476</v>
      </c>
      <c r="I222" s="3189" t="s">
        <v>3470</v>
      </c>
      <c r="J222" s="3189">
        <v>3531842.8</v>
      </c>
      <c r="K222" s="3189">
        <v>30671.67</v>
      </c>
      <c r="L222" s="3181">
        <v>3531842</v>
      </c>
      <c r="M222" s="3181">
        <v>30671.66</v>
      </c>
      <c r="N222" s="3180" t="s">
        <v>3486</v>
      </c>
      <c r="O222" s="3190">
        <f>ROUND(L222*0.95,0)</f>
        <v>3355250</v>
      </c>
    </row>
    <row r="223" spans="1:15" ht="24.95" customHeight="1">
      <c r="A223" s="3185">
        <v>222</v>
      </c>
      <c r="B223" s="3185">
        <v>7</v>
      </c>
      <c r="C223" s="3185"/>
      <c r="D223" s="3186">
        <v>702</v>
      </c>
      <c r="E223" s="3176" t="str">
        <f t="shared" si="13"/>
        <v>7--702</v>
      </c>
      <c r="F223" s="3191">
        <v>131.75</v>
      </c>
      <c r="G223" s="3188">
        <v>107.04</v>
      </c>
      <c r="H223" s="3189" t="s">
        <v>3475</v>
      </c>
      <c r="I223" s="3189" t="s">
        <v>3470</v>
      </c>
      <c r="J223" s="3189">
        <v>4073930.02</v>
      </c>
      <c r="K223" s="3189">
        <v>30921.67</v>
      </c>
      <c r="L223" s="3181">
        <v>4073930</v>
      </c>
      <c r="M223" s="3181">
        <v>30921.67</v>
      </c>
      <c r="N223" s="3180" t="s">
        <v>3471</v>
      </c>
      <c r="O223" s="3190">
        <v>3835524</v>
      </c>
    </row>
    <row r="224" spans="1:15" ht="24.95" customHeight="1">
      <c r="A224" s="3185">
        <v>223</v>
      </c>
      <c r="B224" s="3185">
        <v>7</v>
      </c>
      <c r="C224" s="3185"/>
      <c r="D224" s="3186">
        <v>801</v>
      </c>
      <c r="E224" s="3176" t="str">
        <f t="shared" si="13"/>
        <v>7--801</v>
      </c>
      <c r="F224" s="3191">
        <v>115.15</v>
      </c>
      <c r="G224" s="3188">
        <v>93.55</v>
      </c>
      <c r="H224" s="3189" t="s">
        <v>3476</v>
      </c>
      <c r="I224" s="3189" t="s">
        <v>3470</v>
      </c>
      <c r="J224" s="3189">
        <v>3730860</v>
      </c>
      <c r="K224" s="3189">
        <v>32400</v>
      </c>
      <c r="L224" s="3181">
        <v>3730860</v>
      </c>
      <c r="M224" s="3181">
        <v>32400</v>
      </c>
      <c r="N224" s="3180" t="s">
        <v>3486</v>
      </c>
      <c r="O224" s="3190">
        <f>ROUND(L224*0.95,0)</f>
        <v>3544317</v>
      </c>
    </row>
    <row r="225" spans="1:15" ht="24.95" customHeight="1">
      <c r="A225" s="3185">
        <v>224</v>
      </c>
      <c r="B225" s="3185">
        <v>7</v>
      </c>
      <c r="C225" s="3185"/>
      <c r="D225" s="3186">
        <v>802</v>
      </c>
      <c r="E225" s="3176" t="str">
        <f t="shared" si="13"/>
        <v>7--802</v>
      </c>
      <c r="F225" s="3191">
        <v>131.75</v>
      </c>
      <c r="G225" s="3188">
        <v>107.04</v>
      </c>
      <c r="H225" s="3189" t="s">
        <v>3475</v>
      </c>
      <c r="I225" s="3189" t="s">
        <v>3470</v>
      </c>
      <c r="J225" s="3189">
        <v>4268700</v>
      </c>
      <c r="K225" s="3189">
        <v>32400</v>
      </c>
      <c r="L225" s="3181">
        <v>4268700</v>
      </c>
      <c r="M225" s="3181">
        <v>32400</v>
      </c>
      <c r="N225" s="3180" t="s">
        <v>3471</v>
      </c>
      <c r="O225" s="3190">
        <v>4226013</v>
      </c>
    </row>
    <row r="226" spans="1:15" ht="24.95" customHeight="1">
      <c r="A226" s="3185">
        <v>225</v>
      </c>
      <c r="B226" s="3185">
        <v>7</v>
      </c>
      <c r="C226" s="3185"/>
      <c r="D226" s="3186">
        <v>-101</v>
      </c>
      <c r="E226" s="3192" t="str">
        <f t="shared" si="13"/>
        <v>7---101</v>
      </c>
      <c r="F226" s="3186">
        <v>16.09</v>
      </c>
      <c r="G226" s="3193">
        <v>8.4499999999999993</v>
      </c>
      <c r="H226" s="3185"/>
      <c r="I226" s="3185" t="s">
        <v>3487</v>
      </c>
      <c r="J226" s="3185">
        <v>144810</v>
      </c>
      <c r="K226" s="3185">
        <v>9000</v>
      </c>
      <c r="L226" s="3181">
        <v>144810</v>
      </c>
      <c r="M226" s="3181"/>
      <c r="N226" s="3180" t="s">
        <v>3486</v>
      </c>
      <c r="O226" s="3190">
        <f t="shared" ref="O226:O237" si="16">F226*8000</f>
        <v>128720</v>
      </c>
    </row>
    <row r="227" spans="1:15" ht="24.95" customHeight="1">
      <c r="A227" s="3185">
        <v>226</v>
      </c>
      <c r="B227" s="3185">
        <v>7</v>
      </c>
      <c r="C227" s="3185"/>
      <c r="D227" s="3186">
        <v>-102</v>
      </c>
      <c r="E227" s="3192" t="str">
        <f t="shared" si="13"/>
        <v>7---102</v>
      </c>
      <c r="F227" s="3186">
        <v>12.83</v>
      </c>
      <c r="G227" s="3193">
        <v>6.74</v>
      </c>
      <c r="H227" s="3185"/>
      <c r="I227" s="3185" t="s">
        <v>3487</v>
      </c>
      <c r="J227" s="3185">
        <v>115470</v>
      </c>
      <c r="K227" s="3185">
        <v>9000</v>
      </c>
      <c r="L227" s="3181">
        <v>115470</v>
      </c>
      <c r="M227" s="3181"/>
      <c r="N227" s="3180" t="s">
        <v>3486</v>
      </c>
      <c r="O227" s="3190">
        <f t="shared" si="16"/>
        <v>102640</v>
      </c>
    </row>
    <row r="228" spans="1:15" ht="24.95" customHeight="1">
      <c r="A228" s="3185">
        <v>227</v>
      </c>
      <c r="B228" s="3185">
        <v>7</v>
      </c>
      <c r="C228" s="3185"/>
      <c r="D228" s="3186">
        <v>-103</v>
      </c>
      <c r="E228" s="3192" t="str">
        <f t="shared" si="13"/>
        <v>7---103</v>
      </c>
      <c r="F228" s="3186">
        <v>32.479999999999997</v>
      </c>
      <c r="G228" s="3193">
        <v>17.059999999999999</v>
      </c>
      <c r="H228" s="3185"/>
      <c r="I228" s="3185" t="s">
        <v>3487</v>
      </c>
      <c r="J228" s="3185">
        <v>292320</v>
      </c>
      <c r="K228" s="3185">
        <v>9000</v>
      </c>
      <c r="L228" s="3181">
        <v>292320</v>
      </c>
      <c r="M228" s="3181"/>
      <c r="N228" s="3180" t="s">
        <v>3486</v>
      </c>
      <c r="O228" s="3190">
        <f t="shared" si="16"/>
        <v>259839.99999999997</v>
      </c>
    </row>
    <row r="229" spans="1:15" ht="24.95" customHeight="1">
      <c r="A229" s="3185">
        <v>228</v>
      </c>
      <c r="B229" s="3185">
        <v>7</v>
      </c>
      <c r="C229" s="3185"/>
      <c r="D229" s="3186">
        <v>-104</v>
      </c>
      <c r="E229" s="3192" t="str">
        <f t="shared" si="13"/>
        <v>7---104</v>
      </c>
      <c r="F229" s="3186">
        <v>10.47</v>
      </c>
      <c r="G229" s="3193">
        <v>5.5</v>
      </c>
      <c r="H229" s="3185"/>
      <c r="I229" s="3185" t="s">
        <v>3487</v>
      </c>
      <c r="J229" s="3185">
        <v>94230</v>
      </c>
      <c r="K229" s="3185">
        <v>9000</v>
      </c>
      <c r="L229" s="3181">
        <v>94230</v>
      </c>
      <c r="M229" s="3181"/>
      <c r="N229" s="3180" t="s">
        <v>3486</v>
      </c>
      <c r="O229" s="3190">
        <f t="shared" si="16"/>
        <v>83760</v>
      </c>
    </row>
    <row r="230" spans="1:15" ht="24.95" customHeight="1">
      <c r="A230" s="3185">
        <v>229</v>
      </c>
      <c r="B230" s="3185">
        <v>7</v>
      </c>
      <c r="C230" s="3185"/>
      <c r="D230" s="3186">
        <v>-105</v>
      </c>
      <c r="E230" s="3192" t="str">
        <f t="shared" si="13"/>
        <v>7---105</v>
      </c>
      <c r="F230" s="3186">
        <v>13.82</v>
      </c>
      <c r="G230" s="3193">
        <v>7.26</v>
      </c>
      <c r="H230" s="3185"/>
      <c r="I230" s="3185" t="s">
        <v>3487</v>
      </c>
      <c r="J230" s="3185">
        <v>124380</v>
      </c>
      <c r="K230" s="3185">
        <v>9000</v>
      </c>
      <c r="L230" s="3181">
        <v>124380</v>
      </c>
      <c r="M230" s="3181"/>
      <c r="N230" s="3180" t="s">
        <v>3486</v>
      </c>
      <c r="O230" s="3190">
        <f t="shared" si="16"/>
        <v>110560</v>
      </c>
    </row>
    <row r="231" spans="1:15" ht="24.95" customHeight="1">
      <c r="A231" s="3185">
        <v>230</v>
      </c>
      <c r="B231" s="3185">
        <v>7</v>
      </c>
      <c r="C231" s="3185"/>
      <c r="D231" s="3186">
        <v>-106</v>
      </c>
      <c r="E231" s="3192" t="str">
        <f t="shared" si="13"/>
        <v>7---106</v>
      </c>
      <c r="F231" s="3186">
        <v>25.34</v>
      </c>
      <c r="G231" s="3193">
        <v>13.31</v>
      </c>
      <c r="H231" s="3185"/>
      <c r="I231" s="3185" t="s">
        <v>3487</v>
      </c>
      <c r="J231" s="3185">
        <v>228060</v>
      </c>
      <c r="K231" s="3185">
        <v>9000</v>
      </c>
      <c r="L231" s="3181">
        <v>228060</v>
      </c>
      <c r="M231" s="3181"/>
      <c r="N231" s="3180" t="s">
        <v>3486</v>
      </c>
      <c r="O231" s="3190">
        <f t="shared" si="16"/>
        <v>202720</v>
      </c>
    </row>
    <row r="232" spans="1:15" ht="24.95" customHeight="1">
      <c r="A232" s="3185">
        <v>231</v>
      </c>
      <c r="B232" s="3185">
        <v>7</v>
      </c>
      <c r="C232" s="3185"/>
      <c r="D232" s="3186">
        <v>-107</v>
      </c>
      <c r="E232" s="3192" t="str">
        <f t="shared" si="13"/>
        <v>7---107</v>
      </c>
      <c r="F232" s="3186">
        <v>27.47</v>
      </c>
      <c r="G232" s="3193">
        <v>14.43</v>
      </c>
      <c r="H232" s="3185"/>
      <c r="I232" s="3185" t="s">
        <v>3487</v>
      </c>
      <c r="J232" s="3185">
        <v>247230</v>
      </c>
      <c r="K232" s="3185">
        <v>9000</v>
      </c>
      <c r="L232" s="3181">
        <v>247230</v>
      </c>
      <c r="M232" s="3181"/>
      <c r="N232" s="3180" t="s">
        <v>3486</v>
      </c>
      <c r="O232" s="3190">
        <f t="shared" si="16"/>
        <v>219760</v>
      </c>
    </row>
    <row r="233" spans="1:15" ht="24.95" customHeight="1">
      <c r="A233" s="3185">
        <v>232</v>
      </c>
      <c r="B233" s="3185">
        <v>7</v>
      </c>
      <c r="C233" s="3185"/>
      <c r="D233" s="3186">
        <v>-108</v>
      </c>
      <c r="E233" s="3192" t="str">
        <f t="shared" si="13"/>
        <v>7---108</v>
      </c>
      <c r="F233" s="3186">
        <v>16.260000000000002</v>
      </c>
      <c r="G233" s="3193">
        <v>8.5399999999999991</v>
      </c>
      <c r="H233" s="3185"/>
      <c r="I233" s="3185" t="s">
        <v>3487</v>
      </c>
      <c r="J233" s="3185">
        <v>146340</v>
      </c>
      <c r="K233" s="3185">
        <v>9000</v>
      </c>
      <c r="L233" s="3181">
        <v>146340</v>
      </c>
      <c r="M233" s="3181"/>
      <c r="N233" s="3180" t="s">
        <v>3486</v>
      </c>
      <c r="O233" s="3190">
        <f t="shared" si="16"/>
        <v>130080.00000000001</v>
      </c>
    </row>
    <row r="234" spans="1:15" ht="24.95" customHeight="1">
      <c r="A234" s="3185">
        <v>233</v>
      </c>
      <c r="B234" s="3185">
        <v>7</v>
      </c>
      <c r="C234" s="3185"/>
      <c r="D234" s="3186">
        <v>-109</v>
      </c>
      <c r="E234" s="3192" t="str">
        <f t="shared" si="13"/>
        <v>7---109</v>
      </c>
      <c r="F234" s="3186">
        <v>16.18</v>
      </c>
      <c r="G234" s="3193">
        <v>8.5</v>
      </c>
      <c r="H234" s="3185"/>
      <c r="I234" s="3185" t="s">
        <v>3487</v>
      </c>
      <c r="J234" s="3185">
        <v>145620</v>
      </c>
      <c r="K234" s="3185">
        <v>9000</v>
      </c>
      <c r="L234" s="3181">
        <v>145620</v>
      </c>
      <c r="M234" s="3181"/>
      <c r="N234" s="3180" t="s">
        <v>3486</v>
      </c>
      <c r="O234" s="3190">
        <f t="shared" si="16"/>
        <v>129440</v>
      </c>
    </row>
    <row r="235" spans="1:15" ht="24.95" customHeight="1">
      <c r="A235" s="3185">
        <v>234</v>
      </c>
      <c r="B235" s="3185">
        <v>7</v>
      </c>
      <c r="C235" s="3185"/>
      <c r="D235" s="3186">
        <v>-110</v>
      </c>
      <c r="E235" s="3192" t="str">
        <f t="shared" si="13"/>
        <v>7---110</v>
      </c>
      <c r="F235" s="3186">
        <v>38.44</v>
      </c>
      <c r="G235" s="3193">
        <v>20.190000000000001</v>
      </c>
      <c r="H235" s="3185"/>
      <c r="I235" s="3185" t="s">
        <v>3487</v>
      </c>
      <c r="J235" s="3185">
        <v>345960</v>
      </c>
      <c r="K235" s="3185">
        <v>9000</v>
      </c>
      <c r="L235" s="3181">
        <v>345960</v>
      </c>
      <c r="M235" s="3181"/>
      <c r="N235" s="3180" t="s">
        <v>3486</v>
      </c>
      <c r="O235" s="3190">
        <f t="shared" si="16"/>
        <v>307520</v>
      </c>
    </row>
    <row r="236" spans="1:15" ht="24.95" customHeight="1">
      <c r="A236" s="3185">
        <v>235</v>
      </c>
      <c r="B236" s="3185">
        <v>7</v>
      </c>
      <c r="C236" s="3185"/>
      <c r="D236" s="3186">
        <v>-111</v>
      </c>
      <c r="E236" s="3192" t="str">
        <f t="shared" si="13"/>
        <v>7---111</v>
      </c>
      <c r="F236" s="3186">
        <v>12.62</v>
      </c>
      <c r="G236" s="3193">
        <v>6.63</v>
      </c>
      <c r="H236" s="3185"/>
      <c r="I236" s="3185" t="s">
        <v>3487</v>
      </c>
      <c r="J236" s="3185">
        <v>113580</v>
      </c>
      <c r="K236" s="3185">
        <v>9000</v>
      </c>
      <c r="L236" s="3181">
        <v>113580</v>
      </c>
      <c r="M236" s="3181"/>
      <c r="N236" s="3180" t="s">
        <v>3486</v>
      </c>
      <c r="O236" s="3190">
        <f t="shared" si="16"/>
        <v>100960</v>
      </c>
    </row>
    <row r="237" spans="1:15" ht="24.95" customHeight="1">
      <c r="A237" s="3185">
        <v>236</v>
      </c>
      <c r="B237" s="3185">
        <v>7</v>
      </c>
      <c r="C237" s="3185"/>
      <c r="D237" s="3186">
        <v>-112</v>
      </c>
      <c r="E237" s="3192" t="str">
        <f t="shared" si="13"/>
        <v>7---112</v>
      </c>
      <c r="F237" s="3186">
        <v>16.28</v>
      </c>
      <c r="G237" s="3193">
        <v>8.5500000000000007</v>
      </c>
      <c r="H237" s="3185"/>
      <c r="I237" s="3185" t="s">
        <v>3487</v>
      </c>
      <c r="J237" s="3185">
        <v>146520</v>
      </c>
      <c r="K237" s="3185">
        <v>9000</v>
      </c>
      <c r="L237" s="3181">
        <v>146520</v>
      </c>
      <c r="M237" s="3181"/>
      <c r="N237" s="3180" t="s">
        <v>3486</v>
      </c>
      <c r="O237" s="3190">
        <f t="shared" si="16"/>
        <v>130240.00000000001</v>
      </c>
    </row>
    <row r="238" spans="1:15" ht="24.95" customHeight="1">
      <c r="A238" s="3185">
        <v>237</v>
      </c>
      <c r="B238" s="3185">
        <v>8</v>
      </c>
      <c r="C238" s="3185">
        <v>1</v>
      </c>
      <c r="D238" s="3186">
        <v>101</v>
      </c>
      <c r="E238" s="3176" t="str">
        <f t="shared" si="13"/>
        <v>8-1-101</v>
      </c>
      <c r="F238" s="3191">
        <v>134.37</v>
      </c>
      <c r="G238" s="3188">
        <v>109.98</v>
      </c>
      <c r="H238" s="3189" t="s">
        <v>3478</v>
      </c>
      <c r="I238" s="3189" t="s">
        <v>3470</v>
      </c>
      <c r="J238" s="3189">
        <v>3913078.8</v>
      </c>
      <c r="K238" s="3189">
        <v>29121.67</v>
      </c>
      <c r="L238" s="3181">
        <v>3913078</v>
      </c>
      <c r="M238" s="3181">
        <v>29121.66</v>
      </c>
      <c r="N238" s="3180" t="s">
        <v>3486</v>
      </c>
      <c r="O238" s="3190">
        <f>ROUND(L238*0.95,0)</f>
        <v>3717424</v>
      </c>
    </row>
    <row r="239" spans="1:15" ht="24.95" customHeight="1">
      <c r="A239" s="3185">
        <v>238</v>
      </c>
      <c r="B239" s="3185">
        <v>8</v>
      </c>
      <c r="C239" s="3185">
        <v>1</v>
      </c>
      <c r="D239" s="3186">
        <v>201</v>
      </c>
      <c r="E239" s="3176" t="str">
        <f t="shared" si="13"/>
        <v>8-1-201</v>
      </c>
      <c r="F239" s="3191">
        <v>134.37</v>
      </c>
      <c r="G239" s="3188">
        <v>109.98</v>
      </c>
      <c r="H239" s="3189" t="s">
        <v>3478</v>
      </c>
      <c r="I239" s="3189" t="s">
        <v>3470</v>
      </c>
      <c r="J239" s="3189">
        <v>3953389.8</v>
      </c>
      <c r="K239" s="3189">
        <v>29421.67</v>
      </c>
      <c r="L239" s="3181">
        <v>3953389</v>
      </c>
      <c r="M239" s="3181">
        <v>29421.66</v>
      </c>
      <c r="N239" s="3180" t="s">
        <v>3486</v>
      </c>
      <c r="O239" s="3190">
        <f>ROUND(L239*0.95,0)</f>
        <v>3755720</v>
      </c>
    </row>
    <row r="240" spans="1:15" ht="24.95" customHeight="1">
      <c r="A240" s="3185">
        <v>239</v>
      </c>
      <c r="B240" s="3185">
        <v>8</v>
      </c>
      <c r="C240" s="3185">
        <v>1</v>
      </c>
      <c r="D240" s="3186">
        <v>202</v>
      </c>
      <c r="E240" s="3176" t="str">
        <f t="shared" si="13"/>
        <v>8-1-202</v>
      </c>
      <c r="F240" s="3191">
        <v>109.95</v>
      </c>
      <c r="G240" s="3188">
        <v>89.99</v>
      </c>
      <c r="H240" s="3189" t="s">
        <v>3477</v>
      </c>
      <c r="I240" s="3189" t="s">
        <v>3470</v>
      </c>
      <c r="J240" s="3189">
        <v>3179937.62</v>
      </c>
      <c r="K240" s="3189">
        <v>28921.67</v>
      </c>
      <c r="L240" s="3181">
        <v>3179937</v>
      </c>
      <c r="M240" s="3181">
        <v>28921.66</v>
      </c>
      <c r="N240" s="3180" t="s">
        <v>3486</v>
      </c>
      <c r="O240" s="3190">
        <f>ROUND(L240*0.95,0)</f>
        <v>3020940</v>
      </c>
    </row>
    <row r="241" spans="1:15" ht="24.95" customHeight="1">
      <c r="A241" s="3185">
        <v>240</v>
      </c>
      <c r="B241" s="3185">
        <v>8</v>
      </c>
      <c r="C241" s="3185">
        <v>1</v>
      </c>
      <c r="D241" s="3186">
        <v>301</v>
      </c>
      <c r="E241" s="3176" t="str">
        <f t="shared" si="13"/>
        <v>8-1-301</v>
      </c>
      <c r="F241" s="3191">
        <v>134.37</v>
      </c>
      <c r="G241" s="3188">
        <v>109.98</v>
      </c>
      <c r="H241" s="3189" t="s">
        <v>3478</v>
      </c>
      <c r="I241" s="3189" t="s">
        <v>3470</v>
      </c>
      <c r="J241" s="3189">
        <v>4020574.8</v>
      </c>
      <c r="K241" s="3189">
        <v>29921.67</v>
      </c>
      <c r="L241" s="3181">
        <v>4020574</v>
      </c>
      <c r="M241" s="3181">
        <v>29921.66</v>
      </c>
      <c r="N241" s="3180" t="s">
        <v>3486</v>
      </c>
      <c r="O241" s="3190">
        <f>ROUND(L241*0.95,0)</f>
        <v>3819545</v>
      </c>
    </row>
    <row r="242" spans="1:15" ht="24.95" customHeight="1">
      <c r="A242" s="3185">
        <v>241</v>
      </c>
      <c r="B242" s="3185">
        <v>8</v>
      </c>
      <c r="C242" s="3185">
        <v>1</v>
      </c>
      <c r="D242" s="3186">
        <v>302</v>
      </c>
      <c r="E242" s="3176" t="str">
        <f t="shared" si="13"/>
        <v>8-1-302</v>
      </c>
      <c r="F242" s="3191">
        <v>109.97</v>
      </c>
      <c r="G242" s="3188">
        <v>90.01</v>
      </c>
      <c r="H242" s="3189" t="s">
        <v>3477</v>
      </c>
      <c r="I242" s="3189" t="s">
        <v>3470</v>
      </c>
      <c r="J242" s="3189">
        <v>3235501.05</v>
      </c>
      <c r="K242" s="3189">
        <v>29421.67</v>
      </c>
      <c r="L242" s="3181">
        <v>3235501</v>
      </c>
      <c r="M242" s="3181">
        <v>29421.67</v>
      </c>
      <c r="N242" s="3180" t="s">
        <v>3471</v>
      </c>
      <c r="O242" s="3190">
        <v>3045849</v>
      </c>
    </row>
    <row r="243" spans="1:15" ht="24.95" customHeight="1">
      <c r="A243" s="3185">
        <v>242</v>
      </c>
      <c r="B243" s="3185">
        <v>8</v>
      </c>
      <c r="C243" s="3185">
        <v>1</v>
      </c>
      <c r="D243" s="3186">
        <v>401</v>
      </c>
      <c r="E243" s="3176" t="str">
        <f t="shared" si="13"/>
        <v>8-1-401</v>
      </c>
      <c r="F243" s="3191">
        <v>134.37</v>
      </c>
      <c r="G243" s="3188">
        <v>109.98</v>
      </c>
      <c r="H243" s="3189" t="s">
        <v>3478</v>
      </c>
      <c r="I243" s="3189" t="s">
        <v>3470</v>
      </c>
      <c r="J243" s="3189">
        <v>4060885.8</v>
      </c>
      <c r="K243" s="3189">
        <v>30221.67</v>
      </c>
      <c r="L243" s="3181">
        <v>4060885</v>
      </c>
      <c r="M243" s="3181">
        <v>30221.66</v>
      </c>
      <c r="N243" s="3180" t="s">
        <v>3486</v>
      </c>
      <c r="O243" s="3190">
        <f>ROUND(L243*0.95,0)</f>
        <v>3857841</v>
      </c>
    </row>
    <row r="244" spans="1:15" ht="24.95" customHeight="1">
      <c r="A244" s="3185">
        <v>243</v>
      </c>
      <c r="B244" s="3185">
        <v>8</v>
      </c>
      <c r="C244" s="3185">
        <v>1</v>
      </c>
      <c r="D244" s="3186">
        <v>402</v>
      </c>
      <c r="E244" s="3176" t="str">
        <f t="shared" si="13"/>
        <v>8-1-402</v>
      </c>
      <c r="F244" s="3191">
        <v>109.97</v>
      </c>
      <c r="G244" s="3188">
        <v>90.01</v>
      </c>
      <c r="H244" s="3189" t="s">
        <v>3477</v>
      </c>
      <c r="I244" s="3189" t="s">
        <v>3470</v>
      </c>
      <c r="J244" s="3189">
        <v>3268492.05</v>
      </c>
      <c r="K244" s="3189">
        <v>29721.67</v>
      </c>
      <c r="L244" s="3181">
        <v>3268492</v>
      </c>
      <c r="M244" s="3181">
        <v>29721.67</v>
      </c>
      <c r="N244" s="3180" t="s">
        <v>3471</v>
      </c>
      <c r="O244" s="3190">
        <v>3108303</v>
      </c>
    </row>
    <row r="245" spans="1:15" ht="24.95" customHeight="1">
      <c r="A245" s="3185">
        <v>244</v>
      </c>
      <c r="B245" s="3185">
        <v>8</v>
      </c>
      <c r="C245" s="3185">
        <v>1</v>
      </c>
      <c r="D245" s="3186">
        <v>501</v>
      </c>
      <c r="E245" s="3176" t="str">
        <f t="shared" si="13"/>
        <v>8-1-501</v>
      </c>
      <c r="F245" s="3191">
        <v>134.37</v>
      </c>
      <c r="G245" s="3188">
        <v>109.98</v>
      </c>
      <c r="H245" s="3189" t="s">
        <v>3478</v>
      </c>
      <c r="I245" s="3189" t="s">
        <v>3470</v>
      </c>
      <c r="J245" s="3189">
        <v>4087759.8</v>
      </c>
      <c r="K245" s="3189">
        <v>30421.67</v>
      </c>
      <c r="L245" s="3181">
        <v>4087759</v>
      </c>
      <c r="M245" s="3181">
        <v>30421.66</v>
      </c>
      <c r="N245" s="3180" t="s">
        <v>3471</v>
      </c>
      <c r="O245" s="3190">
        <v>3887418</v>
      </c>
    </row>
    <row r="246" spans="1:15" ht="24.95" customHeight="1">
      <c r="A246" s="3185">
        <v>245</v>
      </c>
      <c r="B246" s="3185">
        <v>8</v>
      </c>
      <c r="C246" s="3185">
        <v>1</v>
      </c>
      <c r="D246" s="3186">
        <v>502</v>
      </c>
      <c r="E246" s="3176" t="str">
        <f t="shared" si="13"/>
        <v>8-1-502</v>
      </c>
      <c r="F246" s="3191">
        <v>109.97</v>
      </c>
      <c r="G246" s="3188">
        <v>90.01</v>
      </c>
      <c r="H246" s="3189" t="s">
        <v>3477</v>
      </c>
      <c r="I246" s="3189" t="s">
        <v>3470</v>
      </c>
      <c r="J246" s="3189">
        <v>3290486.05</v>
      </c>
      <c r="K246" s="3189">
        <v>29921.67</v>
      </c>
      <c r="L246" s="3181">
        <v>3290486</v>
      </c>
      <c r="M246" s="3181">
        <v>29921.67</v>
      </c>
      <c r="N246" s="3180" t="s">
        <v>3471</v>
      </c>
      <c r="O246" s="3190">
        <v>3129219</v>
      </c>
    </row>
    <row r="247" spans="1:15" ht="24.95" customHeight="1">
      <c r="A247" s="3185">
        <v>246</v>
      </c>
      <c r="B247" s="3185">
        <v>8</v>
      </c>
      <c r="C247" s="3185">
        <v>1</v>
      </c>
      <c r="D247" s="3186">
        <v>601</v>
      </c>
      <c r="E247" s="3176" t="str">
        <f t="shared" si="13"/>
        <v>8-1-601</v>
      </c>
      <c r="F247" s="3191">
        <v>134.37</v>
      </c>
      <c r="G247" s="3188">
        <v>109.98</v>
      </c>
      <c r="H247" s="3189" t="s">
        <v>3478</v>
      </c>
      <c r="I247" s="3189" t="s">
        <v>3470</v>
      </c>
      <c r="J247" s="3189">
        <v>4114633.8</v>
      </c>
      <c r="K247" s="3189">
        <v>30621.67</v>
      </c>
      <c r="L247" s="3181">
        <v>4114633</v>
      </c>
      <c r="M247" s="3181">
        <v>30621.66</v>
      </c>
      <c r="N247" s="3180" t="s">
        <v>3471</v>
      </c>
      <c r="O247" s="3190">
        <v>3873450</v>
      </c>
    </row>
    <row r="248" spans="1:15" ht="24.95" customHeight="1">
      <c r="A248" s="3185">
        <v>247</v>
      </c>
      <c r="B248" s="3185">
        <v>8</v>
      </c>
      <c r="C248" s="3185">
        <v>1</v>
      </c>
      <c r="D248" s="3186">
        <v>602</v>
      </c>
      <c r="E248" s="3176" t="str">
        <f t="shared" si="13"/>
        <v>8-1-602</v>
      </c>
      <c r="F248" s="3191">
        <v>109.97</v>
      </c>
      <c r="G248" s="3188">
        <v>90.01</v>
      </c>
      <c r="H248" s="3189" t="s">
        <v>3477</v>
      </c>
      <c r="I248" s="3189" t="s">
        <v>3470</v>
      </c>
      <c r="J248" s="3189">
        <v>3312480.05</v>
      </c>
      <c r="K248" s="3189">
        <v>30121.67</v>
      </c>
      <c r="L248" s="3181">
        <v>3312480</v>
      </c>
      <c r="M248" s="3181">
        <v>30121.67</v>
      </c>
      <c r="N248" s="3180" t="s">
        <v>3471</v>
      </c>
      <c r="O248" s="3190">
        <v>3150136</v>
      </c>
    </row>
    <row r="249" spans="1:15" ht="24.95" customHeight="1">
      <c r="A249" s="3185">
        <v>248</v>
      </c>
      <c r="B249" s="3185">
        <v>8</v>
      </c>
      <c r="C249" s="3185">
        <v>1</v>
      </c>
      <c r="D249" s="3186">
        <v>701</v>
      </c>
      <c r="E249" s="3176" t="str">
        <f t="shared" si="13"/>
        <v>8-1-701</v>
      </c>
      <c r="F249" s="3191">
        <v>134.37</v>
      </c>
      <c r="G249" s="3188">
        <v>109.98</v>
      </c>
      <c r="H249" s="3189" t="s">
        <v>3478</v>
      </c>
      <c r="I249" s="3189" t="s">
        <v>3470</v>
      </c>
      <c r="J249" s="3189">
        <v>4141507.8</v>
      </c>
      <c r="K249" s="3189">
        <v>30821.67</v>
      </c>
      <c r="L249" s="3181">
        <v>4141507</v>
      </c>
      <c r="M249" s="3181">
        <v>30821.66</v>
      </c>
      <c r="N249" s="3180" t="s">
        <v>3486</v>
      </c>
      <c r="O249" s="3190">
        <f>ROUND(L249*0.95,0)</f>
        <v>3934432</v>
      </c>
    </row>
    <row r="250" spans="1:15" ht="24.95" customHeight="1">
      <c r="A250" s="3185">
        <v>249</v>
      </c>
      <c r="B250" s="3185">
        <v>8</v>
      </c>
      <c r="C250" s="3185">
        <v>1</v>
      </c>
      <c r="D250" s="3186">
        <v>702</v>
      </c>
      <c r="E250" s="3176" t="str">
        <f t="shared" si="13"/>
        <v>8-1-702</v>
      </c>
      <c r="F250" s="3191">
        <v>109.97</v>
      </c>
      <c r="G250" s="3188">
        <v>90.01</v>
      </c>
      <c r="H250" s="3189" t="s">
        <v>3477</v>
      </c>
      <c r="I250" s="3189" t="s">
        <v>3470</v>
      </c>
      <c r="J250" s="3189">
        <v>3334474.05</v>
      </c>
      <c r="K250" s="3189">
        <v>30321.67</v>
      </c>
      <c r="L250" s="3181">
        <v>3334474</v>
      </c>
      <c r="M250" s="3181">
        <v>30321.67</v>
      </c>
      <c r="N250" s="3180" t="s">
        <v>3471</v>
      </c>
      <c r="O250" s="3190">
        <v>3171052</v>
      </c>
    </row>
    <row r="251" spans="1:15" ht="24.95" customHeight="1">
      <c r="A251" s="3185">
        <v>250</v>
      </c>
      <c r="B251" s="3185">
        <v>8</v>
      </c>
      <c r="C251" s="3185">
        <v>1</v>
      </c>
      <c r="D251" s="3186">
        <v>801</v>
      </c>
      <c r="E251" s="3176" t="str">
        <f t="shared" si="13"/>
        <v>8-1-801</v>
      </c>
      <c r="F251" s="3191">
        <v>134.37</v>
      </c>
      <c r="G251" s="3188">
        <v>109.98</v>
      </c>
      <c r="H251" s="3189" t="s">
        <v>3478</v>
      </c>
      <c r="I251" s="3189" t="s">
        <v>3470</v>
      </c>
      <c r="J251" s="3189">
        <v>4353588</v>
      </c>
      <c r="K251" s="3189">
        <v>32400</v>
      </c>
      <c r="L251" s="3181">
        <v>4353588</v>
      </c>
      <c r="M251" s="3181">
        <v>32400</v>
      </c>
      <c r="N251" s="3180" t="s">
        <v>3486</v>
      </c>
      <c r="O251" s="3190">
        <f>ROUND(L251*0.95,0)</f>
        <v>4135909</v>
      </c>
    </row>
    <row r="252" spans="1:15" ht="24.95" customHeight="1">
      <c r="A252" s="3185">
        <v>251</v>
      </c>
      <c r="B252" s="3185">
        <v>8</v>
      </c>
      <c r="C252" s="3185">
        <v>1</v>
      </c>
      <c r="D252" s="3186">
        <v>802</v>
      </c>
      <c r="E252" s="3176" t="str">
        <f t="shared" si="13"/>
        <v>8-1-802</v>
      </c>
      <c r="F252" s="3191">
        <v>109.97</v>
      </c>
      <c r="G252" s="3188">
        <v>90.01</v>
      </c>
      <c r="H252" s="3189" t="s">
        <v>3477</v>
      </c>
      <c r="I252" s="3189" t="s">
        <v>3470</v>
      </c>
      <c r="J252" s="3189">
        <v>3563028</v>
      </c>
      <c r="K252" s="3189">
        <v>32400</v>
      </c>
      <c r="L252" s="3181">
        <v>3563028</v>
      </c>
      <c r="M252" s="3181">
        <v>32400</v>
      </c>
      <c r="N252" s="3180" t="s">
        <v>3486</v>
      </c>
      <c r="O252" s="3190">
        <f>ROUND(L252*0.95,0)</f>
        <v>3384877</v>
      </c>
    </row>
    <row r="253" spans="1:15" ht="24.95" customHeight="1">
      <c r="A253" s="3185">
        <v>252</v>
      </c>
      <c r="B253" s="3185">
        <v>8</v>
      </c>
      <c r="C253" s="3185">
        <v>2</v>
      </c>
      <c r="D253" s="3186">
        <v>102</v>
      </c>
      <c r="E253" s="3176" t="str">
        <f t="shared" si="13"/>
        <v>8-2-102</v>
      </c>
      <c r="F253" s="3191">
        <v>114.3</v>
      </c>
      <c r="G253" s="3188">
        <v>93.55</v>
      </c>
      <c r="H253" s="3189" t="s">
        <v>409</v>
      </c>
      <c r="I253" s="3189" t="s">
        <v>3470</v>
      </c>
      <c r="J253" s="3189">
        <v>3294316.88</v>
      </c>
      <c r="K253" s="3189">
        <v>28821.67</v>
      </c>
      <c r="L253" s="3181">
        <v>3294316</v>
      </c>
      <c r="M253" s="3181">
        <v>28821.66</v>
      </c>
      <c r="N253" s="3180" t="s">
        <v>3486</v>
      </c>
      <c r="O253" s="3190">
        <f>ROUND(L253*0.95,0)</f>
        <v>3129600</v>
      </c>
    </row>
    <row r="254" spans="1:15" ht="24.95" customHeight="1">
      <c r="A254" s="3185">
        <v>253</v>
      </c>
      <c r="B254" s="3185">
        <v>8</v>
      </c>
      <c r="C254" s="3185">
        <v>2</v>
      </c>
      <c r="D254" s="3186">
        <v>201</v>
      </c>
      <c r="E254" s="3176" t="str">
        <f t="shared" si="13"/>
        <v>8-2-201</v>
      </c>
      <c r="F254" s="3191">
        <v>110.17</v>
      </c>
      <c r="G254" s="3188">
        <v>90.17</v>
      </c>
      <c r="H254" s="3189" t="s">
        <v>3469</v>
      </c>
      <c r="I254" s="3189" t="s">
        <v>3470</v>
      </c>
      <c r="J254" s="3189">
        <v>3180791.88</v>
      </c>
      <c r="K254" s="3189">
        <v>28871.67</v>
      </c>
      <c r="L254" s="3181">
        <v>3180791</v>
      </c>
      <c r="M254" s="3181">
        <v>28871.66</v>
      </c>
      <c r="N254" s="3180" t="s">
        <v>3471</v>
      </c>
      <c r="O254" s="3190">
        <v>2994652</v>
      </c>
    </row>
    <row r="255" spans="1:15" ht="24.95" customHeight="1">
      <c r="A255" s="3185">
        <v>254</v>
      </c>
      <c r="B255" s="3185">
        <v>8</v>
      </c>
      <c r="C255" s="3185">
        <v>2</v>
      </c>
      <c r="D255" s="3186">
        <v>202</v>
      </c>
      <c r="E255" s="3176" t="str">
        <f t="shared" si="13"/>
        <v>8-2-202</v>
      </c>
      <c r="F255" s="3191">
        <v>114.3</v>
      </c>
      <c r="G255" s="3188">
        <v>93.55</v>
      </c>
      <c r="H255" s="3189" t="s">
        <v>409</v>
      </c>
      <c r="I255" s="3189" t="s">
        <v>3470</v>
      </c>
      <c r="J255" s="3189">
        <v>3328606.88</v>
      </c>
      <c r="K255" s="3189">
        <v>29121.67</v>
      </c>
      <c r="L255" s="3181">
        <v>3328606</v>
      </c>
      <c r="M255" s="3181">
        <v>29121.66</v>
      </c>
      <c r="N255" s="3180" t="s">
        <v>3486</v>
      </c>
      <c r="O255" s="3190">
        <f>ROUND(L255*0.95,0)</f>
        <v>3162176</v>
      </c>
    </row>
    <row r="256" spans="1:15" ht="24.95" customHeight="1">
      <c r="A256" s="3185">
        <v>255</v>
      </c>
      <c r="B256" s="3185">
        <v>8</v>
      </c>
      <c r="C256" s="3185">
        <v>2</v>
      </c>
      <c r="D256" s="3186">
        <v>301</v>
      </c>
      <c r="E256" s="3176" t="str">
        <f t="shared" si="13"/>
        <v>8-2-301</v>
      </c>
      <c r="F256" s="3191">
        <v>110.17</v>
      </c>
      <c r="G256" s="3188">
        <v>90.17</v>
      </c>
      <c r="H256" s="3189" t="s">
        <v>3469</v>
      </c>
      <c r="I256" s="3189" t="s">
        <v>3470</v>
      </c>
      <c r="J256" s="3189">
        <v>3235876.88</v>
      </c>
      <c r="K256" s="3189">
        <v>29371.67</v>
      </c>
      <c r="L256" s="3181">
        <v>3235876</v>
      </c>
      <c r="M256" s="3181">
        <v>29371.66</v>
      </c>
      <c r="N256" s="3180" t="s">
        <v>3471</v>
      </c>
      <c r="O256" s="3190">
        <v>3016048</v>
      </c>
    </row>
    <row r="257" spans="1:15" ht="24.95" customHeight="1">
      <c r="A257" s="3185">
        <v>256</v>
      </c>
      <c r="B257" s="3185">
        <v>8</v>
      </c>
      <c r="C257" s="3185">
        <v>2</v>
      </c>
      <c r="D257" s="3186">
        <v>302</v>
      </c>
      <c r="E257" s="3176" t="str">
        <f t="shared" si="13"/>
        <v>8-2-302</v>
      </c>
      <c r="F257" s="3191">
        <v>114.3</v>
      </c>
      <c r="G257" s="3188">
        <v>93.55</v>
      </c>
      <c r="H257" s="3189" t="s">
        <v>409</v>
      </c>
      <c r="I257" s="3189" t="s">
        <v>3470</v>
      </c>
      <c r="J257" s="3189">
        <v>3385756.88</v>
      </c>
      <c r="K257" s="3189">
        <v>29621.67</v>
      </c>
      <c r="L257" s="3181">
        <v>3385756</v>
      </c>
      <c r="M257" s="3181">
        <v>29621.66</v>
      </c>
      <c r="N257" s="3180" t="s">
        <v>3471</v>
      </c>
      <c r="O257" s="3190">
        <v>3187297</v>
      </c>
    </row>
    <row r="258" spans="1:15" ht="24.95" customHeight="1">
      <c r="A258" s="3185">
        <v>257</v>
      </c>
      <c r="B258" s="3185">
        <v>8</v>
      </c>
      <c r="C258" s="3185">
        <v>2</v>
      </c>
      <c r="D258" s="3186">
        <v>401</v>
      </c>
      <c r="E258" s="3176" t="str">
        <f t="shared" ref="E258:E321" si="17">CONCATENATE(B258,"-",C258,"-",D258)</f>
        <v>8-2-401</v>
      </c>
      <c r="F258" s="3191">
        <v>110.17</v>
      </c>
      <c r="G258" s="3188">
        <v>90.17</v>
      </c>
      <c r="H258" s="3189" t="s">
        <v>3469</v>
      </c>
      <c r="I258" s="3189" t="s">
        <v>3470</v>
      </c>
      <c r="J258" s="3189">
        <v>3268927.88</v>
      </c>
      <c r="K258" s="3189">
        <v>29671.67</v>
      </c>
      <c r="L258" s="3181">
        <v>3268927</v>
      </c>
      <c r="M258" s="3181">
        <v>29671.66</v>
      </c>
      <c r="N258" s="3180" t="s">
        <v>3471</v>
      </c>
      <c r="O258" s="3190">
        <v>3077630</v>
      </c>
    </row>
    <row r="259" spans="1:15" ht="24.95" customHeight="1">
      <c r="A259" s="3185">
        <v>258</v>
      </c>
      <c r="B259" s="3185">
        <v>8</v>
      </c>
      <c r="C259" s="3185">
        <v>2</v>
      </c>
      <c r="D259" s="3186">
        <v>402</v>
      </c>
      <c r="E259" s="3176" t="str">
        <f t="shared" si="17"/>
        <v>8-2-402</v>
      </c>
      <c r="F259" s="3191">
        <v>114.3</v>
      </c>
      <c r="G259" s="3188">
        <v>93.55</v>
      </c>
      <c r="H259" s="3189" t="s">
        <v>409</v>
      </c>
      <c r="I259" s="3189" t="s">
        <v>3470</v>
      </c>
      <c r="J259" s="3189">
        <v>3420046.88</v>
      </c>
      <c r="K259" s="3189">
        <v>29921.67</v>
      </c>
      <c r="L259" s="3181">
        <v>3420046</v>
      </c>
      <c r="M259" s="3181">
        <v>29921.66</v>
      </c>
      <c r="N259" s="3180" t="s">
        <v>3486</v>
      </c>
      <c r="O259" s="3190">
        <f>ROUND(L259*0.95,0)</f>
        <v>3249044</v>
      </c>
    </row>
    <row r="260" spans="1:15" ht="24.95" customHeight="1">
      <c r="A260" s="3185">
        <v>259</v>
      </c>
      <c r="B260" s="3185">
        <v>8</v>
      </c>
      <c r="C260" s="3185">
        <v>2</v>
      </c>
      <c r="D260" s="3186">
        <v>501</v>
      </c>
      <c r="E260" s="3176" t="str">
        <f t="shared" si="17"/>
        <v>8-2-501</v>
      </c>
      <c r="F260" s="3191">
        <v>110.17</v>
      </c>
      <c r="G260" s="3188">
        <v>90.17</v>
      </c>
      <c r="H260" s="3189" t="s">
        <v>3469</v>
      </c>
      <c r="I260" s="3189" t="s">
        <v>3470</v>
      </c>
      <c r="J260" s="3189">
        <v>3290961.88</v>
      </c>
      <c r="K260" s="3189">
        <v>29871.67</v>
      </c>
      <c r="L260" s="3181">
        <v>3290961</v>
      </c>
      <c r="M260" s="3181">
        <v>29871.66</v>
      </c>
      <c r="N260" s="3180" t="s">
        <v>3471</v>
      </c>
      <c r="O260" s="3190">
        <v>3098374</v>
      </c>
    </row>
    <row r="261" spans="1:15" ht="24.95" customHeight="1">
      <c r="A261" s="3185">
        <v>260</v>
      </c>
      <c r="B261" s="3185">
        <v>8</v>
      </c>
      <c r="C261" s="3185">
        <v>2</v>
      </c>
      <c r="D261" s="3186">
        <v>502</v>
      </c>
      <c r="E261" s="3176" t="str">
        <f t="shared" si="17"/>
        <v>8-2-502</v>
      </c>
      <c r="F261" s="3191">
        <v>114.3</v>
      </c>
      <c r="G261" s="3188">
        <v>93.55</v>
      </c>
      <c r="H261" s="3189" t="s">
        <v>409</v>
      </c>
      <c r="I261" s="3189" t="s">
        <v>3470</v>
      </c>
      <c r="J261" s="3189">
        <v>3442906.88</v>
      </c>
      <c r="K261" s="3189">
        <v>30121.67</v>
      </c>
      <c r="L261" s="3181">
        <v>3442906</v>
      </c>
      <c r="M261" s="3181">
        <v>30121.66</v>
      </c>
      <c r="N261" s="3180" t="s">
        <v>3471</v>
      </c>
      <c r="O261" s="3190">
        <v>3274169</v>
      </c>
    </row>
    <row r="262" spans="1:15" ht="24.95" customHeight="1">
      <c r="A262" s="3185">
        <v>261</v>
      </c>
      <c r="B262" s="3185">
        <v>8</v>
      </c>
      <c r="C262" s="3185">
        <v>2</v>
      </c>
      <c r="D262" s="3186">
        <v>601</v>
      </c>
      <c r="E262" s="3176" t="str">
        <f t="shared" si="17"/>
        <v>8-2-601</v>
      </c>
      <c r="F262" s="3191">
        <v>110.17</v>
      </c>
      <c r="G262" s="3188">
        <v>90.17</v>
      </c>
      <c r="H262" s="3189" t="s">
        <v>3469</v>
      </c>
      <c r="I262" s="3189" t="s">
        <v>3470</v>
      </c>
      <c r="J262" s="3189">
        <v>3312995.88</v>
      </c>
      <c r="K262" s="3189">
        <v>30071.67</v>
      </c>
      <c r="L262" s="3181">
        <v>3312995</v>
      </c>
      <c r="M262" s="3181">
        <v>30071.66</v>
      </c>
      <c r="N262" s="3180" t="s">
        <v>3471</v>
      </c>
      <c r="O262" s="3190">
        <v>3118801</v>
      </c>
    </row>
    <row r="263" spans="1:15" ht="24.95" customHeight="1">
      <c r="A263" s="3185">
        <v>262</v>
      </c>
      <c r="B263" s="3185">
        <v>8</v>
      </c>
      <c r="C263" s="3185">
        <v>2</v>
      </c>
      <c r="D263" s="3186">
        <v>602</v>
      </c>
      <c r="E263" s="3176" t="str">
        <f t="shared" si="17"/>
        <v>8-2-602</v>
      </c>
      <c r="F263" s="3191">
        <v>114.3</v>
      </c>
      <c r="G263" s="3188">
        <v>93.55</v>
      </c>
      <c r="H263" s="3189" t="s">
        <v>409</v>
      </c>
      <c r="I263" s="3189" t="s">
        <v>3470</v>
      </c>
      <c r="J263" s="3189">
        <v>3465766.88</v>
      </c>
      <c r="K263" s="3189">
        <v>30321.67</v>
      </c>
      <c r="L263" s="3181">
        <v>3465766</v>
      </c>
      <c r="M263" s="3181">
        <v>30321.66</v>
      </c>
      <c r="N263" s="3180" t="s">
        <v>3471</v>
      </c>
      <c r="O263" s="3190">
        <v>3262950</v>
      </c>
    </row>
    <row r="264" spans="1:15" ht="24.95" customHeight="1">
      <c r="A264" s="3185">
        <v>263</v>
      </c>
      <c r="B264" s="3185">
        <v>8</v>
      </c>
      <c r="C264" s="3185">
        <v>2</v>
      </c>
      <c r="D264" s="3186">
        <v>701</v>
      </c>
      <c r="E264" s="3176" t="str">
        <f t="shared" si="17"/>
        <v>8-2-701</v>
      </c>
      <c r="F264" s="3191">
        <v>110.17</v>
      </c>
      <c r="G264" s="3188">
        <v>90.17</v>
      </c>
      <c r="H264" s="3189" t="s">
        <v>3469</v>
      </c>
      <c r="I264" s="3189" t="s">
        <v>3470</v>
      </c>
      <c r="J264" s="3189">
        <v>3335029.88</v>
      </c>
      <c r="K264" s="3189">
        <v>30271.67</v>
      </c>
      <c r="L264" s="3181">
        <v>3335029</v>
      </c>
      <c r="M264" s="3181">
        <v>30271.66</v>
      </c>
      <c r="N264" s="3180" t="s">
        <v>3471</v>
      </c>
      <c r="O264" s="3190">
        <v>3171579</v>
      </c>
    </row>
    <row r="265" spans="1:15" ht="24.95" customHeight="1">
      <c r="A265" s="3185">
        <v>264</v>
      </c>
      <c r="B265" s="3185">
        <v>8</v>
      </c>
      <c r="C265" s="3185">
        <v>2</v>
      </c>
      <c r="D265" s="3186">
        <v>702</v>
      </c>
      <c r="E265" s="3176" t="str">
        <f t="shared" si="17"/>
        <v>8-2-702</v>
      </c>
      <c r="F265" s="3191">
        <v>114.3</v>
      </c>
      <c r="G265" s="3188">
        <v>93.55</v>
      </c>
      <c r="H265" s="3189" t="s">
        <v>409</v>
      </c>
      <c r="I265" s="3189" t="s">
        <v>3470</v>
      </c>
      <c r="J265" s="3189">
        <v>3488626.88</v>
      </c>
      <c r="K265" s="3189">
        <v>30521.67</v>
      </c>
      <c r="L265" s="3181">
        <v>3488626</v>
      </c>
      <c r="M265" s="3181">
        <v>30521.66</v>
      </c>
      <c r="N265" s="3180" t="s">
        <v>3471</v>
      </c>
      <c r="O265" s="3190">
        <v>3317649</v>
      </c>
    </row>
    <row r="266" spans="1:15" ht="24.95" customHeight="1">
      <c r="A266" s="3185">
        <v>265</v>
      </c>
      <c r="B266" s="3185">
        <v>8</v>
      </c>
      <c r="C266" s="3185">
        <v>2</v>
      </c>
      <c r="D266" s="3186">
        <v>801</v>
      </c>
      <c r="E266" s="3176" t="str">
        <f t="shared" si="17"/>
        <v>8-2-801</v>
      </c>
      <c r="F266" s="3191">
        <v>110.17</v>
      </c>
      <c r="G266" s="3188">
        <v>90.17</v>
      </c>
      <c r="H266" s="3189" t="s">
        <v>3469</v>
      </c>
      <c r="I266" s="3189" t="s">
        <v>3470</v>
      </c>
      <c r="J266" s="3189">
        <v>3569508</v>
      </c>
      <c r="K266" s="3189">
        <v>32400</v>
      </c>
      <c r="L266" s="3181">
        <v>3569508</v>
      </c>
      <c r="M266" s="3181">
        <v>32400</v>
      </c>
      <c r="N266" s="3180" t="s">
        <v>3471</v>
      </c>
      <c r="O266" s="3190">
        <v>3533813</v>
      </c>
    </row>
    <row r="267" spans="1:15" ht="24.95" customHeight="1">
      <c r="A267" s="3185">
        <v>266</v>
      </c>
      <c r="B267" s="3185">
        <v>8</v>
      </c>
      <c r="C267" s="3185">
        <v>2</v>
      </c>
      <c r="D267" s="3186">
        <v>802</v>
      </c>
      <c r="E267" s="3176" t="str">
        <f t="shared" si="17"/>
        <v>8-2-802</v>
      </c>
      <c r="F267" s="3191">
        <v>114.3</v>
      </c>
      <c r="G267" s="3188">
        <v>93.55</v>
      </c>
      <c r="H267" s="3189" t="s">
        <v>409</v>
      </c>
      <c r="I267" s="3189" t="s">
        <v>3470</v>
      </c>
      <c r="J267" s="3189">
        <v>3703320</v>
      </c>
      <c r="K267" s="3189">
        <v>32400</v>
      </c>
      <c r="L267" s="3181">
        <v>3703320</v>
      </c>
      <c r="M267" s="3181">
        <v>32400</v>
      </c>
      <c r="N267" s="3180" t="s">
        <v>3486</v>
      </c>
      <c r="O267" s="3190">
        <f>ROUND(L267*0.95,0)</f>
        <v>3518154</v>
      </c>
    </row>
    <row r="268" spans="1:15" ht="24.95" customHeight="1">
      <c r="A268" s="3185">
        <v>267</v>
      </c>
      <c r="B268" s="3185">
        <v>8</v>
      </c>
      <c r="C268" s="3185"/>
      <c r="D268" s="3186">
        <v>-101</v>
      </c>
      <c r="E268" s="3208" t="str">
        <f t="shared" si="17"/>
        <v>8---101</v>
      </c>
      <c r="F268" s="3186">
        <v>11.11</v>
      </c>
      <c r="G268" s="3193">
        <v>11.11</v>
      </c>
      <c r="H268" s="3185"/>
      <c r="I268" s="3185" t="s">
        <v>3487</v>
      </c>
      <c r="J268" s="3185">
        <v>99990</v>
      </c>
      <c r="K268" s="3185">
        <v>9000</v>
      </c>
      <c r="L268" s="3181">
        <v>99990</v>
      </c>
      <c r="M268" s="3181"/>
      <c r="N268" s="3180" t="s">
        <v>3486</v>
      </c>
      <c r="O268" s="3190">
        <f>F268*8000</f>
        <v>88880</v>
      </c>
    </row>
    <row r="269" spans="1:15" ht="24.95" customHeight="1">
      <c r="A269" s="3185">
        <v>268</v>
      </c>
      <c r="B269" s="3185">
        <v>8</v>
      </c>
      <c r="C269" s="3185"/>
      <c r="D269" s="3186">
        <v>-102</v>
      </c>
      <c r="E269" s="3192" t="str">
        <f t="shared" si="17"/>
        <v>8---102</v>
      </c>
      <c r="F269" s="3186">
        <v>3.9</v>
      </c>
      <c r="G269" s="3193">
        <v>3.9</v>
      </c>
      <c r="H269" s="3185"/>
      <c r="I269" s="3185" t="s">
        <v>3487</v>
      </c>
      <c r="J269" s="3185">
        <v>35100</v>
      </c>
      <c r="K269" s="3185">
        <v>9000</v>
      </c>
      <c r="L269" s="3181">
        <v>35100</v>
      </c>
      <c r="M269" s="3181"/>
      <c r="N269" s="3180" t="s">
        <v>3486</v>
      </c>
      <c r="O269" s="3190">
        <f>F269*8000</f>
        <v>31200</v>
      </c>
    </row>
    <row r="270" spans="1:15" ht="24.95" customHeight="1">
      <c r="A270" s="3185">
        <v>269</v>
      </c>
      <c r="B270" s="3185">
        <v>8</v>
      </c>
      <c r="C270" s="3185"/>
      <c r="D270" s="3186">
        <v>-103</v>
      </c>
      <c r="E270" s="3192" t="str">
        <f t="shared" si="17"/>
        <v>8---103</v>
      </c>
      <c r="F270" s="3186">
        <v>5.85</v>
      </c>
      <c r="G270" s="3193">
        <v>5.85</v>
      </c>
      <c r="H270" s="3185"/>
      <c r="I270" s="3185" t="s">
        <v>3487</v>
      </c>
      <c r="J270" s="3185">
        <v>52650</v>
      </c>
      <c r="K270" s="3185">
        <v>9000</v>
      </c>
      <c r="L270" s="3181">
        <v>52650</v>
      </c>
      <c r="M270" s="3181"/>
      <c r="N270" s="3180" t="s">
        <v>3486</v>
      </c>
      <c r="O270" s="3190">
        <f>F270*8000</f>
        <v>46800</v>
      </c>
    </row>
    <row r="271" spans="1:15" ht="24.95" customHeight="1">
      <c r="A271" s="3185">
        <v>270</v>
      </c>
      <c r="B271" s="3185">
        <v>8</v>
      </c>
      <c r="C271" s="3185"/>
      <c r="D271" s="3186">
        <v>-104</v>
      </c>
      <c r="E271" s="3192" t="str">
        <f t="shared" si="17"/>
        <v>8---104</v>
      </c>
      <c r="F271" s="3186">
        <v>5.4</v>
      </c>
      <c r="G271" s="3193">
        <v>5.4</v>
      </c>
      <c r="H271" s="3185"/>
      <c r="I271" s="3185" t="s">
        <v>3487</v>
      </c>
      <c r="J271" s="3185">
        <v>48600</v>
      </c>
      <c r="K271" s="3185">
        <v>9000</v>
      </c>
      <c r="L271" s="3181">
        <v>48600</v>
      </c>
      <c r="M271" s="3181"/>
      <c r="N271" s="3180" t="s">
        <v>3486</v>
      </c>
      <c r="O271" s="3190">
        <f>F271*8000</f>
        <v>43200</v>
      </c>
    </row>
    <row r="272" spans="1:15" ht="24.95" customHeight="1">
      <c r="A272" s="3185">
        <v>271</v>
      </c>
      <c r="B272" s="3185">
        <v>9</v>
      </c>
      <c r="C272" s="3185">
        <v>1</v>
      </c>
      <c r="D272" s="3186">
        <v>101</v>
      </c>
      <c r="E272" s="3176" t="str">
        <f t="shared" si="17"/>
        <v>9-1-101</v>
      </c>
      <c r="F272" s="3191">
        <v>114.18</v>
      </c>
      <c r="G272" s="3188">
        <v>93.55</v>
      </c>
      <c r="H272" s="3189" t="s">
        <v>409</v>
      </c>
      <c r="I272" s="3189" t="s">
        <v>3470</v>
      </c>
      <c r="J272" s="3189">
        <v>3370784.28</v>
      </c>
      <c r="K272" s="3189">
        <v>29521.67</v>
      </c>
      <c r="L272" s="3181">
        <v>3370784</v>
      </c>
      <c r="M272" s="3181">
        <v>29521.67</v>
      </c>
      <c r="N272" s="3180" t="s">
        <v>3486</v>
      </c>
      <c r="O272" s="3190">
        <f t="shared" ref="O272:O278" si="18">ROUND(L272*0.95,0)</f>
        <v>3202245</v>
      </c>
    </row>
    <row r="273" spans="1:15" ht="24.95" customHeight="1">
      <c r="A273" s="3185">
        <v>272</v>
      </c>
      <c r="B273" s="3185">
        <v>9</v>
      </c>
      <c r="C273" s="3185">
        <v>1</v>
      </c>
      <c r="D273" s="3186">
        <v>201</v>
      </c>
      <c r="E273" s="3176" t="str">
        <f t="shared" si="17"/>
        <v>9-1-201</v>
      </c>
      <c r="F273" s="3191">
        <v>114.18</v>
      </c>
      <c r="G273" s="3188">
        <v>93.55</v>
      </c>
      <c r="H273" s="3189" t="s">
        <v>409</v>
      </c>
      <c r="I273" s="3189" t="s">
        <v>3470</v>
      </c>
      <c r="J273" s="3189">
        <v>3405038.28</v>
      </c>
      <c r="K273" s="3189">
        <v>29821.67</v>
      </c>
      <c r="L273" s="3181">
        <v>3405038</v>
      </c>
      <c r="M273" s="3181">
        <v>29821.67</v>
      </c>
      <c r="N273" s="3180" t="s">
        <v>3486</v>
      </c>
      <c r="O273" s="3190">
        <f t="shared" si="18"/>
        <v>3234786</v>
      </c>
    </row>
    <row r="274" spans="1:15" ht="24.95" customHeight="1">
      <c r="A274" s="3185">
        <v>273</v>
      </c>
      <c r="B274" s="3185">
        <v>9</v>
      </c>
      <c r="C274" s="3185">
        <v>1</v>
      </c>
      <c r="D274" s="3186">
        <v>202</v>
      </c>
      <c r="E274" s="3176" t="str">
        <f t="shared" si="17"/>
        <v>9-1-202</v>
      </c>
      <c r="F274" s="3191">
        <v>110.06</v>
      </c>
      <c r="G274" s="3188">
        <v>90.17</v>
      </c>
      <c r="H274" s="3189" t="s">
        <v>3469</v>
      </c>
      <c r="I274" s="3189" t="s">
        <v>3470</v>
      </c>
      <c r="J274" s="3189">
        <v>3254658</v>
      </c>
      <c r="K274" s="3189">
        <v>29571.67</v>
      </c>
      <c r="L274" s="3181">
        <v>3254658</v>
      </c>
      <c r="M274" s="3181">
        <v>29571.67</v>
      </c>
      <c r="N274" s="3180" t="s">
        <v>3486</v>
      </c>
      <c r="O274" s="3190">
        <f t="shared" si="18"/>
        <v>3091925</v>
      </c>
    </row>
    <row r="275" spans="1:15" ht="24.95" customHeight="1">
      <c r="A275" s="3185">
        <v>274</v>
      </c>
      <c r="B275" s="3185">
        <v>9</v>
      </c>
      <c r="C275" s="3185">
        <v>1</v>
      </c>
      <c r="D275" s="3186">
        <v>301</v>
      </c>
      <c r="E275" s="3176" t="str">
        <f t="shared" si="17"/>
        <v>9-1-301</v>
      </c>
      <c r="F275" s="3191">
        <v>114.18</v>
      </c>
      <c r="G275" s="3188">
        <v>93.55</v>
      </c>
      <c r="H275" s="3189" t="s">
        <v>409</v>
      </c>
      <c r="I275" s="3189" t="s">
        <v>3470</v>
      </c>
      <c r="J275" s="3189">
        <v>3462128.28</v>
      </c>
      <c r="K275" s="3189">
        <v>30321.67</v>
      </c>
      <c r="L275" s="3181">
        <v>3462128</v>
      </c>
      <c r="M275" s="3181">
        <v>30321.67</v>
      </c>
      <c r="N275" s="3180" t="s">
        <v>3486</v>
      </c>
      <c r="O275" s="3190">
        <f t="shared" si="18"/>
        <v>3289022</v>
      </c>
    </row>
    <row r="276" spans="1:15" ht="24.95" customHeight="1">
      <c r="A276" s="3185">
        <v>275</v>
      </c>
      <c r="B276" s="3185">
        <v>9</v>
      </c>
      <c r="C276" s="3185">
        <v>1</v>
      </c>
      <c r="D276" s="3186">
        <v>302</v>
      </c>
      <c r="E276" s="3176" t="str">
        <f t="shared" si="17"/>
        <v>9-1-302</v>
      </c>
      <c r="F276" s="3191">
        <v>110.06</v>
      </c>
      <c r="G276" s="3188">
        <v>90.17</v>
      </c>
      <c r="H276" s="3189" t="s">
        <v>3469</v>
      </c>
      <c r="I276" s="3189" t="s">
        <v>3470</v>
      </c>
      <c r="J276" s="3189">
        <v>3309688</v>
      </c>
      <c r="K276" s="3189">
        <v>30071.67</v>
      </c>
      <c r="L276" s="3181">
        <v>3309688</v>
      </c>
      <c r="M276" s="3181">
        <v>30071.67</v>
      </c>
      <c r="N276" s="3180" t="s">
        <v>3486</v>
      </c>
      <c r="O276" s="3190">
        <f t="shared" si="18"/>
        <v>3144204</v>
      </c>
    </row>
    <row r="277" spans="1:15" ht="24.95" customHeight="1">
      <c r="A277" s="3185">
        <v>276</v>
      </c>
      <c r="B277" s="3185">
        <v>9</v>
      </c>
      <c r="C277" s="3185">
        <v>1</v>
      </c>
      <c r="D277" s="3186">
        <v>401</v>
      </c>
      <c r="E277" s="3176" t="str">
        <f t="shared" si="17"/>
        <v>9-1-401</v>
      </c>
      <c r="F277" s="3191">
        <v>114.18</v>
      </c>
      <c r="G277" s="3188">
        <v>93.55</v>
      </c>
      <c r="H277" s="3189" t="s">
        <v>409</v>
      </c>
      <c r="I277" s="3189" t="s">
        <v>3470</v>
      </c>
      <c r="J277" s="3189">
        <v>3496382.28</v>
      </c>
      <c r="K277" s="3189">
        <v>30621.67</v>
      </c>
      <c r="L277" s="3181">
        <v>3496382</v>
      </c>
      <c r="M277" s="3181">
        <v>30621.67</v>
      </c>
      <c r="N277" s="3180" t="s">
        <v>3486</v>
      </c>
      <c r="O277" s="3190">
        <f t="shared" si="18"/>
        <v>3321563</v>
      </c>
    </row>
    <row r="278" spans="1:15" ht="24.95" customHeight="1">
      <c r="A278" s="3185">
        <v>277</v>
      </c>
      <c r="B278" s="3185">
        <v>9</v>
      </c>
      <c r="C278" s="3185">
        <v>1</v>
      </c>
      <c r="D278" s="3186">
        <v>402</v>
      </c>
      <c r="E278" s="3176" t="str">
        <f t="shared" si="17"/>
        <v>9-1-402</v>
      </c>
      <c r="F278" s="3191">
        <v>110.06</v>
      </c>
      <c r="G278" s="3188">
        <v>90.17</v>
      </c>
      <c r="H278" s="3189" t="s">
        <v>3469</v>
      </c>
      <c r="I278" s="3189" t="s">
        <v>3470</v>
      </c>
      <c r="J278" s="3189">
        <v>3342706</v>
      </c>
      <c r="K278" s="3189">
        <v>30371.67</v>
      </c>
      <c r="L278" s="3181">
        <v>3342706</v>
      </c>
      <c r="M278" s="3181">
        <v>30371.67</v>
      </c>
      <c r="N278" s="3180" t="s">
        <v>3486</v>
      </c>
      <c r="O278" s="3190">
        <f t="shared" si="18"/>
        <v>3175571</v>
      </c>
    </row>
    <row r="279" spans="1:15" ht="24.95" customHeight="1">
      <c r="A279" s="3185">
        <v>278</v>
      </c>
      <c r="B279" s="3185">
        <v>9</v>
      </c>
      <c r="C279" s="3185">
        <v>1</v>
      </c>
      <c r="D279" s="3186">
        <v>501</v>
      </c>
      <c r="E279" s="3176" t="str">
        <f t="shared" si="17"/>
        <v>9-1-501</v>
      </c>
      <c r="F279" s="3191">
        <v>114.18</v>
      </c>
      <c r="G279" s="3188">
        <v>93.55</v>
      </c>
      <c r="H279" s="3189" t="s">
        <v>409</v>
      </c>
      <c r="I279" s="3189" t="s">
        <v>3470</v>
      </c>
      <c r="J279" s="3189">
        <v>3519218.28</v>
      </c>
      <c r="K279" s="3189">
        <v>30821.67</v>
      </c>
      <c r="L279" s="3181">
        <v>3519218</v>
      </c>
      <c r="M279" s="3181">
        <v>30821.67</v>
      </c>
      <c r="N279" s="3180" t="s">
        <v>3471</v>
      </c>
      <c r="O279" s="3190">
        <v>3312936</v>
      </c>
    </row>
    <row r="280" spans="1:15" ht="24.95" customHeight="1">
      <c r="A280" s="3185">
        <v>279</v>
      </c>
      <c r="B280" s="3185">
        <v>9</v>
      </c>
      <c r="C280" s="3185">
        <v>1</v>
      </c>
      <c r="D280" s="3186">
        <v>502</v>
      </c>
      <c r="E280" s="3176" t="str">
        <f t="shared" si="17"/>
        <v>9-1-502</v>
      </c>
      <c r="F280" s="3191">
        <v>110.06</v>
      </c>
      <c r="G280" s="3188">
        <v>90.17</v>
      </c>
      <c r="H280" s="3189" t="s">
        <v>3469</v>
      </c>
      <c r="I280" s="3189" t="s">
        <v>3470</v>
      </c>
      <c r="J280" s="3189">
        <v>3364718</v>
      </c>
      <c r="K280" s="3189">
        <v>30571.67</v>
      </c>
      <c r="L280" s="3181">
        <v>3364718</v>
      </c>
      <c r="M280" s="3181">
        <v>30571.67</v>
      </c>
      <c r="N280" s="3180" t="s">
        <v>3486</v>
      </c>
      <c r="O280" s="3190">
        <f>ROUND(L280*0.95,0)</f>
        <v>3196482</v>
      </c>
    </row>
    <row r="281" spans="1:15" ht="24.95" customHeight="1">
      <c r="A281" s="3185">
        <v>280</v>
      </c>
      <c r="B281" s="3185">
        <v>9</v>
      </c>
      <c r="C281" s="3185">
        <v>1</v>
      </c>
      <c r="D281" s="3186">
        <v>601</v>
      </c>
      <c r="E281" s="3176" t="str">
        <f t="shared" si="17"/>
        <v>9-1-601</v>
      </c>
      <c r="F281" s="3191">
        <v>114.18</v>
      </c>
      <c r="G281" s="3188">
        <v>93.55</v>
      </c>
      <c r="H281" s="3189" t="s">
        <v>409</v>
      </c>
      <c r="I281" s="3189" t="s">
        <v>3470</v>
      </c>
      <c r="J281" s="3189">
        <v>3542054.28</v>
      </c>
      <c r="K281" s="3189">
        <v>31021.67</v>
      </c>
      <c r="L281" s="3181">
        <v>3542054</v>
      </c>
      <c r="M281" s="3181">
        <v>31021.67</v>
      </c>
      <c r="N281" s="3180" t="s">
        <v>3471</v>
      </c>
      <c r="O281" s="3190">
        <v>3334433</v>
      </c>
    </row>
    <row r="282" spans="1:15" ht="24.95" customHeight="1">
      <c r="A282" s="3185">
        <v>281</v>
      </c>
      <c r="B282" s="3185">
        <v>9</v>
      </c>
      <c r="C282" s="3185">
        <v>1</v>
      </c>
      <c r="D282" s="3186">
        <v>602</v>
      </c>
      <c r="E282" s="3176" t="str">
        <f t="shared" si="17"/>
        <v>9-1-602</v>
      </c>
      <c r="F282" s="3191">
        <v>110.06</v>
      </c>
      <c r="G282" s="3188">
        <v>90.17</v>
      </c>
      <c r="H282" s="3189" t="s">
        <v>3469</v>
      </c>
      <c r="I282" s="3189" t="s">
        <v>3470</v>
      </c>
      <c r="J282" s="3189">
        <v>3386730</v>
      </c>
      <c r="K282" s="3189">
        <v>30771.67</v>
      </c>
      <c r="L282" s="3181">
        <v>3386730</v>
      </c>
      <c r="M282" s="3181">
        <v>30771.67</v>
      </c>
      <c r="N282" s="3180" t="s">
        <v>3471</v>
      </c>
      <c r="O282" s="3190">
        <v>3220747</v>
      </c>
    </row>
    <row r="283" spans="1:15" ht="24.95" customHeight="1">
      <c r="A283" s="3185">
        <v>282</v>
      </c>
      <c r="B283" s="3185">
        <v>9</v>
      </c>
      <c r="C283" s="3185">
        <v>1</v>
      </c>
      <c r="D283" s="3186">
        <v>701</v>
      </c>
      <c r="E283" s="3176" t="str">
        <f t="shared" si="17"/>
        <v>9-1-701</v>
      </c>
      <c r="F283" s="3191">
        <v>114.18</v>
      </c>
      <c r="G283" s="3188">
        <v>93.55</v>
      </c>
      <c r="H283" s="3189" t="s">
        <v>409</v>
      </c>
      <c r="I283" s="3189" t="s">
        <v>3470</v>
      </c>
      <c r="J283" s="3189">
        <v>3564890.28</v>
      </c>
      <c r="K283" s="3189">
        <v>31221.67</v>
      </c>
      <c r="L283" s="3181">
        <v>3564890</v>
      </c>
      <c r="M283" s="3181">
        <v>31221.67</v>
      </c>
      <c r="N283" s="3180" t="s">
        <v>3471</v>
      </c>
      <c r="O283" s="3190">
        <v>3355931</v>
      </c>
    </row>
    <row r="284" spans="1:15" ht="24.95" customHeight="1">
      <c r="A284" s="3185">
        <v>283</v>
      </c>
      <c r="B284" s="3185">
        <v>9</v>
      </c>
      <c r="C284" s="3185">
        <v>1</v>
      </c>
      <c r="D284" s="3186">
        <v>702</v>
      </c>
      <c r="E284" s="3176" t="str">
        <f t="shared" si="17"/>
        <v>9-1-702</v>
      </c>
      <c r="F284" s="3191">
        <v>110.06</v>
      </c>
      <c r="G284" s="3188">
        <v>90.17</v>
      </c>
      <c r="H284" s="3189" t="s">
        <v>3469</v>
      </c>
      <c r="I284" s="3189" t="s">
        <v>3470</v>
      </c>
      <c r="J284" s="3189">
        <v>3408742</v>
      </c>
      <c r="K284" s="3189">
        <v>30971.67</v>
      </c>
      <c r="L284" s="3181">
        <v>3408742</v>
      </c>
      <c r="M284" s="3181">
        <v>30971.67</v>
      </c>
      <c r="N284" s="3180" t="s">
        <v>3471</v>
      </c>
      <c r="O284" s="3190">
        <v>3208935</v>
      </c>
    </row>
    <row r="285" spans="1:15" ht="24.95" customHeight="1">
      <c r="A285" s="3185">
        <v>284</v>
      </c>
      <c r="B285" s="3185">
        <v>9</v>
      </c>
      <c r="C285" s="3185">
        <v>1</v>
      </c>
      <c r="D285" s="3186">
        <v>801</v>
      </c>
      <c r="E285" s="3176" t="str">
        <f t="shared" si="17"/>
        <v>9-1-801</v>
      </c>
      <c r="F285" s="3191">
        <v>114.18</v>
      </c>
      <c r="G285" s="3188">
        <v>93.55</v>
      </c>
      <c r="H285" s="3189" t="s">
        <v>409</v>
      </c>
      <c r="I285" s="3189" t="s">
        <v>3470</v>
      </c>
      <c r="J285" s="3189">
        <v>3699432</v>
      </c>
      <c r="K285" s="3189">
        <v>32400</v>
      </c>
      <c r="L285" s="3181">
        <v>3699432</v>
      </c>
      <c r="M285" s="3181">
        <v>32400</v>
      </c>
      <c r="N285" s="3180" t="s">
        <v>3486</v>
      </c>
      <c r="O285" s="3190">
        <f t="shared" ref="O285:O297" si="19">ROUND(L285*0.95,0)</f>
        <v>3514460</v>
      </c>
    </row>
    <row r="286" spans="1:15" ht="24.95" customHeight="1">
      <c r="A286" s="3185">
        <v>285</v>
      </c>
      <c r="B286" s="3185">
        <v>9</v>
      </c>
      <c r="C286" s="3185">
        <v>1</v>
      </c>
      <c r="D286" s="3186">
        <v>802</v>
      </c>
      <c r="E286" s="3176" t="str">
        <f t="shared" si="17"/>
        <v>9-1-802</v>
      </c>
      <c r="F286" s="3191">
        <v>110.06</v>
      </c>
      <c r="G286" s="3188">
        <v>90.17</v>
      </c>
      <c r="H286" s="3189" t="s">
        <v>3469</v>
      </c>
      <c r="I286" s="3189" t="s">
        <v>3470</v>
      </c>
      <c r="J286" s="3189">
        <v>3565944</v>
      </c>
      <c r="K286" s="3189">
        <v>32400</v>
      </c>
      <c r="L286" s="3181">
        <v>3565944</v>
      </c>
      <c r="M286" s="3181">
        <v>32400</v>
      </c>
      <c r="N286" s="3180" t="s">
        <v>3486</v>
      </c>
      <c r="O286" s="3190">
        <f t="shared" si="19"/>
        <v>3387647</v>
      </c>
    </row>
    <row r="287" spans="1:15" ht="24.95" customHeight="1">
      <c r="A287" s="3185">
        <v>286</v>
      </c>
      <c r="B287" s="3185">
        <v>9</v>
      </c>
      <c r="C287" s="3185">
        <v>2</v>
      </c>
      <c r="D287" s="3186">
        <v>102</v>
      </c>
      <c r="E287" s="3176" t="str">
        <f t="shared" si="17"/>
        <v>9-2-102</v>
      </c>
      <c r="F287" s="3191">
        <v>134.22999999999999</v>
      </c>
      <c r="G287" s="3188">
        <v>109.98</v>
      </c>
      <c r="H287" s="3189" t="s">
        <v>3478</v>
      </c>
      <c r="I287" s="3189" t="s">
        <v>3470</v>
      </c>
      <c r="J287" s="3189">
        <v>3996251.26</v>
      </c>
      <c r="K287" s="3189">
        <v>29771.67</v>
      </c>
      <c r="L287" s="3181">
        <v>3996251</v>
      </c>
      <c r="M287" s="3181">
        <v>29771.67</v>
      </c>
      <c r="N287" s="3180" t="s">
        <v>3486</v>
      </c>
      <c r="O287" s="3190">
        <f t="shared" si="19"/>
        <v>3796438</v>
      </c>
    </row>
    <row r="288" spans="1:15" ht="24.95" customHeight="1">
      <c r="A288" s="3185">
        <v>287</v>
      </c>
      <c r="B288" s="3185">
        <v>9</v>
      </c>
      <c r="C288" s="3185">
        <v>2</v>
      </c>
      <c r="D288" s="3186">
        <v>201</v>
      </c>
      <c r="E288" s="3176" t="str">
        <f t="shared" si="17"/>
        <v>9-2-201</v>
      </c>
      <c r="F288" s="3191">
        <v>109.84</v>
      </c>
      <c r="G288" s="3188">
        <v>89.99</v>
      </c>
      <c r="H288" s="3189" t="s">
        <v>3477</v>
      </c>
      <c r="I288" s="3189" t="s">
        <v>3470</v>
      </c>
      <c r="J288" s="3189">
        <v>3253644.23</v>
      </c>
      <c r="K288" s="3189">
        <v>29621.67</v>
      </c>
      <c r="L288" s="3181">
        <v>3253644</v>
      </c>
      <c r="M288" s="3181">
        <v>29621.67</v>
      </c>
      <c r="N288" s="3180" t="s">
        <v>3486</v>
      </c>
      <c r="O288" s="3190">
        <f t="shared" si="19"/>
        <v>3090962</v>
      </c>
    </row>
    <row r="289" spans="1:15" ht="24.95" customHeight="1">
      <c r="A289" s="3185">
        <v>288</v>
      </c>
      <c r="B289" s="3185">
        <v>9</v>
      </c>
      <c r="C289" s="3185">
        <v>2</v>
      </c>
      <c r="D289" s="3186">
        <v>202</v>
      </c>
      <c r="E289" s="3176" t="str">
        <f t="shared" si="17"/>
        <v>9-2-202</v>
      </c>
      <c r="F289" s="3191">
        <v>134.22999999999999</v>
      </c>
      <c r="G289" s="3188">
        <v>109.98</v>
      </c>
      <c r="H289" s="3189" t="s">
        <v>3478</v>
      </c>
      <c r="I289" s="3189" t="s">
        <v>3470</v>
      </c>
      <c r="J289" s="3189">
        <v>4036520.26</v>
      </c>
      <c r="K289" s="3189">
        <v>30071.67</v>
      </c>
      <c r="L289" s="3181">
        <v>4036520</v>
      </c>
      <c r="M289" s="3181">
        <v>30071.67</v>
      </c>
      <c r="N289" s="3180" t="s">
        <v>3486</v>
      </c>
      <c r="O289" s="3190">
        <f t="shared" si="19"/>
        <v>3834694</v>
      </c>
    </row>
    <row r="290" spans="1:15" ht="24.95" customHeight="1">
      <c r="A290" s="3185">
        <v>289</v>
      </c>
      <c r="B290" s="3185">
        <v>9</v>
      </c>
      <c r="C290" s="3185">
        <v>2</v>
      </c>
      <c r="D290" s="3186">
        <v>301</v>
      </c>
      <c r="E290" s="3176" t="str">
        <f t="shared" si="17"/>
        <v>9-2-301</v>
      </c>
      <c r="F290" s="3191">
        <v>109.86</v>
      </c>
      <c r="G290" s="3188">
        <v>90.01</v>
      </c>
      <c r="H290" s="3189" t="s">
        <v>3477</v>
      </c>
      <c r="I290" s="3189" t="s">
        <v>3470</v>
      </c>
      <c r="J290" s="3189">
        <v>3309166.67</v>
      </c>
      <c r="K290" s="3189">
        <v>30121.67</v>
      </c>
      <c r="L290" s="3181">
        <v>3309166</v>
      </c>
      <c r="M290" s="3181">
        <v>30121.66</v>
      </c>
      <c r="N290" s="3180" t="s">
        <v>3486</v>
      </c>
      <c r="O290" s="3190">
        <f t="shared" si="19"/>
        <v>3143708</v>
      </c>
    </row>
    <row r="291" spans="1:15" ht="24.95" customHeight="1">
      <c r="A291" s="3185">
        <v>290</v>
      </c>
      <c r="B291" s="3185">
        <v>9</v>
      </c>
      <c r="C291" s="3185">
        <v>2</v>
      </c>
      <c r="D291" s="3186">
        <v>302</v>
      </c>
      <c r="E291" s="3176" t="str">
        <f t="shared" si="17"/>
        <v>9-2-302</v>
      </c>
      <c r="F291" s="3191">
        <v>134.22999999999999</v>
      </c>
      <c r="G291" s="3188">
        <v>109.98</v>
      </c>
      <c r="H291" s="3189" t="s">
        <v>3478</v>
      </c>
      <c r="I291" s="3189" t="s">
        <v>3470</v>
      </c>
      <c r="J291" s="3189">
        <v>4103635.26</v>
      </c>
      <c r="K291" s="3189">
        <v>30571.67</v>
      </c>
      <c r="L291" s="3181">
        <v>4103635</v>
      </c>
      <c r="M291" s="3181">
        <v>30571.67</v>
      </c>
      <c r="N291" s="3180" t="s">
        <v>3486</v>
      </c>
      <c r="O291" s="3190">
        <f t="shared" si="19"/>
        <v>3898453</v>
      </c>
    </row>
    <row r="292" spans="1:15" ht="24.95" customHeight="1">
      <c r="A292" s="3185">
        <v>291</v>
      </c>
      <c r="B292" s="3185">
        <v>9</v>
      </c>
      <c r="C292" s="3185">
        <v>2</v>
      </c>
      <c r="D292" s="3186">
        <v>401</v>
      </c>
      <c r="E292" s="3176" t="str">
        <f t="shared" si="17"/>
        <v>9-2-401</v>
      </c>
      <c r="F292" s="3191">
        <v>109.86</v>
      </c>
      <c r="G292" s="3188">
        <v>90.01</v>
      </c>
      <c r="H292" s="3189" t="s">
        <v>3477</v>
      </c>
      <c r="I292" s="3189" t="s">
        <v>3470</v>
      </c>
      <c r="J292" s="3189">
        <v>3342124.67</v>
      </c>
      <c r="K292" s="3189">
        <v>30421.67</v>
      </c>
      <c r="L292" s="3181">
        <v>3342124</v>
      </c>
      <c r="M292" s="3181">
        <v>30421.66</v>
      </c>
      <c r="N292" s="3180" t="s">
        <v>3486</v>
      </c>
      <c r="O292" s="3190">
        <f t="shared" si="19"/>
        <v>3175018</v>
      </c>
    </row>
    <row r="293" spans="1:15" ht="24.95" customHeight="1">
      <c r="A293" s="3185">
        <v>292</v>
      </c>
      <c r="B293" s="3185">
        <v>9</v>
      </c>
      <c r="C293" s="3185">
        <v>2</v>
      </c>
      <c r="D293" s="3186">
        <v>402</v>
      </c>
      <c r="E293" s="3176" t="str">
        <f t="shared" si="17"/>
        <v>9-2-402</v>
      </c>
      <c r="F293" s="3191">
        <v>134.22999999999999</v>
      </c>
      <c r="G293" s="3188">
        <v>109.98</v>
      </c>
      <c r="H293" s="3189" t="s">
        <v>3478</v>
      </c>
      <c r="I293" s="3189" t="s">
        <v>3470</v>
      </c>
      <c r="J293" s="3189">
        <v>4150615.76</v>
      </c>
      <c r="K293" s="3189">
        <v>30921.67</v>
      </c>
      <c r="L293" s="3181">
        <v>4150615</v>
      </c>
      <c r="M293" s="3181">
        <v>30921.66</v>
      </c>
      <c r="N293" s="3180" t="s">
        <v>3486</v>
      </c>
      <c r="O293" s="3190">
        <f t="shared" si="19"/>
        <v>3943084</v>
      </c>
    </row>
    <row r="294" spans="1:15" ht="24.95" customHeight="1">
      <c r="A294" s="3185">
        <v>293</v>
      </c>
      <c r="B294" s="3185">
        <v>9</v>
      </c>
      <c r="C294" s="3185">
        <v>2</v>
      </c>
      <c r="D294" s="3186">
        <v>501</v>
      </c>
      <c r="E294" s="3176" t="str">
        <f t="shared" si="17"/>
        <v>9-2-501</v>
      </c>
      <c r="F294" s="3191">
        <v>109.86</v>
      </c>
      <c r="G294" s="3188">
        <v>90.01</v>
      </c>
      <c r="H294" s="3189" t="s">
        <v>3477</v>
      </c>
      <c r="I294" s="3189" t="s">
        <v>3470</v>
      </c>
      <c r="J294" s="3189">
        <v>3364096.67</v>
      </c>
      <c r="K294" s="3189">
        <v>30621.67</v>
      </c>
      <c r="L294" s="3181">
        <v>3364096</v>
      </c>
      <c r="M294" s="3181">
        <v>30621.66</v>
      </c>
      <c r="N294" s="3180" t="s">
        <v>3486</v>
      </c>
      <c r="O294" s="3190">
        <f t="shared" si="19"/>
        <v>3195891</v>
      </c>
    </row>
    <row r="295" spans="1:15" ht="24.95" customHeight="1">
      <c r="A295" s="3185">
        <v>294</v>
      </c>
      <c r="B295" s="3185">
        <v>9</v>
      </c>
      <c r="C295" s="3185">
        <v>2</v>
      </c>
      <c r="D295" s="3186">
        <v>502</v>
      </c>
      <c r="E295" s="3176" t="str">
        <f t="shared" si="17"/>
        <v>9-2-502</v>
      </c>
      <c r="F295" s="3191">
        <v>134.22999999999999</v>
      </c>
      <c r="G295" s="3188">
        <v>109.98</v>
      </c>
      <c r="H295" s="3189" t="s">
        <v>3478</v>
      </c>
      <c r="I295" s="3189" t="s">
        <v>3470</v>
      </c>
      <c r="J295" s="3189">
        <v>4177461.76</v>
      </c>
      <c r="K295" s="3189">
        <v>31121.67</v>
      </c>
      <c r="L295" s="3181">
        <v>4177461</v>
      </c>
      <c r="M295" s="3181">
        <v>31121.66</v>
      </c>
      <c r="N295" s="3180" t="s">
        <v>3486</v>
      </c>
      <c r="O295" s="3190">
        <f t="shared" si="19"/>
        <v>3968588</v>
      </c>
    </row>
    <row r="296" spans="1:15" ht="24.95" customHeight="1">
      <c r="A296" s="3185">
        <v>295</v>
      </c>
      <c r="B296" s="3185">
        <v>9</v>
      </c>
      <c r="C296" s="3185">
        <v>2</v>
      </c>
      <c r="D296" s="3186">
        <v>601</v>
      </c>
      <c r="E296" s="3176" t="str">
        <f t="shared" si="17"/>
        <v>9-2-601</v>
      </c>
      <c r="F296" s="3191">
        <v>109.86</v>
      </c>
      <c r="G296" s="3188">
        <v>90.01</v>
      </c>
      <c r="H296" s="3189" t="s">
        <v>3477</v>
      </c>
      <c r="I296" s="3189" t="s">
        <v>3470</v>
      </c>
      <c r="J296" s="3189">
        <v>3386068.67</v>
      </c>
      <c r="K296" s="3189">
        <v>30821.67</v>
      </c>
      <c r="L296" s="3181">
        <v>3386068</v>
      </c>
      <c r="M296" s="3181">
        <v>30821.66</v>
      </c>
      <c r="N296" s="3180" t="s">
        <v>3486</v>
      </c>
      <c r="O296" s="3190">
        <f t="shared" si="19"/>
        <v>3216765</v>
      </c>
    </row>
    <row r="297" spans="1:15" ht="24.95" customHeight="1">
      <c r="A297" s="3185">
        <v>296</v>
      </c>
      <c r="B297" s="3185">
        <v>9</v>
      </c>
      <c r="C297" s="3185">
        <v>2</v>
      </c>
      <c r="D297" s="3186">
        <v>602</v>
      </c>
      <c r="E297" s="3176" t="str">
        <f t="shared" si="17"/>
        <v>9-2-602</v>
      </c>
      <c r="F297" s="3191">
        <v>134.22999999999999</v>
      </c>
      <c r="G297" s="3188">
        <v>109.98</v>
      </c>
      <c r="H297" s="3189" t="s">
        <v>3478</v>
      </c>
      <c r="I297" s="3189" t="s">
        <v>3470</v>
      </c>
      <c r="J297" s="3189">
        <v>4204307.76</v>
      </c>
      <c r="K297" s="3189">
        <v>31321.67</v>
      </c>
      <c r="L297" s="3181">
        <v>4204307</v>
      </c>
      <c r="M297" s="3181">
        <v>31321.66</v>
      </c>
      <c r="N297" s="3180" t="s">
        <v>3486</v>
      </c>
      <c r="O297" s="3190">
        <f t="shared" si="19"/>
        <v>3994092</v>
      </c>
    </row>
    <row r="298" spans="1:15" ht="24.95" customHeight="1">
      <c r="A298" s="3185">
        <v>297</v>
      </c>
      <c r="B298" s="3185">
        <v>9</v>
      </c>
      <c r="C298" s="3185">
        <v>2</v>
      </c>
      <c r="D298" s="3186">
        <v>701</v>
      </c>
      <c r="E298" s="3176" t="str">
        <f t="shared" si="17"/>
        <v>9-2-701</v>
      </c>
      <c r="F298" s="3191">
        <v>109.86</v>
      </c>
      <c r="G298" s="3188">
        <v>90.01</v>
      </c>
      <c r="H298" s="3189" t="s">
        <v>3477</v>
      </c>
      <c r="I298" s="3189" t="s">
        <v>3470</v>
      </c>
      <c r="J298" s="3189">
        <v>3408040.67</v>
      </c>
      <c r="K298" s="3189">
        <v>31021.67</v>
      </c>
      <c r="L298" s="3181">
        <v>3408040</v>
      </c>
      <c r="M298" s="3181">
        <v>31021.66</v>
      </c>
      <c r="N298" s="3180" t="s">
        <v>3471</v>
      </c>
      <c r="O298" s="3190">
        <v>3203557</v>
      </c>
    </row>
    <row r="299" spans="1:15" ht="24.95" customHeight="1">
      <c r="A299" s="3185">
        <v>298</v>
      </c>
      <c r="B299" s="3185">
        <v>9</v>
      </c>
      <c r="C299" s="3185">
        <v>2</v>
      </c>
      <c r="D299" s="3186">
        <v>702</v>
      </c>
      <c r="E299" s="3176" t="str">
        <f t="shared" si="17"/>
        <v>9-2-702</v>
      </c>
      <c r="F299" s="3191">
        <v>134.22999999999999</v>
      </c>
      <c r="G299" s="3188">
        <v>109.98</v>
      </c>
      <c r="H299" s="3189" t="s">
        <v>3478</v>
      </c>
      <c r="I299" s="3189" t="s">
        <v>3470</v>
      </c>
      <c r="J299" s="3189">
        <v>4231153.76</v>
      </c>
      <c r="K299" s="3189">
        <v>31521.67</v>
      </c>
      <c r="L299" s="3181">
        <v>4231153</v>
      </c>
      <c r="M299" s="3181">
        <v>31521.66</v>
      </c>
      <c r="N299" s="3180" t="s">
        <v>3486</v>
      </c>
      <c r="O299" s="3190">
        <f>ROUND(L299*0.95,0)</f>
        <v>4019595</v>
      </c>
    </row>
    <row r="300" spans="1:15" ht="24.95" customHeight="1">
      <c r="A300" s="3185">
        <v>299</v>
      </c>
      <c r="B300" s="3185">
        <v>9</v>
      </c>
      <c r="C300" s="3185">
        <v>2</v>
      </c>
      <c r="D300" s="3186">
        <v>801</v>
      </c>
      <c r="E300" s="3176" t="str">
        <f t="shared" si="17"/>
        <v>9-2-801</v>
      </c>
      <c r="F300" s="3191">
        <v>109.86</v>
      </c>
      <c r="G300" s="3188">
        <v>90.01</v>
      </c>
      <c r="H300" s="3189" t="s">
        <v>3477</v>
      </c>
      <c r="I300" s="3189" t="s">
        <v>3470</v>
      </c>
      <c r="J300" s="3189">
        <v>3559464</v>
      </c>
      <c r="K300" s="3189">
        <v>32400</v>
      </c>
      <c r="L300" s="3181">
        <v>3559464</v>
      </c>
      <c r="M300" s="3181">
        <v>32400</v>
      </c>
      <c r="N300" s="3180" t="s">
        <v>3471</v>
      </c>
      <c r="O300" s="3190">
        <v>3523869</v>
      </c>
    </row>
    <row r="301" spans="1:15" ht="24.95" customHeight="1">
      <c r="A301" s="3185">
        <v>300</v>
      </c>
      <c r="B301" s="3185">
        <v>9</v>
      </c>
      <c r="C301" s="3185">
        <v>2</v>
      </c>
      <c r="D301" s="3186">
        <v>802</v>
      </c>
      <c r="E301" s="3176" t="str">
        <f t="shared" si="17"/>
        <v>9-2-802</v>
      </c>
      <c r="F301" s="3191">
        <v>134.22999999999999</v>
      </c>
      <c r="G301" s="3188">
        <v>109.98</v>
      </c>
      <c r="H301" s="3189" t="s">
        <v>3478</v>
      </c>
      <c r="I301" s="3189" t="s">
        <v>3470</v>
      </c>
      <c r="J301" s="3189">
        <v>4349052</v>
      </c>
      <c r="K301" s="3189">
        <v>32400</v>
      </c>
      <c r="L301" s="3181">
        <v>4349052</v>
      </c>
      <c r="M301" s="3181">
        <v>32400</v>
      </c>
      <c r="N301" s="3180" t="s">
        <v>3486</v>
      </c>
      <c r="O301" s="3190">
        <f>ROUND(L301*0.95,0)</f>
        <v>4131599</v>
      </c>
    </row>
    <row r="302" spans="1:15" ht="24.95" customHeight="1">
      <c r="A302" s="3185">
        <v>301</v>
      </c>
      <c r="B302" s="3185">
        <v>9</v>
      </c>
      <c r="C302" s="3185"/>
      <c r="D302" s="3186">
        <v>-101</v>
      </c>
      <c r="E302" s="3192" t="str">
        <f t="shared" si="17"/>
        <v>9---101</v>
      </c>
      <c r="F302" s="3186">
        <v>5.4</v>
      </c>
      <c r="G302" s="3193">
        <v>5.4</v>
      </c>
      <c r="H302" s="3185"/>
      <c r="I302" s="3185" t="s">
        <v>3487</v>
      </c>
      <c r="J302" s="3185">
        <v>48600</v>
      </c>
      <c r="K302" s="3185">
        <v>9000</v>
      </c>
      <c r="L302" s="3181">
        <v>48600</v>
      </c>
      <c r="M302" s="3181"/>
      <c r="N302" s="3180" t="s">
        <v>3486</v>
      </c>
      <c r="O302" s="3190">
        <f>F302*8000</f>
        <v>43200</v>
      </c>
    </row>
    <row r="303" spans="1:15" ht="24.95" customHeight="1">
      <c r="A303" s="3185">
        <v>302</v>
      </c>
      <c r="B303" s="3185">
        <v>9</v>
      </c>
      <c r="C303" s="3185"/>
      <c r="D303" s="3186">
        <v>-102</v>
      </c>
      <c r="E303" s="3192" t="str">
        <f t="shared" si="17"/>
        <v>9---102</v>
      </c>
      <c r="F303" s="3186">
        <v>3.23</v>
      </c>
      <c r="G303" s="3193">
        <v>3.23</v>
      </c>
      <c r="H303" s="3185"/>
      <c r="I303" s="3185" t="s">
        <v>3487</v>
      </c>
      <c r="J303" s="3185">
        <v>29070</v>
      </c>
      <c r="K303" s="3185">
        <v>9000</v>
      </c>
      <c r="L303" s="3181">
        <v>29070</v>
      </c>
      <c r="M303" s="3181"/>
      <c r="N303" s="3180" t="s">
        <v>3486</v>
      </c>
      <c r="O303" s="3190">
        <f>F303*8000</f>
        <v>25840</v>
      </c>
    </row>
    <row r="304" spans="1:15" ht="24.95" customHeight="1">
      <c r="A304" s="3185">
        <v>303</v>
      </c>
      <c r="B304" s="3185">
        <v>9</v>
      </c>
      <c r="C304" s="3185"/>
      <c r="D304" s="3186">
        <v>-103</v>
      </c>
      <c r="E304" s="3192" t="str">
        <f t="shared" si="17"/>
        <v>9---103</v>
      </c>
      <c r="F304" s="3186">
        <v>5.34</v>
      </c>
      <c r="G304" s="3193">
        <v>5.34</v>
      </c>
      <c r="H304" s="3185"/>
      <c r="I304" s="3185" t="s">
        <v>3487</v>
      </c>
      <c r="J304" s="3185">
        <v>48060</v>
      </c>
      <c r="K304" s="3185">
        <v>9000</v>
      </c>
      <c r="L304" s="3181">
        <v>48060</v>
      </c>
      <c r="M304" s="3181"/>
      <c r="N304" s="3180" t="s">
        <v>3486</v>
      </c>
      <c r="O304" s="3190">
        <f>F304*8000</f>
        <v>42720</v>
      </c>
    </row>
    <row r="305" spans="1:15" ht="24.95" customHeight="1">
      <c r="A305" s="3185">
        <v>304</v>
      </c>
      <c r="B305" s="3185">
        <v>10</v>
      </c>
      <c r="C305" s="3185"/>
      <c r="D305" s="3186">
        <v>101</v>
      </c>
      <c r="E305" s="3176" t="str">
        <f t="shared" si="17"/>
        <v>10--101</v>
      </c>
      <c r="F305" s="3191">
        <v>141.34</v>
      </c>
      <c r="G305" s="3188">
        <v>111.76</v>
      </c>
      <c r="H305" s="3189" t="s">
        <v>3473</v>
      </c>
      <c r="I305" s="3189" t="s">
        <v>3470</v>
      </c>
      <c r="J305" s="3189">
        <v>4087788.84</v>
      </c>
      <c r="K305" s="3189">
        <v>28921.67</v>
      </c>
      <c r="L305" s="3181">
        <v>4087788</v>
      </c>
      <c r="M305" s="3181">
        <v>28921.66</v>
      </c>
      <c r="N305" s="3180" t="s">
        <v>3486</v>
      </c>
      <c r="O305" s="3190">
        <f t="shared" ref="O305:O311" si="20">ROUND(L305*0.95,0)</f>
        <v>3883399</v>
      </c>
    </row>
    <row r="306" spans="1:15" ht="24.95" customHeight="1">
      <c r="A306" s="3185">
        <v>305</v>
      </c>
      <c r="B306" s="3185">
        <v>10</v>
      </c>
      <c r="C306" s="3185"/>
      <c r="D306" s="3186">
        <v>102</v>
      </c>
      <c r="E306" s="3176" t="str">
        <f t="shared" si="17"/>
        <v>10--102</v>
      </c>
      <c r="F306" s="3191">
        <v>140.32</v>
      </c>
      <c r="G306" s="3188">
        <v>110.95</v>
      </c>
      <c r="H306" s="3189" t="s">
        <v>3474</v>
      </c>
      <c r="I306" s="3189" t="s">
        <v>3470</v>
      </c>
      <c r="J306" s="3189">
        <v>4016192.73</v>
      </c>
      <c r="K306" s="3189">
        <v>28621.67</v>
      </c>
      <c r="L306" s="3181">
        <v>4016192</v>
      </c>
      <c r="M306" s="3181">
        <v>28621.66</v>
      </c>
      <c r="N306" s="3180" t="s">
        <v>3486</v>
      </c>
      <c r="O306" s="3190">
        <f t="shared" si="20"/>
        <v>3815382</v>
      </c>
    </row>
    <row r="307" spans="1:15" ht="24.95" customHeight="1">
      <c r="A307" s="3185">
        <v>306</v>
      </c>
      <c r="B307" s="3185">
        <v>10</v>
      </c>
      <c r="C307" s="3185"/>
      <c r="D307" s="3186">
        <v>201</v>
      </c>
      <c r="E307" s="3176" t="str">
        <f t="shared" si="17"/>
        <v>10--201</v>
      </c>
      <c r="F307" s="3191">
        <v>141.34</v>
      </c>
      <c r="G307" s="3188">
        <v>111.76</v>
      </c>
      <c r="H307" s="3189" t="s">
        <v>3473</v>
      </c>
      <c r="I307" s="3189" t="s">
        <v>3470</v>
      </c>
      <c r="J307" s="3189">
        <v>4130190.84</v>
      </c>
      <c r="K307" s="3189">
        <v>29221.67</v>
      </c>
      <c r="L307" s="3181">
        <v>4130190</v>
      </c>
      <c r="M307" s="3181">
        <v>29221.66</v>
      </c>
      <c r="N307" s="3180" t="s">
        <v>3486</v>
      </c>
      <c r="O307" s="3190">
        <f t="shared" si="20"/>
        <v>3923681</v>
      </c>
    </row>
    <row r="308" spans="1:15" ht="24.95" customHeight="1">
      <c r="A308" s="3185">
        <v>307</v>
      </c>
      <c r="B308" s="3185">
        <v>10</v>
      </c>
      <c r="C308" s="3185"/>
      <c r="D308" s="3186">
        <v>202</v>
      </c>
      <c r="E308" s="3176" t="str">
        <f t="shared" si="17"/>
        <v>10--202</v>
      </c>
      <c r="F308" s="3191">
        <v>140.32</v>
      </c>
      <c r="G308" s="3188">
        <v>110.95</v>
      </c>
      <c r="H308" s="3189" t="s">
        <v>3474</v>
      </c>
      <c r="I308" s="3189" t="s">
        <v>3470</v>
      </c>
      <c r="J308" s="3189">
        <v>4058288.73</v>
      </c>
      <c r="K308" s="3189">
        <v>28921.67</v>
      </c>
      <c r="L308" s="3181">
        <v>4058288</v>
      </c>
      <c r="M308" s="3181">
        <v>28921.66</v>
      </c>
      <c r="N308" s="3180" t="s">
        <v>3486</v>
      </c>
      <c r="O308" s="3190">
        <f t="shared" si="20"/>
        <v>3855374</v>
      </c>
    </row>
    <row r="309" spans="1:15" ht="24.95" customHeight="1">
      <c r="A309" s="3185">
        <v>308</v>
      </c>
      <c r="B309" s="3185">
        <v>10</v>
      </c>
      <c r="C309" s="3185"/>
      <c r="D309" s="3186">
        <v>301</v>
      </c>
      <c r="E309" s="3176" t="str">
        <f t="shared" si="17"/>
        <v>10--301</v>
      </c>
      <c r="F309" s="3191">
        <v>141.34</v>
      </c>
      <c r="G309" s="3188">
        <v>111.76</v>
      </c>
      <c r="H309" s="3189" t="s">
        <v>3473</v>
      </c>
      <c r="I309" s="3189" t="s">
        <v>3470</v>
      </c>
      <c r="J309" s="3189">
        <v>4200860.84</v>
      </c>
      <c r="K309" s="3189">
        <v>29721.67</v>
      </c>
      <c r="L309" s="3181">
        <v>4200860</v>
      </c>
      <c r="M309" s="3181">
        <v>29721.66</v>
      </c>
      <c r="N309" s="3180" t="s">
        <v>3486</v>
      </c>
      <c r="O309" s="3190">
        <f t="shared" si="20"/>
        <v>3990817</v>
      </c>
    </row>
    <row r="310" spans="1:15" ht="24.95" customHeight="1">
      <c r="A310" s="3185">
        <v>309</v>
      </c>
      <c r="B310" s="3185">
        <v>10</v>
      </c>
      <c r="C310" s="3185"/>
      <c r="D310" s="3186">
        <v>302</v>
      </c>
      <c r="E310" s="3176" t="str">
        <f t="shared" si="17"/>
        <v>10--302</v>
      </c>
      <c r="F310" s="3191">
        <v>140.32</v>
      </c>
      <c r="G310" s="3188">
        <v>110.95</v>
      </c>
      <c r="H310" s="3189" t="s">
        <v>3474</v>
      </c>
      <c r="I310" s="3189" t="s">
        <v>3470</v>
      </c>
      <c r="J310" s="3189">
        <v>4128448.73</v>
      </c>
      <c r="K310" s="3189">
        <v>29421.67</v>
      </c>
      <c r="L310" s="3181">
        <v>4128448</v>
      </c>
      <c r="M310" s="3181">
        <v>29421.66</v>
      </c>
      <c r="N310" s="3180" t="s">
        <v>3486</v>
      </c>
      <c r="O310" s="3190">
        <f t="shared" si="20"/>
        <v>3922026</v>
      </c>
    </row>
    <row r="311" spans="1:15" ht="24.95" customHeight="1">
      <c r="A311" s="3185">
        <v>310</v>
      </c>
      <c r="B311" s="3185">
        <v>10</v>
      </c>
      <c r="C311" s="3185"/>
      <c r="D311" s="3186">
        <v>401</v>
      </c>
      <c r="E311" s="3176" t="str">
        <f t="shared" si="17"/>
        <v>10--401</v>
      </c>
      <c r="F311" s="3191">
        <v>141.34</v>
      </c>
      <c r="G311" s="3188">
        <v>111.76</v>
      </c>
      <c r="H311" s="3189" t="s">
        <v>3473</v>
      </c>
      <c r="I311" s="3189" t="s">
        <v>3470</v>
      </c>
      <c r="J311" s="3189">
        <v>4243262.84</v>
      </c>
      <c r="K311" s="3189">
        <v>30021.67</v>
      </c>
      <c r="L311" s="3181">
        <v>4243262</v>
      </c>
      <c r="M311" s="3181">
        <v>30021.66</v>
      </c>
      <c r="N311" s="3180" t="s">
        <v>3486</v>
      </c>
      <c r="O311" s="3190">
        <f t="shared" si="20"/>
        <v>4031099</v>
      </c>
    </row>
    <row r="312" spans="1:15" ht="24.95" customHeight="1">
      <c r="A312" s="3185">
        <v>311</v>
      </c>
      <c r="B312" s="3185">
        <v>10</v>
      </c>
      <c r="C312" s="3185"/>
      <c r="D312" s="3186">
        <v>402</v>
      </c>
      <c r="E312" s="3176" t="str">
        <f t="shared" si="17"/>
        <v>10--402</v>
      </c>
      <c r="F312" s="3191">
        <v>140.32</v>
      </c>
      <c r="G312" s="3188">
        <v>110.95</v>
      </c>
      <c r="H312" s="3189" t="s">
        <v>3474</v>
      </c>
      <c r="I312" s="3189" t="s">
        <v>3470</v>
      </c>
      <c r="J312" s="3189">
        <v>4170544.73</v>
      </c>
      <c r="K312" s="3189">
        <v>29721.67</v>
      </c>
      <c r="L312" s="3181">
        <v>4170544</v>
      </c>
      <c r="M312" s="3181">
        <v>29721.66</v>
      </c>
      <c r="N312" s="3180" t="s">
        <v>3471</v>
      </c>
      <c r="O312" s="3190">
        <v>3966146</v>
      </c>
    </row>
    <row r="313" spans="1:15" ht="24.95" customHeight="1">
      <c r="A313" s="3185">
        <v>312</v>
      </c>
      <c r="B313" s="3185">
        <v>10</v>
      </c>
      <c r="C313" s="3185"/>
      <c r="D313" s="3186">
        <v>501</v>
      </c>
      <c r="E313" s="3176" t="str">
        <f t="shared" si="17"/>
        <v>10--501</v>
      </c>
      <c r="F313" s="3191">
        <v>141.34</v>
      </c>
      <c r="G313" s="3188">
        <v>111.76</v>
      </c>
      <c r="H313" s="3189" t="s">
        <v>3473</v>
      </c>
      <c r="I313" s="3189" t="s">
        <v>3470</v>
      </c>
      <c r="J313" s="3189">
        <v>4271530.84</v>
      </c>
      <c r="K313" s="3189">
        <v>30221.67</v>
      </c>
      <c r="L313" s="3181">
        <v>4271530</v>
      </c>
      <c r="M313" s="3181">
        <v>30221.66</v>
      </c>
      <c r="N313" s="3180" t="s">
        <v>3471</v>
      </c>
      <c r="O313" s="3190">
        <v>4062183</v>
      </c>
    </row>
    <row r="314" spans="1:15" ht="24.95" customHeight="1">
      <c r="A314" s="3185">
        <v>313</v>
      </c>
      <c r="B314" s="3185">
        <v>10</v>
      </c>
      <c r="C314" s="3185"/>
      <c r="D314" s="3186">
        <v>502</v>
      </c>
      <c r="E314" s="3176" t="str">
        <f t="shared" si="17"/>
        <v>10--502</v>
      </c>
      <c r="F314" s="3191">
        <v>140.32</v>
      </c>
      <c r="G314" s="3188">
        <v>110.95</v>
      </c>
      <c r="H314" s="3189" t="s">
        <v>3474</v>
      </c>
      <c r="I314" s="3189" t="s">
        <v>3470</v>
      </c>
      <c r="J314" s="3189">
        <v>4198608.7300000004</v>
      </c>
      <c r="K314" s="3189">
        <v>29921.67</v>
      </c>
      <c r="L314" s="3181">
        <v>4198608</v>
      </c>
      <c r="M314" s="3181">
        <v>29921.66</v>
      </c>
      <c r="N314" s="3180" t="s">
        <v>3471</v>
      </c>
      <c r="O314" s="3190">
        <v>3952906</v>
      </c>
    </row>
    <row r="315" spans="1:15" ht="24.95" customHeight="1">
      <c r="A315" s="3185">
        <v>314</v>
      </c>
      <c r="B315" s="3185">
        <v>10</v>
      </c>
      <c r="C315" s="3185"/>
      <c r="D315" s="3186">
        <v>601</v>
      </c>
      <c r="E315" s="3176" t="str">
        <f t="shared" si="17"/>
        <v>10--601</v>
      </c>
      <c r="F315" s="3191">
        <v>141.34</v>
      </c>
      <c r="G315" s="3188">
        <v>111.76</v>
      </c>
      <c r="H315" s="3189" t="s">
        <v>3473</v>
      </c>
      <c r="I315" s="3189" t="s">
        <v>3470</v>
      </c>
      <c r="J315" s="3189">
        <v>4299798.84</v>
      </c>
      <c r="K315" s="3189">
        <v>30421.67</v>
      </c>
      <c r="L315" s="3181">
        <v>4299798</v>
      </c>
      <c r="M315" s="3181">
        <v>30421.66</v>
      </c>
      <c r="N315" s="3180" t="s">
        <v>3486</v>
      </c>
      <c r="O315" s="3190">
        <f>ROUND(L315*0.95,0)</f>
        <v>4084808</v>
      </c>
    </row>
    <row r="316" spans="1:15" ht="24.95" customHeight="1">
      <c r="A316" s="3185">
        <v>315</v>
      </c>
      <c r="B316" s="3185">
        <v>10</v>
      </c>
      <c r="C316" s="3185"/>
      <c r="D316" s="3186">
        <v>602</v>
      </c>
      <c r="E316" s="3176" t="str">
        <f t="shared" si="17"/>
        <v>10--602</v>
      </c>
      <c r="F316" s="3191">
        <v>140.32</v>
      </c>
      <c r="G316" s="3188">
        <v>110.95</v>
      </c>
      <c r="H316" s="3189" t="s">
        <v>3474</v>
      </c>
      <c r="I316" s="3189" t="s">
        <v>3470</v>
      </c>
      <c r="J316" s="3189">
        <v>4226672.7300000004</v>
      </c>
      <c r="K316" s="3189">
        <v>30121.67</v>
      </c>
      <c r="L316" s="3181">
        <v>4226672</v>
      </c>
      <c r="M316" s="3181">
        <v>30121.66</v>
      </c>
      <c r="N316" s="3180" t="s">
        <v>3471</v>
      </c>
      <c r="O316" s="3190">
        <v>3978922</v>
      </c>
    </row>
    <row r="317" spans="1:15" ht="24.95" customHeight="1">
      <c r="A317" s="3185">
        <v>316</v>
      </c>
      <c r="B317" s="3185">
        <v>10</v>
      </c>
      <c r="C317" s="3185"/>
      <c r="D317" s="3186">
        <v>701</v>
      </c>
      <c r="E317" s="3176" t="str">
        <f t="shared" si="17"/>
        <v>10--701</v>
      </c>
      <c r="F317" s="3191">
        <v>141.34</v>
      </c>
      <c r="G317" s="3188">
        <v>111.76</v>
      </c>
      <c r="H317" s="3189" t="s">
        <v>3473</v>
      </c>
      <c r="I317" s="3189" t="s">
        <v>3470</v>
      </c>
      <c r="J317" s="3189">
        <v>4328066.84</v>
      </c>
      <c r="K317" s="3189">
        <v>30621.67</v>
      </c>
      <c r="L317" s="3181">
        <v>4328066</v>
      </c>
      <c r="M317" s="3181">
        <v>30621.66</v>
      </c>
      <c r="N317" s="3180" t="s">
        <v>3471</v>
      </c>
      <c r="O317" s="3190">
        <v>4115948</v>
      </c>
    </row>
    <row r="318" spans="1:15" ht="24.95" customHeight="1">
      <c r="A318" s="3185">
        <v>317</v>
      </c>
      <c r="B318" s="3185">
        <v>10</v>
      </c>
      <c r="C318" s="3185"/>
      <c r="D318" s="3186">
        <v>702</v>
      </c>
      <c r="E318" s="3176" t="str">
        <f t="shared" si="17"/>
        <v>10--702</v>
      </c>
      <c r="F318" s="3191">
        <v>140.32</v>
      </c>
      <c r="G318" s="3188">
        <v>110.95</v>
      </c>
      <c r="H318" s="3189" t="s">
        <v>3474</v>
      </c>
      <c r="I318" s="3189" t="s">
        <v>3470</v>
      </c>
      <c r="J318" s="3189">
        <v>4254736.7300000004</v>
      </c>
      <c r="K318" s="3189">
        <v>30321.67</v>
      </c>
      <c r="L318" s="3181">
        <v>4254736</v>
      </c>
      <c r="M318" s="3181">
        <v>30321.66</v>
      </c>
      <c r="N318" s="3180" t="s">
        <v>3471</v>
      </c>
      <c r="O318" s="3190">
        <v>4046212</v>
      </c>
    </row>
    <row r="319" spans="1:15" ht="24.95" customHeight="1">
      <c r="A319" s="3185">
        <v>318</v>
      </c>
      <c r="B319" s="3185">
        <v>10</v>
      </c>
      <c r="C319" s="3185"/>
      <c r="D319" s="3186">
        <v>801</v>
      </c>
      <c r="E319" s="3176" t="str">
        <f t="shared" si="17"/>
        <v>10--801</v>
      </c>
      <c r="F319" s="3191">
        <v>141.34</v>
      </c>
      <c r="G319" s="3188">
        <v>111.76</v>
      </c>
      <c r="H319" s="3189" t="s">
        <v>3473</v>
      </c>
      <c r="I319" s="3189" t="s">
        <v>3470</v>
      </c>
      <c r="J319" s="3189">
        <v>4579416</v>
      </c>
      <c r="K319" s="3189">
        <v>32400</v>
      </c>
      <c r="L319" s="3181">
        <v>4579416</v>
      </c>
      <c r="M319" s="3181">
        <v>32400</v>
      </c>
      <c r="N319" s="3180" t="s">
        <v>3471</v>
      </c>
      <c r="O319" s="3190">
        <v>4533622</v>
      </c>
    </row>
    <row r="320" spans="1:15" ht="24.95" customHeight="1">
      <c r="A320" s="3185">
        <v>319</v>
      </c>
      <c r="B320" s="3185">
        <v>10</v>
      </c>
      <c r="C320" s="3185"/>
      <c r="D320" s="3186">
        <v>802</v>
      </c>
      <c r="E320" s="3176" t="str">
        <f t="shared" si="17"/>
        <v>10--802</v>
      </c>
      <c r="F320" s="3191">
        <v>140.32</v>
      </c>
      <c r="G320" s="3188">
        <v>110.95</v>
      </c>
      <c r="H320" s="3189" t="s">
        <v>3474</v>
      </c>
      <c r="I320" s="3189" t="s">
        <v>3470</v>
      </c>
      <c r="J320" s="3189">
        <v>4546368</v>
      </c>
      <c r="K320" s="3189">
        <v>32400</v>
      </c>
      <c r="L320" s="3181">
        <v>4546368</v>
      </c>
      <c r="M320" s="3181">
        <v>32400</v>
      </c>
      <c r="N320" s="3180" t="s">
        <v>3471</v>
      </c>
      <c r="O320" s="3190">
        <v>4500904</v>
      </c>
    </row>
    <row r="321" spans="1:15" ht="24.95" customHeight="1">
      <c r="A321" s="3185">
        <v>320</v>
      </c>
      <c r="B321" s="3185">
        <v>10</v>
      </c>
      <c r="C321" s="3185"/>
      <c r="D321" s="3186">
        <v>-101</v>
      </c>
      <c r="E321" s="3192" t="str">
        <f t="shared" si="17"/>
        <v>10---101</v>
      </c>
      <c r="F321" s="3186">
        <v>14.41</v>
      </c>
      <c r="G321" s="3193">
        <v>7.15</v>
      </c>
      <c r="H321" s="3185"/>
      <c r="I321" s="3185" t="s">
        <v>3487</v>
      </c>
      <c r="J321" s="3185">
        <v>129690</v>
      </c>
      <c r="K321" s="3185">
        <v>9000</v>
      </c>
      <c r="L321" s="3181">
        <v>129690</v>
      </c>
      <c r="M321" s="3181"/>
      <c r="N321" s="3180" t="s">
        <v>3486</v>
      </c>
      <c r="O321" s="3190">
        <f t="shared" ref="O321:O330" si="21">F321*8000</f>
        <v>115280</v>
      </c>
    </row>
    <row r="322" spans="1:15" ht="24.95" customHeight="1">
      <c r="A322" s="3185">
        <v>321</v>
      </c>
      <c r="B322" s="3185">
        <v>10</v>
      </c>
      <c r="C322" s="3185"/>
      <c r="D322" s="3186">
        <v>-102</v>
      </c>
      <c r="E322" s="3192" t="str">
        <f t="shared" ref="E322:E385" si="22">CONCATENATE(B322,"-",C322,"-",D322)</f>
        <v>10---102</v>
      </c>
      <c r="F322" s="3186">
        <v>16.97</v>
      </c>
      <c r="G322" s="3193">
        <v>8.42</v>
      </c>
      <c r="H322" s="3185"/>
      <c r="I322" s="3185" t="s">
        <v>3487</v>
      </c>
      <c r="J322" s="3185">
        <v>152730</v>
      </c>
      <c r="K322" s="3185">
        <v>9000</v>
      </c>
      <c r="L322" s="3181">
        <v>152730</v>
      </c>
      <c r="M322" s="3181"/>
      <c r="N322" s="3180" t="s">
        <v>3486</v>
      </c>
      <c r="O322" s="3190">
        <f t="shared" si="21"/>
        <v>135760</v>
      </c>
    </row>
    <row r="323" spans="1:15" ht="24.95" customHeight="1">
      <c r="A323" s="3185">
        <v>322</v>
      </c>
      <c r="B323" s="3185">
        <v>10</v>
      </c>
      <c r="C323" s="3185"/>
      <c r="D323" s="3186">
        <v>-103</v>
      </c>
      <c r="E323" s="3192" t="str">
        <f t="shared" si="22"/>
        <v>10---103</v>
      </c>
      <c r="F323" s="3186">
        <v>27.92</v>
      </c>
      <c r="G323" s="3193">
        <v>13.85</v>
      </c>
      <c r="H323" s="3185"/>
      <c r="I323" s="3185" t="s">
        <v>3487</v>
      </c>
      <c r="J323" s="3185">
        <v>251280</v>
      </c>
      <c r="K323" s="3185">
        <v>9000</v>
      </c>
      <c r="L323" s="3181">
        <v>251280</v>
      </c>
      <c r="M323" s="3181"/>
      <c r="N323" s="3180" t="s">
        <v>3486</v>
      </c>
      <c r="O323" s="3190">
        <f t="shared" si="21"/>
        <v>223360</v>
      </c>
    </row>
    <row r="324" spans="1:15" ht="24.95" customHeight="1">
      <c r="A324" s="3185">
        <v>323</v>
      </c>
      <c r="B324" s="3185">
        <v>10</v>
      </c>
      <c r="C324" s="3185"/>
      <c r="D324" s="3186">
        <v>-104</v>
      </c>
      <c r="E324" s="3192" t="str">
        <f t="shared" si="22"/>
        <v>10---104</v>
      </c>
      <c r="F324" s="3186">
        <v>22.82</v>
      </c>
      <c r="G324" s="3193">
        <v>11.32</v>
      </c>
      <c r="H324" s="3185"/>
      <c r="I324" s="3185" t="s">
        <v>3487</v>
      </c>
      <c r="J324" s="3185">
        <v>205380</v>
      </c>
      <c r="K324" s="3185">
        <v>9000</v>
      </c>
      <c r="L324" s="3181">
        <v>205380</v>
      </c>
      <c r="M324" s="3181"/>
      <c r="N324" s="3180" t="s">
        <v>3486</v>
      </c>
      <c r="O324" s="3190">
        <f t="shared" si="21"/>
        <v>182560</v>
      </c>
    </row>
    <row r="325" spans="1:15" ht="24.95" customHeight="1">
      <c r="A325" s="3185">
        <v>324</v>
      </c>
      <c r="B325" s="3185">
        <v>10</v>
      </c>
      <c r="C325" s="3185"/>
      <c r="D325" s="3186">
        <v>-105</v>
      </c>
      <c r="E325" s="3192" t="str">
        <f t="shared" si="22"/>
        <v>10---105</v>
      </c>
      <c r="F325" s="3186">
        <v>35.4</v>
      </c>
      <c r="G325" s="3193">
        <v>17.559999999999999</v>
      </c>
      <c r="H325" s="3185"/>
      <c r="I325" s="3185" t="s">
        <v>3487</v>
      </c>
      <c r="J325" s="3185">
        <v>318600</v>
      </c>
      <c r="K325" s="3185">
        <v>9000</v>
      </c>
      <c r="L325" s="3181">
        <v>318600</v>
      </c>
      <c r="M325" s="3181"/>
      <c r="N325" s="3180" t="s">
        <v>3486</v>
      </c>
      <c r="O325" s="3190">
        <f t="shared" si="21"/>
        <v>283200</v>
      </c>
    </row>
    <row r="326" spans="1:15" ht="24.95" customHeight="1">
      <c r="A326" s="3185">
        <v>325</v>
      </c>
      <c r="B326" s="3185">
        <v>10</v>
      </c>
      <c r="C326" s="3185"/>
      <c r="D326" s="3186">
        <v>-106</v>
      </c>
      <c r="E326" s="3192" t="str">
        <f t="shared" si="22"/>
        <v>10---106</v>
      </c>
      <c r="F326" s="3186">
        <v>37.07</v>
      </c>
      <c r="G326" s="3193">
        <v>18.39</v>
      </c>
      <c r="H326" s="3185"/>
      <c r="I326" s="3185" t="s">
        <v>3487</v>
      </c>
      <c r="J326" s="3185">
        <v>333630</v>
      </c>
      <c r="K326" s="3185">
        <v>9000</v>
      </c>
      <c r="L326" s="3181">
        <v>333630</v>
      </c>
      <c r="M326" s="3181"/>
      <c r="N326" s="3180" t="s">
        <v>3486</v>
      </c>
      <c r="O326" s="3190">
        <f t="shared" si="21"/>
        <v>296560</v>
      </c>
    </row>
    <row r="327" spans="1:15" ht="24.95" customHeight="1">
      <c r="A327" s="3185">
        <v>326</v>
      </c>
      <c r="B327" s="3185">
        <v>10</v>
      </c>
      <c r="C327" s="3185"/>
      <c r="D327" s="3186">
        <v>-107</v>
      </c>
      <c r="E327" s="3192" t="str">
        <f t="shared" si="22"/>
        <v>10---107</v>
      </c>
      <c r="F327" s="3186">
        <v>29.15</v>
      </c>
      <c r="G327" s="3193">
        <v>14.46</v>
      </c>
      <c r="H327" s="3185"/>
      <c r="I327" s="3185" t="s">
        <v>3487</v>
      </c>
      <c r="J327" s="3185">
        <v>262350</v>
      </c>
      <c r="K327" s="3185">
        <v>9000</v>
      </c>
      <c r="L327" s="3181">
        <v>262350</v>
      </c>
      <c r="M327" s="3181"/>
      <c r="N327" s="3180" t="s">
        <v>3486</v>
      </c>
      <c r="O327" s="3190">
        <f t="shared" si="21"/>
        <v>233200</v>
      </c>
    </row>
    <row r="328" spans="1:15" ht="24.95" customHeight="1">
      <c r="A328" s="3185">
        <v>327</v>
      </c>
      <c r="B328" s="3185">
        <v>10</v>
      </c>
      <c r="C328" s="3185"/>
      <c r="D328" s="3186">
        <v>-108</v>
      </c>
      <c r="E328" s="3192" t="str">
        <f t="shared" si="22"/>
        <v>10---108</v>
      </c>
      <c r="F328" s="3186">
        <v>33.020000000000003</v>
      </c>
      <c r="G328" s="3193">
        <v>16.38</v>
      </c>
      <c r="H328" s="3185"/>
      <c r="I328" s="3185" t="s">
        <v>3487</v>
      </c>
      <c r="J328" s="3185">
        <v>297180</v>
      </c>
      <c r="K328" s="3185">
        <v>9000</v>
      </c>
      <c r="L328" s="3181">
        <v>297180</v>
      </c>
      <c r="M328" s="3181"/>
      <c r="N328" s="3180" t="s">
        <v>3486</v>
      </c>
      <c r="O328" s="3190">
        <f t="shared" si="21"/>
        <v>264160</v>
      </c>
    </row>
    <row r="329" spans="1:15" ht="24.95" customHeight="1">
      <c r="A329" s="3185">
        <v>328</v>
      </c>
      <c r="B329" s="3185">
        <v>10</v>
      </c>
      <c r="C329" s="3185"/>
      <c r="D329" s="3186">
        <v>-109</v>
      </c>
      <c r="E329" s="3192" t="str">
        <f t="shared" si="22"/>
        <v>10---109</v>
      </c>
      <c r="F329" s="3186">
        <v>24.97</v>
      </c>
      <c r="G329" s="3193">
        <v>12.39</v>
      </c>
      <c r="H329" s="3185"/>
      <c r="I329" s="3185" t="s">
        <v>3487</v>
      </c>
      <c r="J329" s="3185">
        <v>224730</v>
      </c>
      <c r="K329" s="3185">
        <v>9000</v>
      </c>
      <c r="L329" s="3181">
        <v>224730</v>
      </c>
      <c r="M329" s="3181"/>
      <c r="N329" s="3180" t="s">
        <v>3486</v>
      </c>
      <c r="O329" s="3190">
        <f t="shared" si="21"/>
        <v>199760</v>
      </c>
    </row>
    <row r="330" spans="1:15" ht="24.95" customHeight="1">
      <c r="A330" s="3185">
        <v>329</v>
      </c>
      <c r="B330" s="3185">
        <v>10</v>
      </c>
      <c r="C330" s="3185"/>
      <c r="D330" s="3186">
        <v>-110</v>
      </c>
      <c r="E330" s="3192" t="str">
        <f t="shared" si="22"/>
        <v>10---110</v>
      </c>
      <c r="F330" s="3186">
        <v>22.29</v>
      </c>
      <c r="G330" s="3193">
        <v>11.06</v>
      </c>
      <c r="H330" s="3185"/>
      <c r="I330" s="3185" t="s">
        <v>3487</v>
      </c>
      <c r="J330" s="3185">
        <v>200610</v>
      </c>
      <c r="K330" s="3185">
        <v>9000</v>
      </c>
      <c r="L330" s="3181">
        <v>200610</v>
      </c>
      <c r="M330" s="3181"/>
      <c r="N330" s="3180" t="s">
        <v>3486</v>
      </c>
      <c r="O330" s="3190">
        <f t="shared" si="21"/>
        <v>178320</v>
      </c>
    </row>
    <row r="331" spans="1:15" ht="24.95" customHeight="1">
      <c r="A331" s="3185">
        <v>330</v>
      </c>
      <c r="B331" s="3185">
        <v>11</v>
      </c>
      <c r="C331" s="3185"/>
      <c r="D331" s="3186">
        <v>101</v>
      </c>
      <c r="E331" s="3176" t="str">
        <f t="shared" si="22"/>
        <v>11--101</v>
      </c>
      <c r="F331" s="3191">
        <v>115</v>
      </c>
      <c r="G331" s="3188">
        <v>93.55</v>
      </c>
      <c r="H331" s="3189" t="s">
        <v>3476</v>
      </c>
      <c r="I331" s="3189" t="s">
        <v>3470</v>
      </c>
      <c r="J331" s="3189">
        <v>3331742.05</v>
      </c>
      <c r="K331" s="3189">
        <v>28971.67</v>
      </c>
      <c r="L331" s="3181">
        <v>3331742</v>
      </c>
      <c r="M331" s="3181">
        <v>28971.67</v>
      </c>
      <c r="N331" s="3180" t="s">
        <v>3486</v>
      </c>
      <c r="O331" s="3190">
        <f t="shared" ref="O331:O337" si="23">ROUND(L331*0.95,0)</f>
        <v>3165155</v>
      </c>
    </row>
    <row r="332" spans="1:15" ht="24.95" customHeight="1">
      <c r="A332" s="3185">
        <v>331</v>
      </c>
      <c r="B332" s="3185">
        <v>11</v>
      </c>
      <c r="C332" s="3185"/>
      <c r="D332" s="3186">
        <v>102</v>
      </c>
      <c r="E332" s="3176" t="str">
        <f t="shared" si="22"/>
        <v>11--102</v>
      </c>
      <c r="F332" s="3191">
        <v>131.58000000000001</v>
      </c>
      <c r="G332" s="3188">
        <v>107.04</v>
      </c>
      <c r="H332" s="3189" t="s">
        <v>3475</v>
      </c>
      <c r="I332" s="3189" t="s">
        <v>3470</v>
      </c>
      <c r="J332" s="3189">
        <v>3838408.34</v>
      </c>
      <c r="K332" s="3189">
        <v>29171.67</v>
      </c>
      <c r="L332" s="3181">
        <v>3838408</v>
      </c>
      <c r="M332" s="3181">
        <v>29171.67</v>
      </c>
      <c r="N332" s="3180" t="s">
        <v>3486</v>
      </c>
      <c r="O332" s="3190">
        <f t="shared" si="23"/>
        <v>3646488</v>
      </c>
    </row>
    <row r="333" spans="1:15" ht="24.95" customHeight="1">
      <c r="A333" s="3185">
        <v>332</v>
      </c>
      <c r="B333" s="3185">
        <v>11</v>
      </c>
      <c r="C333" s="3185"/>
      <c r="D333" s="3186">
        <v>201</v>
      </c>
      <c r="E333" s="3176" t="str">
        <f t="shared" si="22"/>
        <v>11--201</v>
      </c>
      <c r="F333" s="3191">
        <v>115</v>
      </c>
      <c r="G333" s="3188">
        <v>93.55</v>
      </c>
      <c r="H333" s="3189" t="s">
        <v>3476</v>
      </c>
      <c r="I333" s="3189" t="s">
        <v>3470</v>
      </c>
      <c r="J333" s="3189">
        <v>3366242.05</v>
      </c>
      <c r="K333" s="3189">
        <v>29271.67</v>
      </c>
      <c r="L333" s="3181">
        <v>3366242</v>
      </c>
      <c r="M333" s="3181">
        <v>29271.67</v>
      </c>
      <c r="N333" s="3180" t="s">
        <v>3486</v>
      </c>
      <c r="O333" s="3190">
        <f t="shared" si="23"/>
        <v>3197930</v>
      </c>
    </row>
    <row r="334" spans="1:15" ht="24.95" customHeight="1">
      <c r="A334" s="3185">
        <v>333</v>
      </c>
      <c r="B334" s="3185">
        <v>11</v>
      </c>
      <c r="C334" s="3185"/>
      <c r="D334" s="3186">
        <v>202</v>
      </c>
      <c r="E334" s="3176" t="str">
        <f t="shared" si="22"/>
        <v>11--202</v>
      </c>
      <c r="F334" s="3191">
        <v>131.58000000000001</v>
      </c>
      <c r="G334" s="3188">
        <v>107.04</v>
      </c>
      <c r="H334" s="3189" t="s">
        <v>3475</v>
      </c>
      <c r="I334" s="3189" t="s">
        <v>3470</v>
      </c>
      <c r="J334" s="3189">
        <v>3877882.34</v>
      </c>
      <c r="K334" s="3189">
        <v>29471.67</v>
      </c>
      <c r="L334" s="3181">
        <v>3877882</v>
      </c>
      <c r="M334" s="3181">
        <v>29471.67</v>
      </c>
      <c r="N334" s="3180" t="s">
        <v>3486</v>
      </c>
      <c r="O334" s="3190">
        <f t="shared" si="23"/>
        <v>3683988</v>
      </c>
    </row>
    <row r="335" spans="1:15" ht="24.95" customHeight="1">
      <c r="A335" s="3185">
        <v>334</v>
      </c>
      <c r="B335" s="3185">
        <v>11</v>
      </c>
      <c r="C335" s="3185"/>
      <c r="D335" s="3186">
        <v>301</v>
      </c>
      <c r="E335" s="3176" t="str">
        <f t="shared" si="22"/>
        <v>11--301</v>
      </c>
      <c r="F335" s="3191">
        <v>115</v>
      </c>
      <c r="G335" s="3188">
        <v>93.55</v>
      </c>
      <c r="H335" s="3189" t="s">
        <v>3476</v>
      </c>
      <c r="I335" s="3189" t="s">
        <v>3470</v>
      </c>
      <c r="J335" s="3189">
        <v>3423742.05</v>
      </c>
      <c r="K335" s="3189">
        <v>29771.67</v>
      </c>
      <c r="L335" s="3181">
        <v>3423742</v>
      </c>
      <c r="M335" s="3181">
        <v>29771.67</v>
      </c>
      <c r="N335" s="3180" t="s">
        <v>3486</v>
      </c>
      <c r="O335" s="3190">
        <f t="shared" si="23"/>
        <v>3252555</v>
      </c>
    </row>
    <row r="336" spans="1:15" ht="24.95" customHeight="1">
      <c r="A336" s="3185">
        <v>335</v>
      </c>
      <c r="B336" s="3185">
        <v>11</v>
      </c>
      <c r="C336" s="3185"/>
      <c r="D336" s="3186">
        <v>302</v>
      </c>
      <c r="E336" s="3176" t="str">
        <f t="shared" si="22"/>
        <v>11--302</v>
      </c>
      <c r="F336" s="3191">
        <v>131.58000000000001</v>
      </c>
      <c r="G336" s="3188">
        <v>107.04</v>
      </c>
      <c r="H336" s="3189" t="s">
        <v>3475</v>
      </c>
      <c r="I336" s="3189" t="s">
        <v>3470</v>
      </c>
      <c r="J336" s="3189">
        <v>3943672.34</v>
      </c>
      <c r="K336" s="3189">
        <v>29971.67</v>
      </c>
      <c r="L336" s="3181">
        <v>3943672</v>
      </c>
      <c r="M336" s="3181">
        <v>29971.67</v>
      </c>
      <c r="N336" s="3180" t="s">
        <v>3486</v>
      </c>
      <c r="O336" s="3190">
        <f t="shared" si="23"/>
        <v>3746488</v>
      </c>
    </row>
    <row r="337" spans="1:15" ht="24.95" customHeight="1">
      <c r="A337" s="3185">
        <v>336</v>
      </c>
      <c r="B337" s="3185">
        <v>11</v>
      </c>
      <c r="C337" s="3185"/>
      <c r="D337" s="3186">
        <v>401</v>
      </c>
      <c r="E337" s="3176" t="str">
        <f t="shared" si="22"/>
        <v>11--401</v>
      </c>
      <c r="F337" s="3191">
        <v>115</v>
      </c>
      <c r="G337" s="3188">
        <v>93.55</v>
      </c>
      <c r="H337" s="3189" t="s">
        <v>3476</v>
      </c>
      <c r="I337" s="3189" t="s">
        <v>3470</v>
      </c>
      <c r="J337" s="3189">
        <v>3458242.05</v>
      </c>
      <c r="K337" s="3189">
        <v>30071.67</v>
      </c>
      <c r="L337" s="3181">
        <v>3458242</v>
      </c>
      <c r="M337" s="3181">
        <v>30071.67</v>
      </c>
      <c r="N337" s="3180" t="s">
        <v>3486</v>
      </c>
      <c r="O337" s="3190">
        <f t="shared" si="23"/>
        <v>3285330</v>
      </c>
    </row>
    <row r="338" spans="1:15" ht="24.95" customHeight="1">
      <c r="A338" s="3185">
        <v>337</v>
      </c>
      <c r="B338" s="3185">
        <v>11</v>
      </c>
      <c r="C338" s="3185"/>
      <c r="D338" s="3186">
        <v>402</v>
      </c>
      <c r="E338" s="3176" t="str">
        <f t="shared" si="22"/>
        <v>11--402</v>
      </c>
      <c r="F338" s="3191">
        <v>131.58000000000001</v>
      </c>
      <c r="G338" s="3188">
        <v>107.04</v>
      </c>
      <c r="H338" s="3189" t="s">
        <v>3475</v>
      </c>
      <c r="I338" s="3189" t="s">
        <v>3470</v>
      </c>
      <c r="J338" s="3189">
        <v>3983146.34</v>
      </c>
      <c r="K338" s="3189">
        <v>30271.67</v>
      </c>
      <c r="L338" s="3181">
        <v>3983146</v>
      </c>
      <c r="M338" s="3181">
        <v>30271.67</v>
      </c>
      <c r="N338" s="3180" t="s">
        <v>3471</v>
      </c>
      <c r="O338" s="3190">
        <v>3787932</v>
      </c>
    </row>
    <row r="339" spans="1:15" ht="24.95" customHeight="1">
      <c r="A339" s="3185">
        <v>338</v>
      </c>
      <c r="B339" s="3185">
        <v>11</v>
      </c>
      <c r="C339" s="3185"/>
      <c r="D339" s="3186">
        <v>501</v>
      </c>
      <c r="E339" s="3176" t="str">
        <f t="shared" si="22"/>
        <v>11--501</v>
      </c>
      <c r="F339" s="3191">
        <v>115</v>
      </c>
      <c r="G339" s="3188">
        <v>93.55</v>
      </c>
      <c r="H339" s="3189" t="s">
        <v>3476</v>
      </c>
      <c r="I339" s="3189" t="s">
        <v>3470</v>
      </c>
      <c r="J339" s="3189">
        <v>3481242.05</v>
      </c>
      <c r="K339" s="3189">
        <v>30271.67</v>
      </c>
      <c r="L339" s="3181">
        <v>3481242</v>
      </c>
      <c r="M339" s="3181">
        <v>30271.67</v>
      </c>
      <c r="N339" s="3180" t="s">
        <v>3486</v>
      </c>
      <c r="O339" s="3190">
        <f>ROUND(L339*0.95,0)</f>
        <v>3307180</v>
      </c>
    </row>
    <row r="340" spans="1:15" ht="24.95" customHeight="1">
      <c r="A340" s="3185">
        <v>339</v>
      </c>
      <c r="B340" s="3185">
        <v>11</v>
      </c>
      <c r="C340" s="3185"/>
      <c r="D340" s="3186">
        <v>502</v>
      </c>
      <c r="E340" s="3176" t="str">
        <f t="shared" si="22"/>
        <v>11--502</v>
      </c>
      <c r="F340" s="3191">
        <v>131.58000000000001</v>
      </c>
      <c r="G340" s="3188">
        <v>107.04</v>
      </c>
      <c r="H340" s="3189" t="s">
        <v>3475</v>
      </c>
      <c r="I340" s="3189" t="s">
        <v>3470</v>
      </c>
      <c r="J340" s="3189">
        <v>4009462.34</v>
      </c>
      <c r="K340" s="3189">
        <v>30471.67</v>
      </c>
      <c r="L340" s="3181">
        <v>4009462</v>
      </c>
      <c r="M340" s="3181">
        <v>30471.67</v>
      </c>
      <c r="N340" s="3180" t="s">
        <v>3471</v>
      </c>
      <c r="O340" s="3190">
        <v>3849084</v>
      </c>
    </row>
    <row r="341" spans="1:15" ht="24.95" customHeight="1">
      <c r="A341" s="3185">
        <v>340</v>
      </c>
      <c r="B341" s="3185">
        <v>11</v>
      </c>
      <c r="C341" s="3185"/>
      <c r="D341" s="3186">
        <v>601</v>
      </c>
      <c r="E341" s="3176" t="str">
        <f t="shared" si="22"/>
        <v>11--601</v>
      </c>
      <c r="F341" s="3191">
        <v>115</v>
      </c>
      <c r="G341" s="3188">
        <v>93.55</v>
      </c>
      <c r="H341" s="3189" t="s">
        <v>3476</v>
      </c>
      <c r="I341" s="3189" t="s">
        <v>3470</v>
      </c>
      <c r="J341" s="3189">
        <v>3504242.05</v>
      </c>
      <c r="K341" s="3189">
        <v>30471.67</v>
      </c>
      <c r="L341" s="3181">
        <v>3504242</v>
      </c>
      <c r="M341" s="3181">
        <v>30471.67</v>
      </c>
      <c r="N341" s="3180" t="s">
        <v>3486</v>
      </c>
      <c r="O341" s="3190">
        <f>ROUND(L341*0.95,0)</f>
        <v>3329030</v>
      </c>
    </row>
    <row r="342" spans="1:15" ht="24.95" customHeight="1">
      <c r="A342" s="3185">
        <v>341</v>
      </c>
      <c r="B342" s="3185">
        <v>11</v>
      </c>
      <c r="C342" s="3185"/>
      <c r="D342" s="3186">
        <v>602</v>
      </c>
      <c r="E342" s="3176" t="str">
        <f t="shared" si="22"/>
        <v>11--602</v>
      </c>
      <c r="F342" s="3191">
        <v>131.58000000000001</v>
      </c>
      <c r="G342" s="3188">
        <v>107.04</v>
      </c>
      <c r="H342" s="3189" t="s">
        <v>3475</v>
      </c>
      <c r="I342" s="3189" t="s">
        <v>3470</v>
      </c>
      <c r="J342" s="3189">
        <v>4042357.34</v>
      </c>
      <c r="K342" s="3189">
        <v>30721.67</v>
      </c>
      <c r="L342" s="3181">
        <v>4042357</v>
      </c>
      <c r="M342" s="3181">
        <v>30721.67</v>
      </c>
      <c r="N342" s="3180" t="s">
        <v>3471</v>
      </c>
      <c r="O342" s="3190">
        <v>3843849</v>
      </c>
    </row>
    <row r="343" spans="1:15" ht="24.95" customHeight="1">
      <c r="A343" s="3185">
        <v>342</v>
      </c>
      <c r="B343" s="3185">
        <v>11</v>
      </c>
      <c r="C343" s="3185"/>
      <c r="D343" s="3186">
        <v>701</v>
      </c>
      <c r="E343" s="3176" t="str">
        <f t="shared" si="22"/>
        <v>11--701</v>
      </c>
      <c r="F343" s="3191">
        <v>115</v>
      </c>
      <c r="G343" s="3188">
        <v>93.55</v>
      </c>
      <c r="H343" s="3189" t="s">
        <v>3476</v>
      </c>
      <c r="I343" s="3189" t="s">
        <v>3470</v>
      </c>
      <c r="J343" s="3189">
        <v>3527242.05</v>
      </c>
      <c r="K343" s="3189">
        <v>30671.67</v>
      </c>
      <c r="L343" s="3181">
        <v>3527242</v>
      </c>
      <c r="M343" s="3181">
        <v>30671.67</v>
      </c>
      <c r="N343" s="3180" t="s">
        <v>3486</v>
      </c>
      <c r="O343" s="3190">
        <f>ROUND(L343*0.95,0)</f>
        <v>3350880</v>
      </c>
    </row>
    <row r="344" spans="1:15" ht="24.95" customHeight="1">
      <c r="A344" s="3185">
        <v>343</v>
      </c>
      <c r="B344" s="3185">
        <v>11</v>
      </c>
      <c r="C344" s="3185"/>
      <c r="D344" s="3186">
        <v>702</v>
      </c>
      <c r="E344" s="3176" t="str">
        <f t="shared" si="22"/>
        <v>11--702</v>
      </c>
      <c r="F344" s="3191">
        <v>131.58000000000001</v>
      </c>
      <c r="G344" s="3188">
        <v>107.04</v>
      </c>
      <c r="H344" s="3189" t="s">
        <v>3475</v>
      </c>
      <c r="I344" s="3189" t="s">
        <v>3470</v>
      </c>
      <c r="J344" s="3189">
        <v>4068673.34</v>
      </c>
      <c r="K344" s="3189">
        <v>30921.67</v>
      </c>
      <c r="L344" s="3181">
        <v>4068673</v>
      </c>
      <c r="M344" s="3181">
        <v>30921.67</v>
      </c>
      <c r="N344" s="3180" t="s">
        <v>3471</v>
      </c>
      <c r="O344" s="3190">
        <v>3905926</v>
      </c>
    </row>
    <row r="345" spans="1:15" ht="24.95" customHeight="1">
      <c r="A345" s="3185">
        <v>344</v>
      </c>
      <c r="B345" s="3185">
        <v>11</v>
      </c>
      <c r="C345" s="3185"/>
      <c r="D345" s="3186">
        <v>801</v>
      </c>
      <c r="E345" s="3176" t="str">
        <f t="shared" si="22"/>
        <v>11--801</v>
      </c>
      <c r="F345" s="3191">
        <v>115</v>
      </c>
      <c r="G345" s="3188">
        <v>93.55</v>
      </c>
      <c r="H345" s="3189" t="s">
        <v>3476</v>
      </c>
      <c r="I345" s="3189" t="s">
        <v>3470</v>
      </c>
      <c r="J345" s="3189">
        <v>3726000</v>
      </c>
      <c r="K345" s="3189">
        <v>32400</v>
      </c>
      <c r="L345" s="3181">
        <v>3726000</v>
      </c>
      <c r="M345" s="3181">
        <v>32400</v>
      </c>
      <c r="N345" s="3180" t="s">
        <v>3486</v>
      </c>
      <c r="O345" s="3190">
        <f>ROUND(L345*0.95,0)</f>
        <v>3539700</v>
      </c>
    </row>
    <row r="346" spans="1:15" ht="24.95" customHeight="1">
      <c r="A346" s="3185">
        <v>345</v>
      </c>
      <c r="B346" s="3185">
        <v>11</v>
      </c>
      <c r="C346" s="3185"/>
      <c r="D346" s="3186">
        <v>802</v>
      </c>
      <c r="E346" s="3176" t="str">
        <f t="shared" si="22"/>
        <v>11--802</v>
      </c>
      <c r="F346" s="3191">
        <v>131.58000000000001</v>
      </c>
      <c r="G346" s="3188">
        <v>107.04</v>
      </c>
      <c r="H346" s="3189" t="s">
        <v>3475</v>
      </c>
      <c r="I346" s="3189" t="s">
        <v>3470</v>
      </c>
      <c r="J346" s="3189">
        <v>4263192</v>
      </c>
      <c r="K346" s="3189">
        <v>32400</v>
      </c>
      <c r="L346" s="3181">
        <v>4263192</v>
      </c>
      <c r="M346" s="3181">
        <v>32400</v>
      </c>
      <c r="N346" s="3180" t="s">
        <v>3486</v>
      </c>
      <c r="O346" s="3190">
        <f>ROUND(L346*0.95,0)</f>
        <v>4050032</v>
      </c>
    </row>
    <row r="347" spans="1:15" ht="24.95" customHeight="1">
      <c r="A347" s="3185">
        <v>346</v>
      </c>
      <c r="B347" s="3185">
        <v>11</v>
      </c>
      <c r="C347" s="3185"/>
      <c r="D347" s="3186">
        <v>-101</v>
      </c>
      <c r="E347" s="3192" t="str">
        <f t="shared" si="22"/>
        <v>11---101</v>
      </c>
      <c r="F347" s="3186">
        <v>16.100000000000001</v>
      </c>
      <c r="G347" s="3193">
        <v>8.4499999999999993</v>
      </c>
      <c r="H347" s="3185"/>
      <c r="I347" s="3185" t="s">
        <v>3487</v>
      </c>
      <c r="J347" s="3185">
        <v>144900</v>
      </c>
      <c r="K347" s="3185">
        <v>9000</v>
      </c>
      <c r="L347" s="3181">
        <v>144900</v>
      </c>
      <c r="M347" s="3181"/>
      <c r="N347" s="3180" t="s">
        <v>3486</v>
      </c>
      <c r="O347" s="3190">
        <f t="shared" ref="O347:O358" si="24">F347*8000</f>
        <v>128800.00000000001</v>
      </c>
    </row>
    <row r="348" spans="1:15" ht="24.95" customHeight="1">
      <c r="A348" s="3185">
        <v>347</v>
      </c>
      <c r="B348" s="3185">
        <v>11</v>
      </c>
      <c r="C348" s="3185"/>
      <c r="D348" s="3186">
        <v>-102</v>
      </c>
      <c r="E348" s="3192" t="str">
        <f t="shared" si="22"/>
        <v>11---102</v>
      </c>
      <c r="F348" s="3186">
        <v>12.84</v>
      </c>
      <c r="G348" s="3193">
        <v>6.74</v>
      </c>
      <c r="H348" s="3185"/>
      <c r="I348" s="3185" t="s">
        <v>3487</v>
      </c>
      <c r="J348" s="3185">
        <v>115560</v>
      </c>
      <c r="K348" s="3185">
        <v>9000</v>
      </c>
      <c r="L348" s="3181">
        <v>115560</v>
      </c>
      <c r="M348" s="3181"/>
      <c r="N348" s="3180" t="s">
        <v>3486</v>
      </c>
      <c r="O348" s="3190">
        <f t="shared" si="24"/>
        <v>102720</v>
      </c>
    </row>
    <row r="349" spans="1:15" ht="24.95" customHeight="1">
      <c r="A349" s="3185">
        <v>348</v>
      </c>
      <c r="B349" s="3185">
        <v>11</v>
      </c>
      <c r="C349" s="3185"/>
      <c r="D349" s="3186">
        <v>-103</v>
      </c>
      <c r="E349" s="3192" t="str">
        <f t="shared" si="22"/>
        <v>11---103</v>
      </c>
      <c r="F349" s="3186">
        <v>32.51</v>
      </c>
      <c r="G349" s="3193">
        <v>17.059999999999999</v>
      </c>
      <c r="H349" s="3185"/>
      <c r="I349" s="3185" t="s">
        <v>3487</v>
      </c>
      <c r="J349" s="3185">
        <v>292590</v>
      </c>
      <c r="K349" s="3185">
        <v>9000</v>
      </c>
      <c r="L349" s="3181">
        <v>292590</v>
      </c>
      <c r="M349" s="3181"/>
      <c r="N349" s="3180" t="s">
        <v>3486</v>
      </c>
      <c r="O349" s="3190">
        <f t="shared" si="24"/>
        <v>260079.99999999997</v>
      </c>
    </row>
    <row r="350" spans="1:15" ht="24.95" customHeight="1">
      <c r="A350" s="3185">
        <v>349</v>
      </c>
      <c r="B350" s="3185">
        <v>11</v>
      </c>
      <c r="C350" s="3185"/>
      <c r="D350" s="3186">
        <v>-104</v>
      </c>
      <c r="E350" s="3192" t="str">
        <f t="shared" si="22"/>
        <v>11---104</v>
      </c>
      <c r="F350" s="3186">
        <v>10.48</v>
      </c>
      <c r="G350" s="3193">
        <v>5.5</v>
      </c>
      <c r="H350" s="3185"/>
      <c r="I350" s="3185" t="s">
        <v>3487</v>
      </c>
      <c r="J350" s="3185">
        <v>94320</v>
      </c>
      <c r="K350" s="3185">
        <v>9000</v>
      </c>
      <c r="L350" s="3181">
        <v>94320</v>
      </c>
      <c r="M350" s="3181"/>
      <c r="N350" s="3180" t="s">
        <v>3486</v>
      </c>
      <c r="O350" s="3190">
        <f t="shared" si="24"/>
        <v>83840</v>
      </c>
    </row>
    <row r="351" spans="1:15" ht="24.95" customHeight="1">
      <c r="A351" s="3185">
        <v>350</v>
      </c>
      <c r="B351" s="3185">
        <v>11</v>
      </c>
      <c r="C351" s="3185"/>
      <c r="D351" s="3186">
        <v>-105</v>
      </c>
      <c r="E351" s="3192" t="str">
        <f t="shared" si="22"/>
        <v>11---105</v>
      </c>
      <c r="F351" s="3186">
        <v>13.83</v>
      </c>
      <c r="G351" s="3193">
        <v>7.26</v>
      </c>
      <c r="H351" s="3185"/>
      <c r="I351" s="3185" t="s">
        <v>3487</v>
      </c>
      <c r="J351" s="3185">
        <v>124470</v>
      </c>
      <c r="K351" s="3185">
        <v>9000</v>
      </c>
      <c r="L351" s="3181">
        <v>124470</v>
      </c>
      <c r="M351" s="3181"/>
      <c r="N351" s="3180" t="s">
        <v>3486</v>
      </c>
      <c r="O351" s="3190">
        <f t="shared" si="24"/>
        <v>110640</v>
      </c>
    </row>
    <row r="352" spans="1:15" ht="24.95" customHeight="1">
      <c r="A352" s="3185">
        <v>351</v>
      </c>
      <c r="B352" s="3185">
        <v>11</v>
      </c>
      <c r="C352" s="3185"/>
      <c r="D352" s="3186">
        <v>-106</v>
      </c>
      <c r="E352" s="3192" t="str">
        <f t="shared" si="22"/>
        <v>11---106</v>
      </c>
      <c r="F352" s="3186">
        <v>25.36</v>
      </c>
      <c r="G352" s="3193">
        <v>13.31</v>
      </c>
      <c r="H352" s="3185"/>
      <c r="I352" s="3185" t="s">
        <v>3487</v>
      </c>
      <c r="J352" s="3185">
        <v>228240</v>
      </c>
      <c r="K352" s="3185">
        <v>9000</v>
      </c>
      <c r="L352" s="3181">
        <v>228240</v>
      </c>
      <c r="M352" s="3181"/>
      <c r="N352" s="3180" t="s">
        <v>3486</v>
      </c>
      <c r="O352" s="3190">
        <f t="shared" si="24"/>
        <v>202880</v>
      </c>
    </row>
    <row r="353" spans="1:15" ht="24.95" customHeight="1">
      <c r="A353" s="3185">
        <v>352</v>
      </c>
      <c r="B353" s="3185">
        <v>11</v>
      </c>
      <c r="C353" s="3185"/>
      <c r="D353" s="3186">
        <v>-107</v>
      </c>
      <c r="E353" s="3192" t="str">
        <f t="shared" si="22"/>
        <v>11---107</v>
      </c>
      <c r="F353" s="3186">
        <v>27.5</v>
      </c>
      <c r="G353" s="3193">
        <v>14.43</v>
      </c>
      <c r="H353" s="3185"/>
      <c r="I353" s="3185" t="s">
        <v>3487</v>
      </c>
      <c r="J353" s="3185">
        <v>247500</v>
      </c>
      <c r="K353" s="3185">
        <v>9000</v>
      </c>
      <c r="L353" s="3181">
        <v>247500</v>
      </c>
      <c r="M353" s="3181"/>
      <c r="N353" s="3180" t="s">
        <v>3486</v>
      </c>
      <c r="O353" s="3190">
        <f t="shared" si="24"/>
        <v>220000</v>
      </c>
    </row>
    <row r="354" spans="1:15" ht="24.95" customHeight="1">
      <c r="A354" s="3185">
        <v>353</v>
      </c>
      <c r="B354" s="3185">
        <v>11</v>
      </c>
      <c r="C354" s="3185"/>
      <c r="D354" s="3186">
        <v>-108</v>
      </c>
      <c r="E354" s="3192" t="str">
        <f t="shared" si="22"/>
        <v>11---108</v>
      </c>
      <c r="F354" s="3186">
        <v>16.27</v>
      </c>
      <c r="G354" s="3193">
        <v>8.5399999999999991</v>
      </c>
      <c r="H354" s="3185"/>
      <c r="I354" s="3185" t="s">
        <v>3487</v>
      </c>
      <c r="J354" s="3185">
        <v>146430</v>
      </c>
      <c r="K354" s="3185">
        <v>9000</v>
      </c>
      <c r="L354" s="3181">
        <v>146430</v>
      </c>
      <c r="M354" s="3181"/>
      <c r="N354" s="3180" t="s">
        <v>3486</v>
      </c>
      <c r="O354" s="3190">
        <f t="shared" si="24"/>
        <v>130160</v>
      </c>
    </row>
    <row r="355" spans="1:15" ht="24.95" customHeight="1">
      <c r="A355" s="3185">
        <v>354</v>
      </c>
      <c r="B355" s="3185">
        <v>11</v>
      </c>
      <c r="C355" s="3185"/>
      <c r="D355" s="3186">
        <v>-109</v>
      </c>
      <c r="E355" s="3192" t="str">
        <f t="shared" si="22"/>
        <v>11---109</v>
      </c>
      <c r="F355" s="3186">
        <v>16.2</v>
      </c>
      <c r="G355" s="3193">
        <v>8.5</v>
      </c>
      <c r="H355" s="3185"/>
      <c r="I355" s="3185" t="s">
        <v>3487</v>
      </c>
      <c r="J355" s="3185">
        <v>145800</v>
      </c>
      <c r="K355" s="3185">
        <v>9000</v>
      </c>
      <c r="L355" s="3181">
        <v>145800</v>
      </c>
      <c r="M355" s="3181"/>
      <c r="N355" s="3180" t="s">
        <v>3486</v>
      </c>
      <c r="O355" s="3190">
        <f t="shared" si="24"/>
        <v>129600</v>
      </c>
    </row>
    <row r="356" spans="1:15" ht="24.95" customHeight="1">
      <c r="A356" s="3185">
        <v>355</v>
      </c>
      <c r="B356" s="3185">
        <v>11</v>
      </c>
      <c r="C356" s="3185"/>
      <c r="D356" s="3186">
        <v>-110</v>
      </c>
      <c r="E356" s="3192" t="str">
        <f t="shared" si="22"/>
        <v>11---110</v>
      </c>
      <c r="F356" s="3186">
        <v>38.47</v>
      </c>
      <c r="G356" s="3193">
        <v>20.190000000000001</v>
      </c>
      <c r="H356" s="3185"/>
      <c r="I356" s="3185" t="s">
        <v>3487</v>
      </c>
      <c r="J356" s="3185">
        <v>346230</v>
      </c>
      <c r="K356" s="3185">
        <v>9000</v>
      </c>
      <c r="L356" s="3181">
        <v>346230</v>
      </c>
      <c r="M356" s="3181"/>
      <c r="N356" s="3180" t="s">
        <v>3486</v>
      </c>
      <c r="O356" s="3190">
        <f t="shared" si="24"/>
        <v>307760</v>
      </c>
    </row>
    <row r="357" spans="1:15" ht="24.95" customHeight="1">
      <c r="A357" s="3185">
        <v>356</v>
      </c>
      <c r="B357" s="3185">
        <v>11</v>
      </c>
      <c r="C357" s="3185"/>
      <c r="D357" s="3186">
        <v>-111</v>
      </c>
      <c r="E357" s="3192" t="str">
        <f t="shared" si="22"/>
        <v>11---111</v>
      </c>
      <c r="F357" s="3186">
        <v>12.63</v>
      </c>
      <c r="G357" s="3193">
        <v>6.63</v>
      </c>
      <c r="H357" s="3185"/>
      <c r="I357" s="3185" t="s">
        <v>3487</v>
      </c>
      <c r="J357" s="3185">
        <v>113670</v>
      </c>
      <c r="K357" s="3185">
        <v>9000</v>
      </c>
      <c r="L357" s="3181">
        <v>113670</v>
      </c>
      <c r="M357" s="3181"/>
      <c r="N357" s="3180" t="s">
        <v>3486</v>
      </c>
      <c r="O357" s="3190">
        <f t="shared" si="24"/>
        <v>101040</v>
      </c>
    </row>
    <row r="358" spans="1:15" ht="24.95" customHeight="1">
      <c r="A358" s="3185">
        <v>357</v>
      </c>
      <c r="B358" s="3185">
        <v>11</v>
      </c>
      <c r="C358" s="3185"/>
      <c r="D358" s="3186">
        <v>-112</v>
      </c>
      <c r="E358" s="3192" t="str">
        <f t="shared" si="22"/>
        <v>11---112</v>
      </c>
      <c r="F358" s="3186">
        <v>16.29</v>
      </c>
      <c r="G358" s="3193">
        <v>8.5500000000000007</v>
      </c>
      <c r="H358" s="3185"/>
      <c r="I358" s="3185" t="s">
        <v>3487</v>
      </c>
      <c r="J358" s="3185">
        <v>146610</v>
      </c>
      <c r="K358" s="3185">
        <v>9000</v>
      </c>
      <c r="L358" s="3181">
        <v>146610</v>
      </c>
      <c r="M358" s="3181"/>
      <c r="N358" s="3180" t="s">
        <v>3486</v>
      </c>
      <c r="O358" s="3190">
        <f t="shared" si="24"/>
        <v>130320</v>
      </c>
    </row>
    <row r="359" spans="1:15" ht="24.95" customHeight="1">
      <c r="A359" s="3185">
        <v>358</v>
      </c>
      <c r="B359" s="3185">
        <v>12</v>
      </c>
      <c r="C359" s="3185">
        <v>1</v>
      </c>
      <c r="D359" s="3186">
        <v>101</v>
      </c>
      <c r="E359" s="3176" t="str">
        <f t="shared" si="22"/>
        <v>12-1-101</v>
      </c>
      <c r="F359" s="3191">
        <v>129.09</v>
      </c>
      <c r="G359" s="3188">
        <v>107.04</v>
      </c>
      <c r="H359" s="3189" t="s">
        <v>3479</v>
      </c>
      <c r="I359" s="3189" t="s">
        <v>3470</v>
      </c>
      <c r="J359" s="3189">
        <v>3668953.38</v>
      </c>
      <c r="K359" s="3189">
        <v>28421.67</v>
      </c>
      <c r="L359" s="3181">
        <v>3668953</v>
      </c>
      <c r="M359" s="3181">
        <v>28421.67</v>
      </c>
      <c r="N359" s="3180" t="s">
        <v>3486</v>
      </c>
      <c r="O359" s="3190">
        <f>ROUND(L359*0.95,0)</f>
        <v>3485505</v>
      </c>
    </row>
    <row r="360" spans="1:15" ht="24.95" customHeight="1">
      <c r="A360" s="3185">
        <v>359</v>
      </c>
      <c r="B360" s="3185">
        <v>12</v>
      </c>
      <c r="C360" s="3185">
        <v>1</v>
      </c>
      <c r="D360" s="3186">
        <v>102</v>
      </c>
      <c r="E360" s="3176" t="str">
        <f t="shared" si="22"/>
        <v>12-1-102</v>
      </c>
      <c r="F360" s="3191">
        <v>128.75</v>
      </c>
      <c r="G360" s="3188">
        <v>106.75</v>
      </c>
      <c r="H360" s="3189" t="s">
        <v>3475</v>
      </c>
      <c r="I360" s="3189" t="s">
        <v>3470</v>
      </c>
      <c r="J360" s="3189">
        <v>3652852.51</v>
      </c>
      <c r="K360" s="3189">
        <v>28371.67</v>
      </c>
      <c r="L360" s="3181">
        <v>3652852</v>
      </c>
      <c r="M360" s="3181">
        <v>28371.67</v>
      </c>
      <c r="N360" s="3180" t="s">
        <v>3486</v>
      </c>
      <c r="O360" s="3190">
        <f>ROUND(L360*0.95,0)</f>
        <v>3470209</v>
      </c>
    </row>
    <row r="361" spans="1:15" ht="24.95" customHeight="1">
      <c r="A361" s="3185">
        <v>360</v>
      </c>
      <c r="B361" s="3185">
        <v>12</v>
      </c>
      <c r="C361" s="3185">
        <v>1</v>
      </c>
      <c r="D361" s="3186">
        <v>201</v>
      </c>
      <c r="E361" s="3176" t="str">
        <f t="shared" si="22"/>
        <v>12-1-201</v>
      </c>
      <c r="F361" s="3191">
        <v>129.09</v>
      </c>
      <c r="G361" s="3188">
        <v>107.04</v>
      </c>
      <c r="H361" s="3189" t="s">
        <v>3479</v>
      </c>
      <c r="I361" s="3189" t="s">
        <v>3470</v>
      </c>
      <c r="J361" s="3189">
        <v>3707680.38</v>
      </c>
      <c r="K361" s="3189">
        <v>28721.67</v>
      </c>
      <c r="L361" s="3181">
        <v>3707680</v>
      </c>
      <c r="M361" s="3181">
        <v>28721.67</v>
      </c>
      <c r="N361" s="3180" t="s">
        <v>3486</v>
      </c>
      <c r="O361" s="3190">
        <f>ROUND(L361*0.95,0)</f>
        <v>3522296</v>
      </c>
    </row>
    <row r="362" spans="1:15" ht="24.95" customHeight="1">
      <c r="A362" s="3185">
        <v>361</v>
      </c>
      <c r="B362" s="3185">
        <v>12</v>
      </c>
      <c r="C362" s="3185">
        <v>1</v>
      </c>
      <c r="D362" s="3186">
        <v>202</v>
      </c>
      <c r="E362" s="3176" t="str">
        <f t="shared" si="22"/>
        <v>12-1-202</v>
      </c>
      <c r="F362" s="3191">
        <v>128.75</v>
      </c>
      <c r="G362" s="3188">
        <v>106.75</v>
      </c>
      <c r="H362" s="3189" t="s">
        <v>3475</v>
      </c>
      <c r="I362" s="3189" t="s">
        <v>3470</v>
      </c>
      <c r="J362" s="3189">
        <v>3691477.51</v>
      </c>
      <c r="K362" s="3189">
        <v>28671.67</v>
      </c>
      <c r="L362" s="3181">
        <v>3691477</v>
      </c>
      <c r="M362" s="3181">
        <v>28671.67</v>
      </c>
      <c r="N362" s="3180" t="s">
        <v>3486</v>
      </c>
      <c r="O362" s="3190">
        <f>ROUND(L362*0.95,0)</f>
        <v>3506903</v>
      </c>
    </row>
    <row r="363" spans="1:15" ht="24.95" customHeight="1">
      <c r="A363" s="3185">
        <v>362</v>
      </c>
      <c r="B363" s="3185">
        <v>12</v>
      </c>
      <c r="C363" s="3185">
        <v>1</v>
      </c>
      <c r="D363" s="3186">
        <v>301</v>
      </c>
      <c r="E363" s="3176" t="str">
        <f t="shared" si="22"/>
        <v>12-1-301</v>
      </c>
      <c r="F363" s="3191">
        <v>129.09</v>
      </c>
      <c r="G363" s="3188">
        <v>107.04</v>
      </c>
      <c r="H363" s="3189" t="s">
        <v>3479</v>
      </c>
      <c r="I363" s="3189" t="s">
        <v>3470</v>
      </c>
      <c r="J363" s="3189">
        <v>3772225.38</v>
      </c>
      <c r="K363" s="3189">
        <v>29221.67</v>
      </c>
      <c r="L363" s="3181">
        <v>3772225</v>
      </c>
      <c r="M363" s="3181">
        <v>29221.67</v>
      </c>
      <c r="N363" s="3180" t="s">
        <v>3471</v>
      </c>
      <c r="O363" s="3190">
        <v>3551113</v>
      </c>
    </row>
    <row r="364" spans="1:15" ht="24.95" customHeight="1">
      <c r="A364" s="3185">
        <v>363</v>
      </c>
      <c r="B364" s="3185">
        <v>12</v>
      </c>
      <c r="C364" s="3185">
        <v>1</v>
      </c>
      <c r="D364" s="3186">
        <v>302</v>
      </c>
      <c r="E364" s="3176" t="str">
        <f t="shared" si="22"/>
        <v>12-1-302</v>
      </c>
      <c r="F364" s="3191">
        <v>128.75</v>
      </c>
      <c r="G364" s="3188">
        <v>106.75</v>
      </c>
      <c r="H364" s="3189" t="s">
        <v>3475</v>
      </c>
      <c r="I364" s="3189" t="s">
        <v>3470</v>
      </c>
      <c r="J364" s="3189">
        <v>3755852.51</v>
      </c>
      <c r="K364" s="3189">
        <v>29171.67</v>
      </c>
      <c r="L364" s="3181">
        <v>3755852</v>
      </c>
      <c r="M364" s="3181">
        <v>29171.67</v>
      </c>
      <c r="N364" s="3180" t="s">
        <v>3471</v>
      </c>
      <c r="O364" s="3190">
        <v>3571778</v>
      </c>
    </row>
    <row r="365" spans="1:15" ht="24.95" customHeight="1">
      <c r="A365" s="3185">
        <v>364</v>
      </c>
      <c r="B365" s="3185">
        <v>12</v>
      </c>
      <c r="C365" s="3185">
        <v>1</v>
      </c>
      <c r="D365" s="3186">
        <v>401</v>
      </c>
      <c r="E365" s="3176" t="str">
        <f t="shared" si="22"/>
        <v>12-1-401</v>
      </c>
      <c r="F365" s="3191">
        <v>129.09</v>
      </c>
      <c r="G365" s="3188">
        <v>107.04</v>
      </c>
      <c r="H365" s="3189" t="s">
        <v>3479</v>
      </c>
      <c r="I365" s="3189" t="s">
        <v>3470</v>
      </c>
      <c r="J365" s="3189">
        <v>3810952.38</v>
      </c>
      <c r="K365" s="3189">
        <v>29521.67</v>
      </c>
      <c r="L365" s="3181">
        <v>3810952</v>
      </c>
      <c r="M365" s="3181">
        <v>29521.67</v>
      </c>
      <c r="N365" s="3180" t="s">
        <v>3471</v>
      </c>
      <c r="O365" s="3190">
        <v>3624177</v>
      </c>
    </row>
    <row r="366" spans="1:15" ht="24.95" customHeight="1">
      <c r="A366" s="3185">
        <v>365</v>
      </c>
      <c r="B366" s="3185">
        <v>12</v>
      </c>
      <c r="C366" s="3185">
        <v>1</v>
      </c>
      <c r="D366" s="3186">
        <v>402</v>
      </c>
      <c r="E366" s="3176" t="str">
        <f t="shared" si="22"/>
        <v>12-1-402</v>
      </c>
      <c r="F366" s="3191">
        <v>128.75</v>
      </c>
      <c r="G366" s="3188">
        <v>106.75</v>
      </c>
      <c r="H366" s="3189" t="s">
        <v>3475</v>
      </c>
      <c r="I366" s="3189" t="s">
        <v>3470</v>
      </c>
      <c r="J366" s="3189">
        <v>3794477.51</v>
      </c>
      <c r="K366" s="3189">
        <v>29471.67</v>
      </c>
      <c r="L366" s="3181">
        <v>3794477</v>
      </c>
      <c r="M366" s="3181">
        <v>29471.67</v>
      </c>
      <c r="N366" s="3180" t="s">
        <v>3471</v>
      </c>
      <c r="O366" s="3190">
        <v>3608509</v>
      </c>
    </row>
    <row r="367" spans="1:15" ht="24.95" customHeight="1">
      <c r="A367" s="3185">
        <v>366</v>
      </c>
      <c r="B367" s="3185">
        <v>12</v>
      </c>
      <c r="C367" s="3185">
        <v>1</v>
      </c>
      <c r="D367" s="3186">
        <v>501</v>
      </c>
      <c r="E367" s="3176" t="str">
        <f t="shared" si="22"/>
        <v>12-1-501</v>
      </c>
      <c r="F367" s="3191">
        <v>129.09</v>
      </c>
      <c r="G367" s="3188">
        <v>107.04</v>
      </c>
      <c r="H367" s="3189" t="s">
        <v>3479</v>
      </c>
      <c r="I367" s="3189" t="s">
        <v>3470</v>
      </c>
      <c r="J367" s="3189">
        <v>3836770.38</v>
      </c>
      <c r="K367" s="3189">
        <v>29721.67</v>
      </c>
      <c r="L367" s="3181">
        <v>3836770</v>
      </c>
      <c r="M367" s="3181">
        <v>29721.67</v>
      </c>
      <c r="N367" s="3180" t="s">
        <v>3471</v>
      </c>
      <c r="O367" s="3190">
        <v>3612243</v>
      </c>
    </row>
    <row r="368" spans="1:15" ht="24.95" customHeight="1">
      <c r="A368" s="3185">
        <v>367</v>
      </c>
      <c r="B368" s="3185">
        <v>12</v>
      </c>
      <c r="C368" s="3185">
        <v>1</v>
      </c>
      <c r="D368" s="3186">
        <v>502</v>
      </c>
      <c r="E368" s="3176" t="str">
        <f t="shared" si="22"/>
        <v>12-1-502</v>
      </c>
      <c r="F368" s="3191">
        <v>128.75</v>
      </c>
      <c r="G368" s="3188">
        <v>106.75</v>
      </c>
      <c r="H368" s="3189" t="s">
        <v>3475</v>
      </c>
      <c r="I368" s="3189" t="s">
        <v>3470</v>
      </c>
      <c r="J368" s="3189">
        <v>3820227.51</v>
      </c>
      <c r="K368" s="3189">
        <v>29671.67</v>
      </c>
      <c r="L368" s="3181">
        <v>3820227</v>
      </c>
      <c r="M368" s="3181">
        <v>29671.67</v>
      </c>
      <c r="N368" s="3180" t="s">
        <v>3471</v>
      </c>
      <c r="O368" s="3190">
        <v>3596668</v>
      </c>
    </row>
    <row r="369" spans="1:15" ht="24.95" customHeight="1">
      <c r="A369" s="3185">
        <v>368</v>
      </c>
      <c r="B369" s="3185">
        <v>12</v>
      </c>
      <c r="C369" s="3185">
        <v>1</v>
      </c>
      <c r="D369" s="3186">
        <v>601</v>
      </c>
      <c r="E369" s="3176" t="str">
        <f t="shared" si="22"/>
        <v>12-1-601</v>
      </c>
      <c r="F369" s="3191">
        <v>129.09</v>
      </c>
      <c r="G369" s="3188">
        <v>107.04</v>
      </c>
      <c r="H369" s="3189" t="s">
        <v>3479</v>
      </c>
      <c r="I369" s="3189" t="s">
        <v>3470</v>
      </c>
      <c r="J369" s="3189">
        <v>3862588.38</v>
      </c>
      <c r="K369" s="3189">
        <v>29921.67</v>
      </c>
      <c r="L369" s="3181">
        <v>3862588</v>
      </c>
      <c r="M369" s="3181">
        <v>29921.67</v>
      </c>
      <c r="N369" s="3180" t="s">
        <v>3471</v>
      </c>
      <c r="O369" s="3190">
        <v>3636550</v>
      </c>
    </row>
    <row r="370" spans="1:15" ht="24.95" customHeight="1">
      <c r="A370" s="3185">
        <v>369</v>
      </c>
      <c r="B370" s="3185">
        <v>12</v>
      </c>
      <c r="C370" s="3185">
        <v>1</v>
      </c>
      <c r="D370" s="3186">
        <v>602</v>
      </c>
      <c r="E370" s="3176" t="str">
        <f t="shared" si="22"/>
        <v>12-1-602</v>
      </c>
      <c r="F370" s="3191">
        <v>128.75</v>
      </c>
      <c r="G370" s="3188">
        <v>106.75</v>
      </c>
      <c r="H370" s="3189" t="s">
        <v>3475</v>
      </c>
      <c r="I370" s="3189" t="s">
        <v>3470</v>
      </c>
      <c r="J370" s="3189">
        <v>3845977.51</v>
      </c>
      <c r="K370" s="3189">
        <v>29871.67</v>
      </c>
      <c r="L370" s="3181">
        <v>3845977</v>
      </c>
      <c r="M370" s="3181">
        <v>29871.67</v>
      </c>
      <c r="N370" s="3180" t="s">
        <v>3471</v>
      </c>
      <c r="O370" s="3190">
        <v>3657486</v>
      </c>
    </row>
    <row r="371" spans="1:15" ht="24.95" customHeight="1">
      <c r="A371" s="3185">
        <v>370</v>
      </c>
      <c r="B371" s="3185">
        <v>12</v>
      </c>
      <c r="C371" s="3185">
        <v>1</v>
      </c>
      <c r="D371" s="3186">
        <v>701</v>
      </c>
      <c r="E371" s="3176" t="str">
        <f t="shared" si="22"/>
        <v>12-1-701</v>
      </c>
      <c r="F371" s="3191">
        <v>129.09</v>
      </c>
      <c r="G371" s="3188">
        <v>107.04</v>
      </c>
      <c r="H371" s="3189" t="s">
        <v>3479</v>
      </c>
      <c r="I371" s="3189" t="s">
        <v>3470</v>
      </c>
      <c r="J371" s="3189">
        <v>3888406.38</v>
      </c>
      <c r="K371" s="3189">
        <v>30121.67</v>
      </c>
      <c r="L371" s="3181">
        <v>3888406</v>
      </c>
      <c r="M371" s="3181">
        <v>30121.67</v>
      </c>
      <c r="N371" s="3180" t="s">
        <v>3471</v>
      </c>
      <c r="O371" s="3190">
        <v>3697835</v>
      </c>
    </row>
    <row r="372" spans="1:15" ht="24.95" customHeight="1">
      <c r="A372" s="3185">
        <v>371</v>
      </c>
      <c r="B372" s="3185">
        <v>12</v>
      </c>
      <c r="C372" s="3185">
        <v>1</v>
      </c>
      <c r="D372" s="3186">
        <v>702</v>
      </c>
      <c r="E372" s="3176" t="str">
        <f t="shared" si="22"/>
        <v>12-1-702</v>
      </c>
      <c r="F372" s="3191">
        <v>128.75</v>
      </c>
      <c r="G372" s="3188">
        <v>106.75</v>
      </c>
      <c r="H372" s="3189" t="s">
        <v>3475</v>
      </c>
      <c r="I372" s="3189" t="s">
        <v>3470</v>
      </c>
      <c r="J372" s="3189">
        <v>3871727.51</v>
      </c>
      <c r="K372" s="3189">
        <v>30071.67</v>
      </c>
      <c r="L372" s="3181">
        <v>3871727</v>
      </c>
      <c r="M372" s="3181">
        <v>30071.67</v>
      </c>
      <c r="N372" s="3180" t="s">
        <v>3471</v>
      </c>
      <c r="O372" s="3190">
        <v>3681974</v>
      </c>
    </row>
    <row r="373" spans="1:15" ht="24.95" customHeight="1">
      <c r="A373" s="3185">
        <v>372</v>
      </c>
      <c r="B373" s="3185">
        <v>12</v>
      </c>
      <c r="C373" s="3185">
        <v>1</v>
      </c>
      <c r="D373" s="3186">
        <v>801</v>
      </c>
      <c r="E373" s="3176" t="str">
        <f t="shared" si="22"/>
        <v>12-1-801</v>
      </c>
      <c r="F373" s="3191">
        <v>129.09</v>
      </c>
      <c r="G373" s="3188">
        <v>107.04</v>
      </c>
      <c r="H373" s="3189" t="s">
        <v>3479</v>
      </c>
      <c r="I373" s="3189" t="s">
        <v>3470</v>
      </c>
      <c r="J373" s="3189">
        <v>4182516</v>
      </c>
      <c r="K373" s="3189">
        <v>32400</v>
      </c>
      <c r="L373" s="3181">
        <v>4182516</v>
      </c>
      <c r="M373" s="3181">
        <v>32400</v>
      </c>
      <c r="N373" s="3180" t="s">
        <v>3486</v>
      </c>
      <c r="O373" s="3190">
        <f t="shared" ref="O373:O378" si="25">ROUND(L373*0.95,0)</f>
        <v>3973390</v>
      </c>
    </row>
    <row r="374" spans="1:15" ht="24.95" customHeight="1">
      <c r="A374" s="3185">
        <v>373</v>
      </c>
      <c r="B374" s="3185">
        <v>12</v>
      </c>
      <c r="C374" s="3185">
        <v>1</v>
      </c>
      <c r="D374" s="3186">
        <v>802</v>
      </c>
      <c r="E374" s="3176" t="str">
        <f t="shared" si="22"/>
        <v>12-1-802</v>
      </c>
      <c r="F374" s="3191">
        <v>128.75</v>
      </c>
      <c r="G374" s="3188">
        <v>106.75</v>
      </c>
      <c r="H374" s="3189" t="s">
        <v>3475</v>
      </c>
      <c r="I374" s="3189" t="s">
        <v>3470</v>
      </c>
      <c r="J374" s="3189">
        <v>4171500</v>
      </c>
      <c r="K374" s="3189">
        <v>32400</v>
      </c>
      <c r="L374" s="3181">
        <v>4171500</v>
      </c>
      <c r="M374" s="3181">
        <v>32400</v>
      </c>
      <c r="N374" s="3180" t="s">
        <v>3486</v>
      </c>
      <c r="O374" s="3190">
        <f t="shared" si="25"/>
        <v>3962925</v>
      </c>
    </row>
    <row r="375" spans="1:15" ht="24.95" customHeight="1">
      <c r="A375" s="3185">
        <v>374</v>
      </c>
      <c r="B375" s="3185">
        <v>12</v>
      </c>
      <c r="C375" s="3185">
        <v>2</v>
      </c>
      <c r="D375" s="3186">
        <v>101</v>
      </c>
      <c r="E375" s="3176" t="str">
        <f t="shared" si="22"/>
        <v>12-2-101</v>
      </c>
      <c r="F375" s="3191">
        <v>128.75</v>
      </c>
      <c r="G375" s="3188">
        <v>106.75</v>
      </c>
      <c r="H375" s="3189" t="s">
        <v>3479</v>
      </c>
      <c r="I375" s="3189" t="s">
        <v>3470</v>
      </c>
      <c r="J375" s="3189">
        <v>3652852.51</v>
      </c>
      <c r="K375" s="3189">
        <v>28371.67</v>
      </c>
      <c r="L375" s="3181">
        <v>3652852</v>
      </c>
      <c r="M375" s="3181">
        <v>28371.67</v>
      </c>
      <c r="N375" s="3180" t="s">
        <v>3486</v>
      </c>
      <c r="O375" s="3190">
        <f t="shared" si="25"/>
        <v>3470209</v>
      </c>
    </row>
    <row r="376" spans="1:15" ht="24.95" customHeight="1">
      <c r="A376" s="3185">
        <v>375</v>
      </c>
      <c r="B376" s="3185">
        <v>12</v>
      </c>
      <c r="C376" s="3185">
        <v>2</v>
      </c>
      <c r="D376" s="3186">
        <v>102</v>
      </c>
      <c r="E376" s="3176" t="str">
        <f t="shared" si="22"/>
        <v>12-2-102</v>
      </c>
      <c r="F376" s="3191">
        <v>129.09</v>
      </c>
      <c r="G376" s="3188">
        <v>107.04</v>
      </c>
      <c r="H376" s="3189" t="s">
        <v>3475</v>
      </c>
      <c r="I376" s="3189" t="s">
        <v>3470</v>
      </c>
      <c r="J376" s="3189">
        <v>3662498.88</v>
      </c>
      <c r="K376" s="3189">
        <v>28371.67</v>
      </c>
      <c r="L376" s="3181">
        <v>3662498</v>
      </c>
      <c r="M376" s="3181">
        <v>28371.66</v>
      </c>
      <c r="N376" s="3180" t="s">
        <v>3486</v>
      </c>
      <c r="O376" s="3190">
        <f t="shared" si="25"/>
        <v>3479373</v>
      </c>
    </row>
    <row r="377" spans="1:15" ht="24.95" customHeight="1">
      <c r="A377" s="3185">
        <v>376</v>
      </c>
      <c r="B377" s="3185">
        <v>12</v>
      </c>
      <c r="C377" s="3185">
        <v>2</v>
      </c>
      <c r="D377" s="3186">
        <v>201</v>
      </c>
      <c r="E377" s="3176" t="str">
        <f t="shared" si="22"/>
        <v>12-2-201</v>
      </c>
      <c r="F377" s="3191">
        <v>128.75</v>
      </c>
      <c r="G377" s="3188">
        <v>106.75</v>
      </c>
      <c r="H377" s="3189" t="s">
        <v>3479</v>
      </c>
      <c r="I377" s="3189" t="s">
        <v>3470</v>
      </c>
      <c r="J377" s="3189">
        <v>3691477.51</v>
      </c>
      <c r="K377" s="3189">
        <v>28671.67</v>
      </c>
      <c r="L377" s="3181">
        <v>3691477</v>
      </c>
      <c r="M377" s="3181">
        <v>28671.67</v>
      </c>
      <c r="N377" s="3180" t="s">
        <v>3486</v>
      </c>
      <c r="O377" s="3190">
        <f t="shared" si="25"/>
        <v>3506903</v>
      </c>
    </row>
    <row r="378" spans="1:15" ht="24.95" customHeight="1">
      <c r="A378" s="3185">
        <v>377</v>
      </c>
      <c r="B378" s="3185">
        <v>12</v>
      </c>
      <c r="C378" s="3185">
        <v>2</v>
      </c>
      <c r="D378" s="3186">
        <v>202</v>
      </c>
      <c r="E378" s="3176" t="str">
        <f t="shared" si="22"/>
        <v>12-2-202</v>
      </c>
      <c r="F378" s="3191">
        <v>129.09</v>
      </c>
      <c r="G378" s="3188">
        <v>107.04</v>
      </c>
      <c r="H378" s="3189" t="s">
        <v>3475</v>
      </c>
      <c r="I378" s="3189" t="s">
        <v>3470</v>
      </c>
      <c r="J378" s="3189">
        <v>3701225.88</v>
      </c>
      <c r="K378" s="3189">
        <v>28671.67</v>
      </c>
      <c r="L378" s="3181">
        <v>3701225</v>
      </c>
      <c r="M378" s="3181">
        <v>28671.66</v>
      </c>
      <c r="N378" s="3180" t="s">
        <v>3486</v>
      </c>
      <c r="O378" s="3190">
        <f t="shared" si="25"/>
        <v>3516164</v>
      </c>
    </row>
    <row r="379" spans="1:15" ht="24.95" customHeight="1">
      <c r="A379" s="3185">
        <v>378</v>
      </c>
      <c r="B379" s="3185">
        <v>12</v>
      </c>
      <c r="C379" s="3185">
        <v>2</v>
      </c>
      <c r="D379" s="3186">
        <v>301</v>
      </c>
      <c r="E379" s="3176" t="str">
        <f t="shared" si="22"/>
        <v>12-2-301</v>
      </c>
      <c r="F379" s="3191">
        <v>128.75</v>
      </c>
      <c r="G379" s="3188">
        <v>106.75</v>
      </c>
      <c r="H379" s="3189" t="s">
        <v>3479</v>
      </c>
      <c r="I379" s="3189" t="s">
        <v>3470</v>
      </c>
      <c r="J379" s="3189">
        <v>3755852.51</v>
      </c>
      <c r="K379" s="3189">
        <v>29171.67</v>
      </c>
      <c r="L379" s="3181">
        <v>3755852</v>
      </c>
      <c r="M379" s="3181">
        <v>29171.67</v>
      </c>
      <c r="N379" s="3180" t="s">
        <v>3471</v>
      </c>
      <c r="O379" s="3190">
        <v>3571413</v>
      </c>
    </row>
    <row r="380" spans="1:15" ht="24.95" customHeight="1">
      <c r="A380" s="3185">
        <v>379</v>
      </c>
      <c r="B380" s="3185">
        <v>12</v>
      </c>
      <c r="C380" s="3185">
        <v>2</v>
      </c>
      <c r="D380" s="3186">
        <v>302</v>
      </c>
      <c r="E380" s="3176" t="str">
        <f t="shared" si="22"/>
        <v>12-2-302</v>
      </c>
      <c r="F380" s="3191">
        <v>129.09</v>
      </c>
      <c r="G380" s="3188">
        <v>107.04</v>
      </c>
      <c r="H380" s="3189" t="s">
        <v>3475</v>
      </c>
      <c r="I380" s="3189" t="s">
        <v>3470</v>
      </c>
      <c r="J380" s="3189">
        <v>3765770.88</v>
      </c>
      <c r="K380" s="3189">
        <v>29171.67</v>
      </c>
      <c r="L380" s="3181">
        <v>3765770</v>
      </c>
      <c r="M380" s="3181">
        <v>29171.66</v>
      </c>
      <c r="N380" s="3180" t="s">
        <v>3471</v>
      </c>
      <c r="O380" s="3190">
        <v>3581210</v>
      </c>
    </row>
    <row r="381" spans="1:15" ht="24.95" customHeight="1">
      <c r="A381" s="3185">
        <v>380</v>
      </c>
      <c r="B381" s="3185">
        <v>12</v>
      </c>
      <c r="C381" s="3185">
        <v>2</v>
      </c>
      <c r="D381" s="3186">
        <v>401</v>
      </c>
      <c r="E381" s="3176" t="str">
        <f t="shared" si="22"/>
        <v>12-2-401</v>
      </c>
      <c r="F381" s="3191">
        <v>128.75</v>
      </c>
      <c r="G381" s="3188">
        <v>106.75</v>
      </c>
      <c r="H381" s="3189" t="s">
        <v>3479</v>
      </c>
      <c r="I381" s="3189" t="s">
        <v>3470</v>
      </c>
      <c r="J381" s="3189">
        <v>3794477.51</v>
      </c>
      <c r="K381" s="3189">
        <v>29471.67</v>
      </c>
      <c r="L381" s="3181">
        <v>3794477</v>
      </c>
      <c r="M381" s="3181">
        <v>29471.67</v>
      </c>
      <c r="N381" s="3180" t="s">
        <v>3471</v>
      </c>
      <c r="O381" s="3190">
        <v>3572060</v>
      </c>
    </row>
    <row r="382" spans="1:15" ht="24.95" customHeight="1">
      <c r="A382" s="3185">
        <v>381</v>
      </c>
      <c r="B382" s="3185">
        <v>12</v>
      </c>
      <c r="C382" s="3185">
        <v>2</v>
      </c>
      <c r="D382" s="3186">
        <v>402</v>
      </c>
      <c r="E382" s="3176" t="str">
        <f t="shared" si="22"/>
        <v>12-2-402</v>
      </c>
      <c r="F382" s="3191">
        <v>129.09</v>
      </c>
      <c r="G382" s="3188">
        <v>107.04</v>
      </c>
      <c r="H382" s="3189" t="s">
        <v>3475</v>
      </c>
      <c r="I382" s="3189" t="s">
        <v>3470</v>
      </c>
      <c r="J382" s="3189">
        <v>3804497.88</v>
      </c>
      <c r="K382" s="3189">
        <v>29471.67</v>
      </c>
      <c r="L382" s="3181">
        <v>3804497</v>
      </c>
      <c r="M382" s="3181">
        <v>29471.66</v>
      </c>
      <c r="N382" s="3180" t="s">
        <v>3471</v>
      </c>
      <c r="O382" s="3190">
        <v>3618039</v>
      </c>
    </row>
    <row r="383" spans="1:15" ht="24.95" customHeight="1">
      <c r="A383" s="3185">
        <v>382</v>
      </c>
      <c r="B383" s="3185">
        <v>12</v>
      </c>
      <c r="C383" s="3185">
        <v>2</v>
      </c>
      <c r="D383" s="3186">
        <v>501</v>
      </c>
      <c r="E383" s="3176" t="str">
        <f t="shared" si="22"/>
        <v>12-2-501</v>
      </c>
      <c r="F383" s="3191">
        <v>128.75</v>
      </c>
      <c r="G383" s="3188">
        <v>106.75</v>
      </c>
      <c r="H383" s="3189" t="s">
        <v>3479</v>
      </c>
      <c r="I383" s="3189" t="s">
        <v>3470</v>
      </c>
      <c r="J383" s="3189">
        <v>3820227.51</v>
      </c>
      <c r="K383" s="3189">
        <v>29671.67</v>
      </c>
      <c r="L383" s="3181">
        <v>3820227</v>
      </c>
      <c r="M383" s="3181">
        <v>29671.67</v>
      </c>
      <c r="N383" s="3180" t="s">
        <v>3471</v>
      </c>
      <c r="O383" s="3190">
        <v>3596301</v>
      </c>
    </row>
    <row r="384" spans="1:15" ht="24.95" customHeight="1">
      <c r="A384" s="3185">
        <v>383</v>
      </c>
      <c r="B384" s="3185">
        <v>12</v>
      </c>
      <c r="C384" s="3185">
        <v>2</v>
      </c>
      <c r="D384" s="3186">
        <v>502</v>
      </c>
      <c r="E384" s="3176" t="str">
        <f t="shared" si="22"/>
        <v>12-2-502</v>
      </c>
      <c r="F384" s="3191">
        <v>129.09</v>
      </c>
      <c r="G384" s="3188">
        <v>107.04</v>
      </c>
      <c r="H384" s="3189" t="s">
        <v>3475</v>
      </c>
      <c r="I384" s="3189" t="s">
        <v>3470</v>
      </c>
      <c r="J384" s="3189">
        <v>3830315.88</v>
      </c>
      <c r="K384" s="3189">
        <v>29671.67</v>
      </c>
      <c r="L384" s="3181">
        <v>3830315</v>
      </c>
      <c r="M384" s="3181">
        <v>29671.66</v>
      </c>
      <c r="N384" s="3180" t="s">
        <v>3471</v>
      </c>
      <c r="O384" s="3190">
        <v>3642591</v>
      </c>
    </row>
    <row r="385" spans="1:15" ht="24.95" customHeight="1">
      <c r="A385" s="3185">
        <v>384</v>
      </c>
      <c r="B385" s="3185">
        <v>12</v>
      </c>
      <c r="C385" s="3185">
        <v>2</v>
      </c>
      <c r="D385" s="3186">
        <v>601</v>
      </c>
      <c r="E385" s="3176" t="str">
        <f t="shared" si="22"/>
        <v>12-2-601</v>
      </c>
      <c r="F385" s="3191">
        <v>128.75</v>
      </c>
      <c r="G385" s="3188">
        <v>106.75</v>
      </c>
      <c r="H385" s="3189" t="s">
        <v>3479</v>
      </c>
      <c r="I385" s="3189" t="s">
        <v>3470</v>
      </c>
      <c r="J385" s="3189">
        <v>3845977.51</v>
      </c>
      <c r="K385" s="3189">
        <v>29871.67</v>
      </c>
      <c r="L385" s="3181">
        <v>3845977</v>
      </c>
      <c r="M385" s="3181">
        <v>29871.67</v>
      </c>
      <c r="N385" s="3180" t="s">
        <v>3471</v>
      </c>
      <c r="O385" s="3190">
        <v>3657486</v>
      </c>
    </row>
    <row r="386" spans="1:15" ht="24.95" customHeight="1">
      <c r="A386" s="3185">
        <v>385</v>
      </c>
      <c r="B386" s="3185">
        <v>12</v>
      </c>
      <c r="C386" s="3185">
        <v>2</v>
      </c>
      <c r="D386" s="3186">
        <v>602</v>
      </c>
      <c r="E386" s="3176" t="str">
        <f t="shared" ref="E386:E449" si="26">CONCATENATE(B386,"-",C386,"-",D386)</f>
        <v>12-2-602</v>
      </c>
      <c r="F386" s="3191">
        <v>129.09</v>
      </c>
      <c r="G386" s="3188">
        <v>107.04</v>
      </c>
      <c r="H386" s="3189" t="s">
        <v>3475</v>
      </c>
      <c r="I386" s="3189" t="s">
        <v>3470</v>
      </c>
      <c r="J386" s="3189">
        <v>3856133.88</v>
      </c>
      <c r="K386" s="3189">
        <v>29871.67</v>
      </c>
      <c r="L386" s="3181">
        <v>3856133</v>
      </c>
      <c r="M386" s="3181">
        <v>29871.66</v>
      </c>
      <c r="N386" s="3180" t="s">
        <v>3471</v>
      </c>
      <c r="O386" s="3190">
        <v>3667144</v>
      </c>
    </row>
    <row r="387" spans="1:15" ht="24.95" customHeight="1">
      <c r="A387" s="3185">
        <v>386</v>
      </c>
      <c r="B387" s="3185">
        <v>12</v>
      </c>
      <c r="C387" s="3185">
        <v>2</v>
      </c>
      <c r="D387" s="3186">
        <v>701</v>
      </c>
      <c r="E387" s="3176" t="str">
        <f t="shared" si="26"/>
        <v>12-2-701</v>
      </c>
      <c r="F387" s="3191">
        <v>128.75</v>
      </c>
      <c r="G387" s="3188">
        <v>106.75</v>
      </c>
      <c r="H387" s="3189" t="s">
        <v>3479</v>
      </c>
      <c r="I387" s="3189" t="s">
        <v>3470</v>
      </c>
      <c r="J387" s="3189">
        <v>3871727.51</v>
      </c>
      <c r="K387" s="3189">
        <v>30071.67</v>
      </c>
      <c r="L387" s="3181">
        <v>3871727</v>
      </c>
      <c r="M387" s="3181">
        <v>30071.67</v>
      </c>
      <c r="N387" s="3180" t="s">
        <v>3471</v>
      </c>
      <c r="O387" s="3190">
        <v>3681974</v>
      </c>
    </row>
    <row r="388" spans="1:15" ht="24.95" customHeight="1">
      <c r="A388" s="3185">
        <v>387</v>
      </c>
      <c r="B388" s="3185">
        <v>12</v>
      </c>
      <c r="C388" s="3185">
        <v>2</v>
      </c>
      <c r="D388" s="3186">
        <v>702</v>
      </c>
      <c r="E388" s="3176" t="str">
        <f t="shared" si="26"/>
        <v>12-2-702</v>
      </c>
      <c r="F388" s="3191">
        <v>129.09</v>
      </c>
      <c r="G388" s="3188">
        <v>107.04</v>
      </c>
      <c r="H388" s="3189" t="s">
        <v>3475</v>
      </c>
      <c r="I388" s="3189" t="s">
        <v>3470</v>
      </c>
      <c r="J388" s="3189">
        <v>3881951.88</v>
      </c>
      <c r="K388" s="3189">
        <v>30071.67</v>
      </c>
      <c r="L388" s="3181">
        <v>3881951</v>
      </c>
      <c r="M388" s="3181">
        <v>30071.66</v>
      </c>
      <c r="N388" s="3180" t="s">
        <v>3471</v>
      </c>
      <c r="O388" s="3190">
        <v>3691697</v>
      </c>
    </row>
    <row r="389" spans="1:15" ht="24.95" customHeight="1">
      <c r="A389" s="3185">
        <v>388</v>
      </c>
      <c r="B389" s="3185">
        <v>12</v>
      </c>
      <c r="C389" s="3185">
        <v>2</v>
      </c>
      <c r="D389" s="3186">
        <v>801</v>
      </c>
      <c r="E389" s="3176" t="str">
        <f t="shared" si="26"/>
        <v>12-2-801</v>
      </c>
      <c r="F389" s="3191">
        <v>128.75</v>
      </c>
      <c r="G389" s="3188">
        <v>106.75</v>
      </c>
      <c r="H389" s="3189" t="s">
        <v>3479</v>
      </c>
      <c r="I389" s="3189" t="s">
        <v>3470</v>
      </c>
      <c r="J389" s="3189">
        <v>4171500</v>
      </c>
      <c r="K389" s="3189">
        <v>32400</v>
      </c>
      <c r="L389" s="3181">
        <v>4171500</v>
      </c>
      <c r="M389" s="3181">
        <v>32400</v>
      </c>
      <c r="N389" s="3180" t="s">
        <v>3486</v>
      </c>
      <c r="O389" s="3190">
        <f>ROUND(L389*0.95,0)</f>
        <v>3962925</v>
      </c>
    </row>
    <row r="390" spans="1:15" ht="24.95" customHeight="1">
      <c r="A390" s="3185">
        <v>389</v>
      </c>
      <c r="B390" s="3185">
        <v>12</v>
      </c>
      <c r="C390" s="3185">
        <v>2</v>
      </c>
      <c r="D390" s="3186">
        <v>802</v>
      </c>
      <c r="E390" s="3176" t="str">
        <f t="shared" si="26"/>
        <v>12-2-802</v>
      </c>
      <c r="F390" s="3191">
        <v>129.09</v>
      </c>
      <c r="G390" s="3188">
        <v>107.04</v>
      </c>
      <c r="H390" s="3189" t="s">
        <v>3475</v>
      </c>
      <c r="I390" s="3189" t="s">
        <v>3470</v>
      </c>
      <c r="J390" s="3189">
        <v>4182516</v>
      </c>
      <c r="K390" s="3189">
        <v>32400</v>
      </c>
      <c r="L390" s="3181">
        <v>4182516</v>
      </c>
      <c r="M390" s="3181">
        <v>32400</v>
      </c>
      <c r="N390" s="3180" t="s">
        <v>3486</v>
      </c>
      <c r="O390" s="3190">
        <f>ROUND(L390*0.95,0)</f>
        <v>3973390</v>
      </c>
    </row>
    <row r="391" spans="1:15" ht="24.95" customHeight="1">
      <c r="A391" s="3185">
        <v>390</v>
      </c>
      <c r="B391" s="3185">
        <v>12</v>
      </c>
      <c r="C391" s="3185"/>
      <c r="D391" s="3186">
        <v>-101</v>
      </c>
      <c r="E391" s="3192" t="str">
        <f t="shared" si="26"/>
        <v>12---101</v>
      </c>
      <c r="F391" s="3186">
        <v>40.450000000000003</v>
      </c>
      <c r="G391" s="3193">
        <v>15.13</v>
      </c>
      <c r="H391" s="3185"/>
      <c r="I391" s="3185" t="s">
        <v>3487</v>
      </c>
      <c r="J391" s="3185">
        <v>364050</v>
      </c>
      <c r="K391" s="3185">
        <v>9000</v>
      </c>
      <c r="L391" s="3181">
        <v>364050</v>
      </c>
      <c r="M391" s="3181"/>
      <c r="N391" s="3180" t="s">
        <v>3486</v>
      </c>
      <c r="O391" s="3190">
        <f t="shared" ref="O391:O406" si="27">F391*8000</f>
        <v>323600</v>
      </c>
    </row>
    <row r="392" spans="1:15" ht="24.95" customHeight="1">
      <c r="A392" s="3185">
        <v>391</v>
      </c>
      <c r="B392" s="3185">
        <v>12</v>
      </c>
      <c r="C392" s="3185"/>
      <c r="D392" s="3186">
        <v>-102</v>
      </c>
      <c r="E392" s="3192" t="str">
        <f t="shared" si="26"/>
        <v>12---102</v>
      </c>
      <c r="F392" s="3186">
        <v>17.73</v>
      </c>
      <c r="G392" s="3193">
        <v>6.63</v>
      </c>
      <c r="H392" s="3185"/>
      <c r="I392" s="3185" t="s">
        <v>3487</v>
      </c>
      <c r="J392" s="3185">
        <v>159570</v>
      </c>
      <c r="K392" s="3185">
        <v>9000</v>
      </c>
      <c r="L392" s="3181">
        <v>159570</v>
      </c>
      <c r="M392" s="3181"/>
      <c r="N392" s="3180" t="s">
        <v>3486</v>
      </c>
      <c r="O392" s="3190">
        <f t="shared" si="27"/>
        <v>141840</v>
      </c>
    </row>
    <row r="393" spans="1:15" ht="24.95" customHeight="1">
      <c r="A393" s="3185">
        <v>392</v>
      </c>
      <c r="B393" s="3185">
        <v>12</v>
      </c>
      <c r="C393" s="3185"/>
      <c r="D393" s="3186">
        <v>-103</v>
      </c>
      <c r="E393" s="3192" t="str">
        <f t="shared" si="26"/>
        <v>12---103</v>
      </c>
      <c r="F393" s="3186">
        <v>20.85</v>
      </c>
      <c r="G393" s="3193">
        <v>7.8</v>
      </c>
      <c r="H393" s="3185"/>
      <c r="I393" s="3185" t="s">
        <v>3487</v>
      </c>
      <c r="J393" s="3185">
        <v>187650</v>
      </c>
      <c r="K393" s="3185">
        <v>9000</v>
      </c>
      <c r="L393" s="3181">
        <v>187650</v>
      </c>
      <c r="M393" s="3181"/>
      <c r="N393" s="3180" t="s">
        <v>3486</v>
      </c>
      <c r="O393" s="3190">
        <f t="shared" si="27"/>
        <v>166800</v>
      </c>
    </row>
    <row r="394" spans="1:15" ht="24.95" customHeight="1">
      <c r="A394" s="3185">
        <v>393</v>
      </c>
      <c r="B394" s="3185">
        <v>12</v>
      </c>
      <c r="C394" s="3185"/>
      <c r="D394" s="3186">
        <v>-104</v>
      </c>
      <c r="E394" s="3192" t="str">
        <f t="shared" si="26"/>
        <v>12---104</v>
      </c>
      <c r="F394" s="3186">
        <v>24.86</v>
      </c>
      <c r="G394" s="3193">
        <v>9.3000000000000007</v>
      </c>
      <c r="H394" s="3185"/>
      <c r="I394" s="3185" t="s">
        <v>3487</v>
      </c>
      <c r="J394" s="3185">
        <v>223740</v>
      </c>
      <c r="K394" s="3185">
        <v>9000</v>
      </c>
      <c r="L394" s="3181">
        <v>223740</v>
      </c>
      <c r="M394" s="3181"/>
      <c r="N394" s="3180" t="s">
        <v>3486</v>
      </c>
      <c r="O394" s="3190">
        <f t="shared" si="27"/>
        <v>198880</v>
      </c>
    </row>
    <row r="395" spans="1:15" ht="24.95" customHeight="1">
      <c r="A395" s="3185">
        <v>394</v>
      </c>
      <c r="B395" s="3185">
        <v>12</v>
      </c>
      <c r="C395" s="3185"/>
      <c r="D395" s="3186">
        <v>-105</v>
      </c>
      <c r="E395" s="3192" t="str">
        <f t="shared" si="26"/>
        <v>12---105</v>
      </c>
      <c r="F395" s="3186">
        <v>22.38</v>
      </c>
      <c r="G395" s="3193">
        <v>8.3699999999999992</v>
      </c>
      <c r="H395" s="3185"/>
      <c r="I395" s="3185" t="s">
        <v>3487</v>
      </c>
      <c r="J395" s="3185">
        <v>201420</v>
      </c>
      <c r="K395" s="3185">
        <v>9000</v>
      </c>
      <c r="L395" s="3181">
        <v>201420</v>
      </c>
      <c r="M395" s="3181"/>
      <c r="N395" s="3180" t="s">
        <v>3486</v>
      </c>
      <c r="O395" s="3190">
        <f t="shared" si="27"/>
        <v>179040</v>
      </c>
    </row>
    <row r="396" spans="1:15" ht="24.95" customHeight="1">
      <c r="A396" s="3185">
        <v>395</v>
      </c>
      <c r="B396" s="3185">
        <v>12</v>
      </c>
      <c r="C396" s="3185"/>
      <c r="D396" s="3186">
        <v>-106</v>
      </c>
      <c r="E396" s="3192" t="str">
        <f t="shared" si="26"/>
        <v>12---106</v>
      </c>
      <c r="F396" s="3186">
        <v>22.38</v>
      </c>
      <c r="G396" s="3193">
        <v>8.3699999999999992</v>
      </c>
      <c r="H396" s="3185"/>
      <c r="I396" s="3185" t="s">
        <v>3487</v>
      </c>
      <c r="J396" s="3185">
        <v>201420</v>
      </c>
      <c r="K396" s="3185">
        <v>9000</v>
      </c>
      <c r="L396" s="3181">
        <v>201420</v>
      </c>
      <c r="M396" s="3181"/>
      <c r="N396" s="3180" t="s">
        <v>3486</v>
      </c>
      <c r="O396" s="3190">
        <f t="shared" si="27"/>
        <v>179040</v>
      </c>
    </row>
    <row r="397" spans="1:15" ht="24.95" customHeight="1">
      <c r="A397" s="3185">
        <v>396</v>
      </c>
      <c r="B397" s="3185">
        <v>12</v>
      </c>
      <c r="C397" s="3185"/>
      <c r="D397" s="3186">
        <v>-107</v>
      </c>
      <c r="E397" s="3192" t="str">
        <f t="shared" si="26"/>
        <v>12---107</v>
      </c>
      <c r="F397" s="3186">
        <v>24.86</v>
      </c>
      <c r="G397" s="3193">
        <v>9.3000000000000007</v>
      </c>
      <c r="H397" s="3185"/>
      <c r="I397" s="3185" t="s">
        <v>3487</v>
      </c>
      <c r="J397" s="3185">
        <v>223740</v>
      </c>
      <c r="K397" s="3185">
        <v>9000</v>
      </c>
      <c r="L397" s="3181">
        <v>223740</v>
      </c>
      <c r="M397" s="3181"/>
      <c r="N397" s="3180" t="s">
        <v>3486</v>
      </c>
      <c r="O397" s="3190">
        <f t="shared" si="27"/>
        <v>198880</v>
      </c>
    </row>
    <row r="398" spans="1:15" ht="24.95" customHeight="1">
      <c r="A398" s="3185">
        <v>397</v>
      </c>
      <c r="B398" s="3185">
        <v>12</v>
      </c>
      <c r="C398" s="3185"/>
      <c r="D398" s="3186">
        <v>-108</v>
      </c>
      <c r="E398" s="3192" t="str">
        <f t="shared" si="26"/>
        <v>12---108</v>
      </c>
      <c r="F398" s="3186">
        <v>20.85</v>
      </c>
      <c r="G398" s="3193">
        <v>7.8</v>
      </c>
      <c r="H398" s="3185"/>
      <c r="I398" s="3185" t="s">
        <v>3487</v>
      </c>
      <c r="J398" s="3185">
        <v>187650</v>
      </c>
      <c r="K398" s="3185">
        <v>9000</v>
      </c>
      <c r="L398" s="3181">
        <v>187650</v>
      </c>
      <c r="M398" s="3181"/>
      <c r="N398" s="3180" t="s">
        <v>3486</v>
      </c>
      <c r="O398" s="3190">
        <f t="shared" si="27"/>
        <v>166800</v>
      </c>
    </row>
    <row r="399" spans="1:15" ht="24.95" customHeight="1">
      <c r="A399" s="3185">
        <v>398</v>
      </c>
      <c r="B399" s="3185">
        <v>12</v>
      </c>
      <c r="C399" s="3185"/>
      <c r="D399" s="3186">
        <v>-109</v>
      </c>
      <c r="E399" s="3192" t="str">
        <f t="shared" si="26"/>
        <v>12---109</v>
      </c>
      <c r="F399" s="3186">
        <v>17.73</v>
      </c>
      <c r="G399" s="3193">
        <v>6.63</v>
      </c>
      <c r="H399" s="3185"/>
      <c r="I399" s="3185" t="s">
        <v>3487</v>
      </c>
      <c r="J399" s="3185">
        <v>159570</v>
      </c>
      <c r="K399" s="3185">
        <v>9000</v>
      </c>
      <c r="L399" s="3181">
        <v>159570</v>
      </c>
      <c r="M399" s="3181"/>
      <c r="N399" s="3180" t="s">
        <v>3486</v>
      </c>
      <c r="O399" s="3190">
        <f t="shared" si="27"/>
        <v>141840</v>
      </c>
    </row>
    <row r="400" spans="1:15" ht="24.95" customHeight="1">
      <c r="A400" s="3185">
        <v>399</v>
      </c>
      <c r="B400" s="3185">
        <v>12</v>
      </c>
      <c r="C400" s="3185"/>
      <c r="D400" s="3186">
        <v>-110</v>
      </c>
      <c r="E400" s="3192" t="str">
        <f t="shared" si="26"/>
        <v>12---110</v>
      </c>
      <c r="F400" s="3186">
        <v>17.73</v>
      </c>
      <c r="G400" s="3193">
        <v>6.63</v>
      </c>
      <c r="H400" s="3185"/>
      <c r="I400" s="3185" t="s">
        <v>3487</v>
      </c>
      <c r="J400" s="3185">
        <v>159570</v>
      </c>
      <c r="K400" s="3185">
        <v>9000</v>
      </c>
      <c r="L400" s="3181">
        <v>159570</v>
      </c>
      <c r="M400" s="3181"/>
      <c r="N400" s="3180" t="s">
        <v>3486</v>
      </c>
      <c r="O400" s="3190">
        <f t="shared" si="27"/>
        <v>141840</v>
      </c>
    </row>
    <row r="401" spans="1:15" ht="24.95" customHeight="1">
      <c r="A401" s="3185">
        <v>400</v>
      </c>
      <c r="B401" s="3185">
        <v>12</v>
      </c>
      <c r="C401" s="3185"/>
      <c r="D401" s="3186">
        <v>-111</v>
      </c>
      <c r="E401" s="3192" t="str">
        <f t="shared" si="26"/>
        <v>12---111</v>
      </c>
      <c r="F401" s="3186">
        <v>20.85</v>
      </c>
      <c r="G401" s="3193">
        <v>7.8</v>
      </c>
      <c r="H401" s="3185"/>
      <c r="I401" s="3185" t="s">
        <v>3487</v>
      </c>
      <c r="J401" s="3185">
        <v>187650</v>
      </c>
      <c r="K401" s="3185">
        <v>9000</v>
      </c>
      <c r="L401" s="3181">
        <v>187650</v>
      </c>
      <c r="M401" s="3181"/>
      <c r="N401" s="3180" t="s">
        <v>3486</v>
      </c>
      <c r="O401" s="3190">
        <f t="shared" si="27"/>
        <v>166800</v>
      </c>
    </row>
    <row r="402" spans="1:15" ht="24.95" customHeight="1">
      <c r="A402" s="3185">
        <v>401</v>
      </c>
      <c r="B402" s="3185">
        <v>12</v>
      </c>
      <c r="C402" s="3185"/>
      <c r="D402" s="3186">
        <v>-112</v>
      </c>
      <c r="E402" s="3192" t="str">
        <f t="shared" si="26"/>
        <v>12---112</v>
      </c>
      <c r="F402" s="3186">
        <v>17.829999999999998</v>
      </c>
      <c r="G402" s="3193">
        <v>6.67</v>
      </c>
      <c r="H402" s="3185"/>
      <c r="I402" s="3185" t="s">
        <v>3487</v>
      </c>
      <c r="J402" s="3185">
        <v>160470</v>
      </c>
      <c r="K402" s="3185">
        <v>9000</v>
      </c>
      <c r="L402" s="3181">
        <v>160470</v>
      </c>
      <c r="M402" s="3181"/>
      <c r="N402" s="3180" t="s">
        <v>3486</v>
      </c>
      <c r="O402" s="3190">
        <f t="shared" si="27"/>
        <v>142640</v>
      </c>
    </row>
    <row r="403" spans="1:15" ht="24.95" customHeight="1">
      <c r="A403" s="3185">
        <v>402</v>
      </c>
      <c r="B403" s="3185">
        <v>12</v>
      </c>
      <c r="C403" s="3185"/>
      <c r="D403" s="3186">
        <v>-113</v>
      </c>
      <c r="E403" s="3192" t="str">
        <f t="shared" si="26"/>
        <v>12---113</v>
      </c>
      <c r="F403" s="3186">
        <v>17</v>
      </c>
      <c r="G403" s="3193">
        <v>6.36</v>
      </c>
      <c r="H403" s="3185"/>
      <c r="I403" s="3185" t="s">
        <v>3487</v>
      </c>
      <c r="J403" s="3185">
        <v>153000</v>
      </c>
      <c r="K403" s="3185">
        <v>9000</v>
      </c>
      <c r="L403" s="3181">
        <v>153000</v>
      </c>
      <c r="M403" s="3181"/>
      <c r="N403" s="3180" t="s">
        <v>3486</v>
      </c>
      <c r="O403" s="3190">
        <f t="shared" si="27"/>
        <v>136000</v>
      </c>
    </row>
    <row r="404" spans="1:15" ht="24.95" customHeight="1">
      <c r="A404" s="3185">
        <v>403</v>
      </c>
      <c r="B404" s="3185">
        <v>12</v>
      </c>
      <c r="C404" s="3185"/>
      <c r="D404" s="3186">
        <v>-114</v>
      </c>
      <c r="E404" s="3192" t="str">
        <f t="shared" si="26"/>
        <v>12---114</v>
      </c>
      <c r="F404" s="3186">
        <v>20.399999999999999</v>
      </c>
      <c r="G404" s="3193">
        <v>7.63</v>
      </c>
      <c r="H404" s="3185"/>
      <c r="I404" s="3185" t="s">
        <v>3487</v>
      </c>
      <c r="J404" s="3185">
        <v>183600</v>
      </c>
      <c r="K404" s="3185">
        <v>9000</v>
      </c>
      <c r="L404" s="3181">
        <v>183600</v>
      </c>
      <c r="M404" s="3181"/>
      <c r="N404" s="3180" t="s">
        <v>3486</v>
      </c>
      <c r="O404" s="3190">
        <f t="shared" si="27"/>
        <v>163200</v>
      </c>
    </row>
    <row r="405" spans="1:15" ht="24.95" customHeight="1">
      <c r="A405" s="3185">
        <v>404</v>
      </c>
      <c r="B405" s="3185">
        <v>12</v>
      </c>
      <c r="C405" s="3185"/>
      <c r="D405" s="3186">
        <v>-115</v>
      </c>
      <c r="E405" s="3192" t="str">
        <f t="shared" si="26"/>
        <v>12---115</v>
      </c>
      <c r="F405" s="3186">
        <v>21.68</v>
      </c>
      <c r="G405" s="3193">
        <v>8.11</v>
      </c>
      <c r="H405" s="3185"/>
      <c r="I405" s="3185" t="s">
        <v>3487</v>
      </c>
      <c r="J405" s="3185">
        <v>195120</v>
      </c>
      <c r="K405" s="3185">
        <v>9000</v>
      </c>
      <c r="L405" s="3181">
        <v>195120</v>
      </c>
      <c r="M405" s="3181"/>
      <c r="N405" s="3180" t="s">
        <v>3486</v>
      </c>
      <c r="O405" s="3190">
        <f t="shared" si="27"/>
        <v>173440</v>
      </c>
    </row>
    <row r="406" spans="1:15" ht="24.95" customHeight="1">
      <c r="A406" s="3185">
        <v>405</v>
      </c>
      <c r="B406" s="3185">
        <v>12</v>
      </c>
      <c r="C406" s="3185"/>
      <c r="D406" s="3186">
        <v>-116</v>
      </c>
      <c r="E406" s="3192" t="str">
        <f t="shared" si="26"/>
        <v>12---116</v>
      </c>
      <c r="F406" s="3186">
        <v>13.23</v>
      </c>
      <c r="G406" s="3193">
        <v>4.95</v>
      </c>
      <c r="H406" s="3185"/>
      <c r="I406" s="3185" t="s">
        <v>3487</v>
      </c>
      <c r="J406" s="3185">
        <v>119070</v>
      </c>
      <c r="K406" s="3185">
        <v>9000</v>
      </c>
      <c r="L406" s="3181">
        <v>119070</v>
      </c>
      <c r="M406" s="3181"/>
      <c r="N406" s="3180" t="s">
        <v>3486</v>
      </c>
      <c r="O406" s="3190">
        <f t="shared" si="27"/>
        <v>105840</v>
      </c>
    </row>
    <row r="407" spans="1:15" ht="24.95" customHeight="1">
      <c r="A407" s="3185">
        <v>406</v>
      </c>
      <c r="B407" s="3185">
        <v>13</v>
      </c>
      <c r="C407" s="3185">
        <v>1</v>
      </c>
      <c r="D407" s="3186">
        <v>101</v>
      </c>
      <c r="E407" s="3176" t="str">
        <f t="shared" si="26"/>
        <v>13-1-101</v>
      </c>
      <c r="F407" s="3191">
        <v>129.69</v>
      </c>
      <c r="G407" s="3188">
        <v>107.04</v>
      </c>
      <c r="H407" s="3189" t="s">
        <v>3479</v>
      </c>
      <c r="I407" s="3189" t="s">
        <v>3470</v>
      </c>
      <c r="J407" s="3189">
        <v>3679521.88</v>
      </c>
      <c r="K407" s="3189">
        <v>28371.67</v>
      </c>
      <c r="L407" s="3181">
        <v>3679521</v>
      </c>
      <c r="M407" s="3181">
        <v>28371.66</v>
      </c>
      <c r="N407" s="3180" t="s">
        <v>3486</v>
      </c>
      <c r="O407" s="3190">
        <f>ROUND(L407*0.95,0)</f>
        <v>3495545</v>
      </c>
    </row>
    <row r="408" spans="1:15" ht="24.95" customHeight="1">
      <c r="A408" s="3185">
        <v>407</v>
      </c>
      <c r="B408" s="3185">
        <v>13</v>
      </c>
      <c r="C408" s="3185">
        <v>1</v>
      </c>
      <c r="D408" s="3186">
        <v>102</v>
      </c>
      <c r="E408" s="3176" t="str">
        <f t="shared" si="26"/>
        <v>13-1-102</v>
      </c>
      <c r="F408" s="3191">
        <v>129.34</v>
      </c>
      <c r="G408" s="3188">
        <v>106.75</v>
      </c>
      <c r="H408" s="3189" t="s">
        <v>3475</v>
      </c>
      <c r="I408" s="3189" t="s">
        <v>3470</v>
      </c>
      <c r="J408" s="3189">
        <v>3669591.8</v>
      </c>
      <c r="K408" s="3189">
        <v>28371.67</v>
      </c>
      <c r="L408" s="3181">
        <v>3669591</v>
      </c>
      <c r="M408" s="3181">
        <v>28371.66</v>
      </c>
      <c r="N408" s="3180" t="s">
        <v>3486</v>
      </c>
      <c r="O408" s="3190">
        <f>ROUND(L408*0.95,0)</f>
        <v>3486111</v>
      </c>
    </row>
    <row r="409" spans="1:15" ht="24.95" customHeight="1">
      <c r="A409" s="3185">
        <v>408</v>
      </c>
      <c r="B409" s="3185">
        <v>13</v>
      </c>
      <c r="C409" s="3185">
        <v>1</v>
      </c>
      <c r="D409" s="3186">
        <v>201</v>
      </c>
      <c r="E409" s="3176" t="str">
        <f t="shared" si="26"/>
        <v>13-1-201</v>
      </c>
      <c r="F409" s="3191">
        <v>129.69</v>
      </c>
      <c r="G409" s="3188">
        <v>107.04</v>
      </c>
      <c r="H409" s="3189" t="s">
        <v>3479</v>
      </c>
      <c r="I409" s="3189" t="s">
        <v>3470</v>
      </c>
      <c r="J409" s="3189">
        <v>3718428.88</v>
      </c>
      <c r="K409" s="3189">
        <v>28671.67</v>
      </c>
      <c r="L409" s="3181">
        <v>3718428</v>
      </c>
      <c r="M409" s="3181">
        <v>28671.66</v>
      </c>
      <c r="N409" s="3180" t="s">
        <v>3486</v>
      </c>
      <c r="O409" s="3190">
        <f>ROUND(L409*0.95,0)</f>
        <v>3532507</v>
      </c>
    </row>
    <row r="410" spans="1:15" ht="24.95" customHeight="1">
      <c r="A410" s="3185">
        <v>409</v>
      </c>
      <c r="B410" s="3185">
        <v>13</v>
      </c>
      <c r="C410" s="3185">
        <v>1</v>
      </c>
      <c r="D410" s="3186">
        <v>202</v>
      </c>
      <c r="E410" s="3176" t="str">
        <f t="shared" si="26"/>
        <v>13-1-202</v>
      </c>
      <c r="F410" s="3191">
        <v>129.34</v>
      </c>
      <c r="G410" s="3188">
        <v>106.75</v>
      </c>
      <c r="H410" s="3189" t="s">
        <v>3475</v>
      </c>
      <c r="I410" s="3189" t="s">
        <v>3470</v>
      </c>
      <c r="J410" s="3189">
        <v>3708393.8</v>
      </c>
      <c r="K410" s="3189">
        <v>28671.67</v>
      </c>
      <c r="L410" s="3181">
        <v>3708393</v>
      </c>
      <c r="M410" s="3181">
        <v>28671.66</v>
      </c>
      <c r="N410" s="3180" t="s">
        <v>3486</v>
      </c>
      <c r="O410" s="3190">
        <f>ROUND(L410*0.95,0)</f>
        <v>3522973</v>
      </c>
    </row>
    <row r="411" spans="1:15" ht="24.95" customHeight="1">
      <c r="A411" s="3185">
        <v>410</v>
      </c>
      <c r="B411" s="3185">
        <v>13</v>
      </c>
      <c r="C411" s="3185">
        <v>1</v>
      </c>
      <c r="D411" s="3186">
        <v>301</v>
      </c>
      <c r="E411" s="3176" t="str">
        <f t="shared" si="26"/>
        <v>13-1-301</v>
      </c>
      <c r="F411" s="3191">
        <v>129.69</v>
      </c>
      <c r="G411" s="3188">
        <v>107.04</v>
      </c>
      <c r="H411" s="3189" t="s">
        <v>3479</v>
      </c>
      <c r="I411" s="3189" t="s">
        <v>3470</v>
      </c>
      <c r="J411" s="3189">
        <v>3783273.88</v>
      </c>
      <c r="K411" s="3189">
        <v>29171.67</v>
      </c>
      <c r="L411" s="3181">
        <v>3783273</v>
      </c>
      <c r="M411" s="3181">
        <v>29171.66</v>
      </c>
      <c r="N411" s="3180" t="s">
        <v>3471</v>
      </c>
      <c r="O411" s="3190">
        <v>3597855</v>
      </c>
    </row>
    <row r="412" spans="1:15" ht="24.95" customHeight="1">
      <c r="A412" s="3185">
        <v>411</v>
      </c>
      <c r="B412" s="3185">
        <v>13</v>
      </c>
      <c r="C412" s="3185">
        <v>1</v>
      </c>
      <c r="D412" s="3186">
        <v>302</v>
      </c>
      <c r="E412" s="3176" t="str">
        <f t="shared" si="26"/>
        <v>13-1-302</v>
      </c>
      <c r="F412" s="3191">
        <v>129.34</v>
      </c>
      <c r="G412" s="3188">
        <v>106.75</v>
      </c>
      <c r="H412" s="3189" t="s">
        <v>3475</v>
      </c>
      <c r="I412" s="3189" t="s">
        <v>3470</v>
      </c>
      <c r="J412" s="3189">
        <v>3773063.8</v>
      </c>
      <c r="K412" s="3189">
        <v>29171.67</v>
      </c>
      <c r="L412" s="3181">
        <v>3773063</v>
      </c>
      <c r="M412" s="3181">
        <v>29171.66</v>
      </c>
      <c r="N412" s="3180" t="s">
        <v>3486</v>
      </c>
      <c r="O412" s="3190">
        <f>ROUND(L412*0.95,0)</f>
        <v>3584410</v>
      </c>
    </row>
    <row r="413" spans="1:15" ht="24.95" customHeight="1">
      <c r="A413" s="3185">
        <v>412</v>
      </c>
      <c r="B413" s="3185">
        <v>13</v>
      </c>
      <c r="C413" s="3185">
        <v>1</v>
      </c>
      <c r="D413" s="3186">
        <v>401</v>
      </c>
      <c r="E413" s="3176" t="str">
        <f t="shared" si="26"/>
        <v>13-1-401</v>
      </c>
      <c r="F413" s="3191">
        <v>129.69</v>
      </c>
      <c r="G413" s="3188">
        <v>107.04</v>
      </c>
      <c r="H413" s="3189" t="s">
        <v>3479</v>
      </c>
      <c r="I413" s="3189" t="s">
        <v>3470</v>
      </c>
      <c r="J413" s="3189">
        <v>3822180.88</v>
      </c>
      <c r="K413" s="3189">
        <v>29471.67</v>
      </c>
      <c r="L413" s="3181">
        <v>3822180</v>
      </c>
      <c r="M413" s="3181">
        <v>29471.66</v>
      </c>
      <c r="N413" s="3180" t="s">
        <v>3471</v>
      </c>
      <c r="O413" s="3190">
        <v>3598139</v>
      </c>
    </row>
    <row r="414" spans="1:15" ht="24.95" customHeight="1">
      <c r="A414" s="3185">
        <v>413</v>
      </c>
      <c r="B414" s="3185">
        <v>13</v>
      </c>
      <c r="C414" s="3185">
        <v>1</v>
      </c>
      <c r="D414" s="3186">
        <v>402</v>
      </c>
      <c r="E414" s="3176" t="str">
        <f t="shared" si="26"/>
        <v>13-1-402</v>
      </c>
      <c r="F414" s="3191">
        <v>129.34</v>
      </c>
      <c r="G414" s="3188">
        <v>106.75</v>
      </c>
      <c r="H414" s="3189" t="s">
        <v>3475</v>
      </c>
      <c r="I414" s="3189" t="s">
        <v>3470</v>
      </c>
      <c r="J414" s="3189">
        <v>3811865.8</v>
      </c>
      <c r="K414" s="3189">
        <v>29471.67</v>
      </c>
      <c r="L414" s="3181">
        <v>3811865</v>
      </c>
      <c r="M414" s="3181">
        <v>29471.66</v>
      </c>
      <c r="N414" s="3180" t="s">
        <v>3471</v>
      </c>
      <c r="O414" s="3190">
        <v>3625046</v>
      </c>
    </row>
    <row r="415" spans="1:15" ht="24.95" customHeight="1">
      <c r="A415" s="3185">
        <v>414</v>
      </c>
      <c r="B415" s="3185">
        <v>13</v>
      </c>
      <c r="C415" s="3185">
        <v>1</v>
      </c>
      <c r="D415" s="3186">
        <v>501</v>
      </c>
      <c r="E415" s="3176" t="str">
        <f t="shared" si="26"/>
        <v>13-1-501</v>
      </c>
      <c r="F415" s="3191">
        <v>129.69</v>
      </c>
      <c r="G415" s="3188">
        <v>107.04</v>
      </c>
      <c r="H415" s="3189" t="s">
        <v>3479</v>
      </c>
      <c r="I415" s="3189" t="s">
        <v>3470</v>
      </c>
      <c r="J415" s="3189">
        <v>3848118.88</v>
      </c>
      <c r="K415" s="3189">
        <v>29671.67</v>
      </c>
      <c r="L415" s="3181">
        <v>3848118</v>
      </c>
      <c r="M415" s="3181">
        <v>29671.66</v>
      </c>
      <c r="N415" s="3180" t="s">
        <v>3471</v>
      </c>
      <c r="O415" s="3190">
        <v>3622557</v>
      </c>
    </row>
    <row r="416" spans="1:15" ht="24.95" customHeight="1">
      <c r="A416" s="3185">
        <v>415</v>
      </c>
      <c r="B416" s="3185">
        <v>13</v>
      </c>
      <c r="C416" s="3185">
        <v>1</v>
      </c>
      <c r="D416" s="3186">
        <v>502</v>
      </c>
      <c r="E416" s="3176" t="str">
        <f t="shared" si="26"/>
        <v>13-1-502</v>
      </c>
      <c r="F416" s="3191">
        <v>129.34</v>
      </c>
      <c r="G416" s="3188">
        <v>106.75</v>
      </c>
      <c r="H416" s="3189" t="s">
        <v>3475</v>
      </c>
      <c r="I416" s="3189" t="s">
        <v>3470</v>
      </c>
      <c r="J416" s="3189">
        <v>3837733.8</v>
      </c>
      <c r="K416" s="3189">
        <v>29671.67</v>
      </c>
      <c r="L416" s="3181">
        <v>3837733</v>
      </c>
      <c r="M416" s="3181">
        <v>29671.66</v>
      </c>
      <c r="N416" s="3180" t="s">
        <v>3471</v>
      </c>
      <c r="O416" s="3190">
        <v>3612781</v>
      </c>
    </row>
    <row r="417" spans="1:15" ht="24.95" customHeight="1">
      <c r="A417" s="3185">
        <v>416</v>
      </c>
      <c r="B417" s="3185">
        <v>13</v>
      </c>
      <c r="C417" s="3185">
        <v>1</v>
      </c>
      <c r="D417" s="3186">
        <v>601</v>
      </c>
      <c r="E417" s="3176" t="str">
        <f t="shared" si="26"/>
        <v>13-1-601</v>
      </c>
      <c r="F417" s="3191">
        <v>129.69</v>
      </c>
      <c r="G417" s="3188">
        <v>107.04</v>
      </c>
      <c r="H417" s="3189" t="s">
        <v>3479</v>
      </c>
      <c r="I417" s="3189" t="s">
        <v>3470</v>
      </c>
      <c r="J417" s="3189">
        <v>4201956</v>
      </c>
      <c r="K417" s="3189">
        <v>32400</v>
      </c>
      <c r="L417" s="3181">
        <v>4201956</v>
      </c>
      <c r="M417" s="3181">
        <v>32400</v>
      </c>
      <c r="N417" s="3180" t="s">
        <v>3486</v>
      </c>
      <c r="O417" s="3190">
        <f t="shared" ref="O417:O422" si="28">ROUND(L417*0.95,0)</f>
        <v>3991858</v>
      </c>
    </row>
    <row r="418" spans="1:15" ht="24.95" customHeight="1">
      <c r="A418" s="3185">
        <v>417</v>
      </c>
      <c r="B418" s="3185">
        <v>13</v>
      </c>
      <c r="C418" s="3185">
        <v>1</v>
      </c>
      <c r="D418" s="3186">
        <v>602</v>
      </c>
      <c r="E418" s="3176" t="str">
        <f t="shared" si="26"/>
        <v>13-1-602</v>
      </c>
      <c r="F418" s="3191">
        <v>129.34</v>
      </c>
      <c r="G418" s="3188">
        <v>106.75</v>
      </c>
      <c r="H418" s="3189" t="s">
        <v>3475</v>
      </c>
      <c r="I418" s="3189" t="s">
        <v>3470</v>
      </c>
      <c r="J418" s="3189">
        <v>4190616</v>
      </c>
      <c r="K418" s="3189">
        <v>32400</v>
      </c>
      <c r="L418" s="3181">
        <v>4190616</v>
      </c>
      <c r="M418" s="3181">
        <v>32400</v>
      </c>
      <c r="N418" s="3180" t="s">
        <v>3486</v>
      </c>
      <c r="O418" s="3190">
        <f t="shared" si="28"/>
        <v>3981085</v>
      </c>
    </row>
    <row r="419" spans="1:15" ht="24.95" customHeight="1">
      <c r="A419" s="3185">
        <v>418</v>
      </c>
      <c r="B419" s="3185">
        <v>13</v>
      </c>
      <c r="C419" s="3185">
        <v>2</v>
      </c>
      <c r="D419" s="3186">
        <v>101</v>
      </c>
      <c r="E419" s="3176" t="str">
        <f t="shared" si="26"/>
        <v>13-2-101</v>
      </c>
      <c r="F419" s="3191">
        <v>129.34</v>
      </c>
      <c r="G419" s="3188">
        <v>106.75</v>
      </c>
      <c r="H419" s="3189" t="s">
        <v>3479</v>
      </c>
      <c r="I419" s="3189" t="s">
        <v>3470</v>
      </c>
      <c r="J419" s="3189">
        <v>3669591.8</v>
      </c>
      <c r="K419" s="3189">
        <v>28371.67</v>
      </c>
      <c r="L419" s="3181">
        <v>3669591</v>
      </c>
      <c r="M419" s="3181">
        <v>28371.66</v>
      </c>
      <c r="N419" s="3180" t="s">
        <v>3486</v>
      </c>
      <c r="O419" s="3190">
        <f t="shared" si="28"/>
        <v>3486111</v>
      </c>
    </row>
    <row r="420" spans="1:15" ht="24.95" customHeight="1">
      <c r="A420" s="3185">
        <v>419</v>
      </c>
      <c r="B420" s="3185">
        <v>13</v>
      </c>
      <c r="C420" s="3185">
        <v>2</v>
      </c>
      <c r="D420" s="3186">
        <v>102</v>
      </c>
      <c r="E420" s="3176" t="str">
        <f t="shared" si="26"/>
        <v>13-2-102</v>
      </c>
      <c r="F420" s="3191">
        <v>129.69</v>
      </c>
      <c r="G420" s="3188">
        <v>107.04</v>
      </c>
      <c r="H420" s="3189" t="s">
        <v>3475</v>
      </c>
      <c r="I420" s="3189" t="s">
        <v>3470</v>
      </c>
      <c r="J420" s="3189">
        <v>3686006.38</v>
      </c>
      <c r="K420" s="3189">
        <v>28421.67</v>
      </c>
      <c r="L420" s="3181">
        <v>3686006</v>
      </c>
      <c r="M420" s="3181">
        <v>28421.67</v>
      </c>
      <c r="N420" s="3180" t="s">
        <v>3486</v>
      </c>
      <c r="O420" s="3190">
        <f t="shared" si="28"/>
        <v>3501706</v>
      </c>
    </row>
    <row r="421" spans="1:15" ht="24.95" customHeight="1">
      <c r="A421" s="3185">
        <v>420</v>
      </c>
      <c r="B421" s="3185">
        <v>13</v>
      </c>
      <c r="C421" s="3185">
        <v>2</v>
      </c>
      <c r="D421" s="3186">
        <v>201</v>
      </c>
      <c r="E421" s="3176" t="str">
        <f t="shared" si="26"/>
        <v>13-2-201</v>
      </c>
      <c r="F421" s="3191">
        <v>129.34</v>
      </c>
      <c r="G421" s="3188">
        <v>106.75</v>
      </c>
      <c r="H421" s="3189" t="s">
        <v>3479</v>
      </c>
      <c r="I421" s="3189" t="s">
        <v>3470</v>
      </c>
      <c r="J421" s="3189">
        <v>3708393.8</v>
      </c>
      <c r="K421" s="3189">
        <v>28671.67</v>
      </c>
      <c r="L421" s="3181">
        <v>3708393</v>
      </c>
      <c r="M421" s="3181">
        <v>28671.66</v>
      </c>
      <c r="N421" s="3180" t="s">
        <v>3486</v>
      </c>
      <c r="O421" s="3190">
        <f t="shared" si="28"/>
        <v>3522973</v>
      </c>
    </row>
    <row r="422" spans="1:15" ht="24.95" customHeight="1">
      <c r="A422" s="3185">
        <v>421</v>
      </c>
      <c r="B422" s="3185">
        <v>13</v>
      </c>
      <c r="C422" s="3185">
        <v>2</v>
      </c>
      <c r="D422" s="3186">
        <v>202</v>
      </c>
      <c r="E422" s="3176" t="str">
        <f t="shared" si="26"/>
        <v>13-2-202</v>
      </c>
      <c r="F422" s="3191">
        <v>129.69</v>
      </c>
      <c r="G422" s="3188">
        <v>107.04</v>
      </c>
      <c r="H422" s="3189" t="s">
        <v>3475</v>
      </c>
      <c r="I422" s="3189" t="s">
        <v>3470</v>
      </c>
      <c r="J422" s="3189">
        <v>3724913.38</v>
      </c>
      <c r="K422" s="3189">
        <v>28721.67</v>
      </c>
      <c r="L422" s="3181">
        <v>3724913</v>
      </c>
      <c r="M422" s="3181">
        <v>28721.67</v>
      </c>
      <c r="N422" s="3180" t="s">
        <v>3486</v>
      </c>
      <c r="O422" s="3190">
        <f t="shared" si="28"/>
        <v>3538667</v>
      </c>
    </row>
    <row r="423" spans="1:15" ht="24.95" customHeight="1">
      <c r="A423" s="3185">
        <v>422</v>
      </c>
      <c r="B423" s="3185">
        <v>13</v>
      </c>
      <c r="C423" s="3185">
        <v>2</v>
      </c>
      <c r="D423" s="3186">
        <v>301</v>
      </c>
      <c r="E423" s="3176" t="str">
        <f t="shared" si="26"/>
        <v>13-2-301</v>
      </c>
      <c r="F423" s="3191">
        <v>129.34</v>
      </c>
      <c r="G423" s="3188">
        <v>106.75</v>
      </c>
      <c r="H423" s="3189" t="s">
        <v>3479</v>
      </c>
      <c r="I423" s="3189" t="s">
        <v>3470</v>
      </c>
      <c r="J423" s="3189">
        <v>3773063.8</v>
      </c>
      <c r="K423" s="3189">
        <v>29171.67</v>
      </c>
      <c r="L423" s="3181">
        <v>3773063</v>
      </c>
      <c r="M423" s="3181">
        <v>29171.66</v>
      </c>
      <c r="N423" s="3180" t="s">
        <v>3471</v>
      </c>
      <c r="O423" s="3190">
        <v>3551901</v>
      </c>
    </row>
    <row r="424" spans="1:15" ht="24.95" customHeight="1">
      <c r="A424" s="3185">
        <v>423</v>
      </c>
      <c r="B424" s="3185">
        <v>13</v>
      </c>
      <c r="C424" s="3185">
        <v>2</v>
      </c>
      <c r="D424" s="3186">
        <v>302</v>
      </c>
      <c r="E424" s="3176" t="str">
        <f t="shared" si="26"/>
        <v>13-2-302</v>
      </c>
      <c r="F424" s="3191">
        <v>129.69</v>
      </c>
      <c r="G424" s="3188">
        <v>107.04</v>
      </c>
      <c r="H424" s="3189" t="s">
        <v>3475</v>
      </c>
      <c r="I424" s="3189" t="s">
        <v>3470</v>
      </c>
      <c r="J424" s="3189">
        <v>3789758.38</v>
      </c>
      <c r="K424" s="3189">
        <v>29221.67</v>
      </c>
      <c r="L424" s="3181">
        <v>3789758</v>
      </c>
      <c r="M424" s="3181">
        <v>29221.67</v>
      </c>
      <c r="N424" s="3180" t="s">
        <v>3486</v>
      </c>
      <c r="O424" s="3190">
        <f>ROUND(L424*0.95,0)</f>
        <v>3600270</v>
      </c>
    </row>
    <row r="425" spans="1:15" ht="24.95" customHeight="1">
      <c r="A425" s="3185">
        <v>424</v>
      </c>
      <c r="B425" s="3185">
        <v>13</v>
      </c>
      <c r="C425" s="3185">
        <v>2</v>
      </c>
      <c r="D425" s="3186">
        <v>401</v>
      </c>
      <c r="E425" s="3176" t="str">
        <f t="shared" si="26"/>
        <v>13-2-401</v>
      </c>
      <c r="F425" s="3191">
        <v>129.34</v>
      </c>
      <c r="G425" s="3188">
        <v>106.75</v>
      </c>
      <c r="H425" s="3189" t="s">
        <v>3479</v>
      </c>
      <c r="I425" s="3189" t="s">
        <v>3470</v>
      </c>
      <c r="J425" s="3189">
        <v>3811865.8</v>
      </c>
      <c r="K425" s="3189">
        <v>29471.67</v>
      </c>
      <c r="L425" s="3181">
        <v>3811865</v>
      </c>
      <c r="M425" s="3181">
        <v>29471.66</v>
      </c>
      <c r="N425" s="3180" t="s">
        <v>3471</v>
      </c>
      <c r="O425" s="3190">
        <v>3624676</v>
      </c>
    </row>
    <row r="426" spans="1:15" ht="24.95" customHeight="1">
      <c r="A426" s="3185">
        <v>425</v>
      </c>
      <c r="B426" s="3185">
        <v>13</v>
      </c>
      <c r="C426" s="3185">
        <v>2</v>
      </c>
      <c r="D426" s="3186">
        <v>402</v>
      </c>
      <c r="E426" s="3176" t="str">
        <f t="shared" si="26"/>
        <v>13-2-402</v>
      </c>
      <c r="F426" s="3191">
        <v>129.69</v>
      </c>
      <c r="G426" s="3188">
        <v>107.04</v>
      </c>
      <c r="H426" s="3189" t="s">
        <v>3475</v>
      </c>
      <c r="I426" s="3189" t="s">
        <v>3470</v>
      </c>
      <c r="J426" s="3189">
        <v>3828665.38</v>
      </c>
      <c r="K426" s="3189">
        <v>29521.67</v>
      </c>
      <c r="L426" s="3181">
        <v>3828665</v>
      </c>
      <c r="M426" s="3181">
        <v>29521.67</v>
      </c>
      <c r="N426" s="3180" t="s">
        <v>3471</v>
      </c>
      <c r="O426" s="3190">
        <v>3641022</v>
      </c>
    </row>
    <row r="427" spans="1:15" ht="24.95" customHeight="1">
      <c r="A427" s="3185">
        <v>426</v>
      </c>
      <c r="B427" s="3185">
        <v>13</v>
      </c>
      <c r="C427" s="3185">
        <v>2</v>
      </c>
      <c r="D427" s="3186">
        <v>501</v>
      </c>
      <c r="E427" s="3176" t="str">
        <f t="shared" si="26"/>
        <v>13-2-501</v>
      </c>
      <c r="F427" s="3191">
        <v>129.34</v>
      </c>
      <c r="G427" s="3188">
        <v>106.75</v>
      </c>
      <c r="H427" s="3189" t="s">
        <v>3479</v>
      </c>
      <c r="I427" s="3189" t="s">
        <v>3470</v>
      </c>
      <c r="J427" s="3189">
        <v>3837733.8</v>
      </c>
      <c r="K427" s="3189">
        <v>29671.67</v>
      </c>
      <c r="L427" s="3181">
        <v>3837733</v>
      </c>
      <c r="M427" s="3181">
        <v>29671.66</v>
      </c>
      <c r="N427" s="3180" t="s">
        <v>3471</v>
      </c>
      <c r="O427" s="3190">
        <v>3649646</v>
      </c>
    </row>
    <row r="428" spans="1:15" ht="24.95" customHeight="1">
      <c r="A428" s="3185">
        <v>427</v>
      </c>
      <c r="B428" s="3185">
        <v>13</v>
      </c>
      <c r="C428" s="3185">
        <v>2</v>
      </c>
      <c r="D428" s="3186">
        <v>502</v>
      </c>
      <c r="E428" s="3176" t="str">
        <f t="shared" si="26"/>
        <v>13-2-502</v>
      </c>
      <c r="F428" s="3191">
        <v>129.69</v>
      </c>
      <c r="G428" s="3188">
        <v>107.04</v>
      </c>
      <c r="H428" s="3189" t="s">
        <v>3475</v>
      </c>
      <c r="I428" s="3189" t="s">
        <v>3470</v>
      </c>
      <c r="J428" s="3189">
        <v>3854603.38</v>
      </c>
      <c r="K428" s="3189">
        <v>29721.67</v>
      </c>
      <c r="L428" s="3181">
        <v>3854603</v>
      </c>
      <c r="M428" s="3181">
        <v>29721.67</v>
      </c>
      <c r="N428" s="3180" t="s">
        <v>3471</v>
      </c>
      <c r="O428" s="3190">
        <v>3665315</v>
      </c>
    </row>
    <row r="429" spans="1:15" ht="24.95" customHeight="1">
      <c r="A429" s="3185">
        <v>428</v>
      </c>
      <c r="B429" s="3185">
        <v>13</v>
      </c>
      <c r="C429" s="3185">
        <v>2</v>
      </c>
      <c r="D429" s="3186">
        <v>601</v>
      </c>
      <c r="E429" s="3176" t="str">
        <f t="shared" si="26"/>
        <v>13-2-601</v>
      </c>
      <c r="F429" s="3191">
        <v>129.34</v>
      </c>
      <c r="G429" s="3188">
        <v>106.75</v>
      </c>
      <c r="H429" s="3189" t="s">
        <v>3479</v>
      </c>
      <c r="I429" s="3189" t="s">
        <v>3470</v>
      </c>
      <c r="J429" s="3189">
        <v>4190616</v>
      </c>
      <c r="K429" s="3189">
        <v>32400</v>
      </c>
      <c r="L429" s="3181">
        <v>4190616</v>
      </c>
      <c r="M429" s="3181">
        <v>32400</v>
      </c>
      <c r="N429" s="3180" t="s">
        <v>3471</v>
      </c>
      <c r="O429" s="3190">
        <v>4190616</v>
      </c>
    </row>
    <row r="430" spans="1:15" ht="24.95" customHeight="1">
      <c r="A430" s="3185">
        <v>429</v>
      </c>
      <c r="B430" s="3185">
        <v>13</v>
      </c>
      <c r="C430" s="3185">
        <v>2</v>
      </c>
      <c r="D430" s="3186">
        <v>602</v>
      </c>
      <c r="E430" s="3176" t="str">
        <f t="shared" si="26"/>
        <v>13-2-602</v>
      </c>
      <c r="F430" s="3191">
        <v>129.69</v>
      </c>
      <c r="G430" s="3188">
        <v>107.04</v>
      </c>
      <c r="H430" s="3189" t="s">
        <v>3475</v>
      </c>
      <c r="I430" s="3189" t="s">
        <v>3470</v>
      </c>
      <c r="J430" s="3189">
        <v>4201956</v>
      </c>
      <c r="K430" s="3189">
        <v>32400</v>
      </c>
      <c r="L430" s="3181">
        <v>4201956</v>
      </c>
      <c r="M430" s="3181">
        <v>32400</v>
      </c>
      <c r="N430" s="3180" t="s">
        <v>3486</v>
      </c>
      <c r="O430" s="3190">
        <f>ROUND(L430*0.95,0)</f>
        <v>3991858</v>
      </c>
    </row>
    <row r="431" spans="1:15" ht="24.95" customHeight="1">
      <c r="A431" s="3185">
        <v>430</v>
      </c>
      <c r="B431" s="3185">
        <v>13</v>
      </c>
      <c r="C431" s="3185"/>
      <c r="D431" s="3186">
        <v>-101</v>
      </c>
      <c r="E431" s="3192" t="str">
        <f t="shared" si="26"/>
        <v>13---101</v>
      </c>
      <c r="F431" s="3186">
        <v>20.73</v>
      </c>
      <c r="G431" s="3193">
        <v>8.66</v>
      </c>
      <c r="H431" s="3185"/>
      <c r="I431" s="3185" t="s">
        <v>3487</v>
      </c>
      <c r="J431" s="3185">
        <v>186570</v>
      </c>
      <c r="K431" s="3185">
        <v>9000</v>
      </c>
      <c r="L431" s="3181">
        <v>186570</v>
      </c>
      <c r="M431" s="3181"/>
      <c r="N431" s="3180" t="s">
        <v>3486</v>
      </c>
      <c r="O431" s="3190">
        <f t="shared" ref="O431:O453" si="29">F431*8000</f>
        <v>165840</v>
      </c>
    </row>
    <row r="432" spans="1:15" ht="24.95" customHeight="1">
      <c r="A432" s="3185">
        <v>431</v>
      </c>
      <c r="B432" s="3185">
        <v>13</v>
      </c>
      <c r="C432" s="3185"/>
      <c r="D432" s="3186">
        <v>-102</v>
      </c>
      <c r="E432" s="3192" t="str">
        <f t="shared" si="26"/>
        <v>13---102</v>
      </c>
      <c r="F432" s="3186">
        <v>21.07</v>
      </c>
      <c r="G432" s="3193">
        <v>8.8000000000000007</v>
      </c>
      <c r="H432" s="3185"/>
      <c r="I432" s="3185" t="s">
        <v>3487</v>
      </c>
      <c r="J432" s="3185">
        <v>189630</v>
      </c>
      <c r="K432" s="3185">
        <v>9000</v>
      </c>
      <c r="L432" s="3181">
        <v>189630</v>
      </c>
      <c r="M432" s="3181"/>
      <c r="N432" s="3180" t="s">
        <v>3486</v>
      </c>
      <c r="O432" s="3190">
        <f t="shared" si="29"/>
        <v>168560</v>
      </c>
    </row>
    <row r="433" spans="1:15" ht="24.95" customHeight="1">
      <c r="A433" s="3185">
        <v>432</v>
      </c>
      <c r="B433" s="3185">
        <v>13</v>
      </c>
      <c r="C433" s="3185"/>
      <c r="D433" s="3186">
        <v>-103</v>
      </c>
      <c r="E433" s="3192" t="str">
        <f t="shared" si="26"/>
        <v>13---103</v>
      </c>
      <c r="F433" s="3186">
        <v>24.69</v>
      </c>
      <c r="G433" s="3193">
        <v>10.31</v>
      </c>
      <c r="H433" s="3185"/>
      <c r="I433" s="3185" t="s">
        <v>3487</v>
      </c>
      <c r="J433" s="3185">
        <v>222210</v>
      </c>
      <c r="K433" s="3185">
        <v>9000</v>
      </c>
      <c r="L433" s="3181">
        <v>222210</v>
      </c>
      <c r="M433" s="3181"/>
      <c r="N433" s="3180" t="s">
        <v>3486</v>
      </c>
      <c r="O433" s="3190">
        <f t="shared" si="29"/>
        <v>197520</v>
      </c>
    </row>
    <row r="434" spans="1:15" ht="24.95" customHeight="1">
      <c r="A434" s="3185">
        <v>433</v>
      </c>
      <c r="B434" s="3185">
        <v>13</v>
      </c>
      <c r="C434" s="3185"/>
      <c r="D434" s="3186">
        <v>-104</v>
      </c>
      <c r="E434" s="3192" t="str">
        <f t="shared" si="26"/>
        <v>13---104</v>
      </c>
      <c r="F434" s="3186">
        <v>18.27</v>
      </c>
      <c r="G434" s="3193">
        <v>7.63</v>
      </c>
      <c r="H434" s="3185"/>
      <c r="I434" s="3185" t="s">
        <v>3487</v>
      </c>
      <c r="J434" s="3185">
        <v>164430</v>
      </c>
      <c r="K434" s="3185">
        <v>9000</v>
      </c>
      <c r="L434" s="3181">
        <v>164430</v>
      </c>
      <c r="M434" s="3181"/>
      <c r="N434" s="3180" t="s">
        <v>3486</v>
      </c>
      <c r="O434" s="3190">
        <f t="shared" si="29"/>
        <v>146160</v>
      </c>
    </row>
    <row r="435" spans="1:15" ht="24.95" customHeight="1">
      <c r="A435" s="3185">
        <v>434</v>
      </c>
      <c r="B435" s="3185">
        <v>13</v>
      </c>
      <c r="C435" s="3185"/>
      <c r="D435" s="3186">
        <v>-105</v>
      </c>
      <c r="E435" s="3192" t="str">
        <f t="shared" si="26"/>
        <v>13---105</v>
      </c>
      <c r="F435" s="3186">
        <v>15.97</v>
      </c>
      <c r="G435" s="3193">
        <v>6.67</v>
      </c>
      <c r="H435" s="3185"/>
      <c r="I435" s="3185" t="s">
        <v>3487</v>
      </c>
      <c r="J435" s="3185">
        <v>143730</v>
      </c>
      <c r="K435" s="3185">
        <v>9000</v>
      </c>
      <c r="L435" s="3181">
        <v>143730</v>
      </c>
      <c r="M435" s="3181"/>
      <c r="N435" s="3180" t="s">
        <v>3486</v>
      </c>
      <c r="O435" s="3190">
        <f t="shared" si="29"/>
        <v>127760</v>
      </c>
    </row>
    <row r="436" spans="1:15" ht="24.95" customHeight="1">
      <c r="A436" s="3185">
        <v>435</v>
      </c>
      <c r="B436" s="3185">
        <v>13</v>
      </c>
      <c r="C436" s="3185"/>
      <c r="D436" s="3186">
        <v>-106</v>
      </c>
      <c r="E436" s="3192" t="str">
        <f t="shared" si="26"/>
        <v>13---106</v>
      </c>
      <c r="F436" s="3186">
        <v>15.23</v>
      </c>
      <c r="G436" s="3193">
        <v>6.36</v>
      </c>
      <c r="H436" s="3185"/>
      <c r="I436" s="3185" t="s">
        <v>3487</v>
      </c>
      <c r="J436" s="3185">
        <v>137070</v>
      </c>
      <c r="K436" s="3185">
        <v>9000</v>
      </c>
      <c r="L436" s="3181">
        <v>137070</v>
      </c>
      <c r="M436" s="3181"/>
      <c r="N436" s="3180" t="s">
        <v>3486</v>
      </c>
      <c r="O436" s="3190">
        <f t="shared" si="29"/>
        <v>121840</v>
      </c>
    </row>
    <row r="437" spans="1:15" ht="24.95" customHeight="1">
      <c r="A437" s="3185">
        <v>436</v>
      </c>
      <c r="B437" s="3185">
        <v>13</v>
      </c>
      <c r="C437" s="3185"/>
      <c r="D437" s="3186">
        <v>-107</v>
      </c>
      <c r="E437" s="3192" t="str">
        <f t="shared" si="26"/>
        <v>13---107</v>
      </c>
      <c r="F437" s="3186">
        <v>15.87</v>
      </c>
      <c r="G437" s="3193">
        <v>6.63</v>
      </c>
      <c r="H437" s="3185"/>
      <c r="I437" s="3185" t="s">
        <v>3487</v>
      </c>
      <c r="J437" s="3185">
        <v>142830</v>
      </c>
      <c r="K437" s="3185">
        <v>9000</v>
      </c>
      <c r="L437" s="3181">
        <v>142830</v>
      </c>
      <c r="M437" s="3181"/>
      <c r="N437" s="3180" t="s">
        <v>3486</v>
      </c>
      <c r="O437" s="3190">
        <f t="shared" si="29"/>
        <v>126960</v>
      </c>
    </row>
    <row r="438" spans="1:15" ht="24.95" customHeight="1">
      <c r="A438" s="3185">
        <v>437</v>
      </c>
      <c r="B438" s="3185">
        <v>13</v>
      </c>
      <c r="C438" s="3185"/>
      <c r="D438" s="3186">
        <v>-108</v>
      </c>
      <c r="E438" s="3192" t="str">
        <f t="shared" si="26"/>
        <v>13---108</v>
      </c>
      <c r="F438" s="3186">
        <v>18.68</v>
      </c>
      <c r="G438" s="3193">
        <v>7.8</v>
      </c>
      <c r="H438" s="3185"/>
      <c r="I438" s="3185" t="s">
        <v>3487</v>
      </c>
      <c r="J438" s="3185">
        <v>168120</v>
      </c>
      <c r="K438" s="3185">
        <v>9000</v>
      </c>
      <c r="L438" s="3181">
        <v>168120</v>
      </c>
      <c r="M438" s="3181"/>
      <c r="N438" s="3180" t="s">
        <v>3486</v>
      </c>
      <c r="O438" s="3190">
        <f t="shared" si="29"/>
        <v>149440</v>
      </c>
    </row>
    <row r="439" spans="1:15" ht="24.95" customHeight="1">
      <c r="A439" s="3185">
        <v>438</v>
      </c>
      <c r="B439" s="3185">
        <v>13</v>
      </c>
      <c r="C439" s="3185"/>
      <c r="D439" s="3186">
        <v>-109</v>
      </c>
      <c r="E439" s="3192" t="str">
        <f t="shared" si="26"/>
        <v>13---109</v>
      </c>
      <c r="F439" s="3186">
        <v>18.68</v>
      </c>
      <c r="G439" s="3193">
        <v>7.8</v>
      </c>
      <c r="H439" s="3185"/>
      <c r="I439" s="3185" t="s">
        <v>3487</v>
      </c>
      <c r="J439" s="3185">
        <v>168120</v>
      </c>
      <c r="K439" s="3185">
        <v>9000</v>
      </c>
      <c r="L439" s="3181">
        <v>168120</v>
      </c>
      <c r="M439" s="3181"/>
      <c r="N439" s="3180" t="s">
        <v>3486</v>
      </c>
      <c r="O439" s="3190">
        <f t="shared" si="29"/>
        <v>149440</v>
      </c>
    </row>
    <row r="440" spans="1:15" ht="24.95" customHeight="1">
      <c r="A440" s="3185">
        <v>439</v>
      </c>
      <c r="B440" s="3185">
        <v>13</v>
      </c>
      <c r="C440" s="3185"/>
      <c r="D440" s="3186">
        <v>-110</v>
      </c>
      <c r="E440" s="3192" t="str">
        <f t="shared" si="26"/>
        <v>13---110</v>
      </c>
      <c r="F440" s="3186">
        <v>15.87</v>
      </c>
      <c r="G440" s="3193">
        <v>6.63</v>
      </c>
      <c r="H440" s="3185"/>
      <c r="I440" s="3185" t="s">
        <v>3487</v>
      </c>
      <c r="J440" s="3185">
        <v>142830</v>
      </c>
      <c r="K440" s="3185">
        <v>9000</v>
      </c>
      <c r="L440" s="3181">
        <v>142830</v>
      </c>
      <c r="M440" s="3181"/>
      <c r="N440" s="3180" t="s">
        <v>3486</v>
      </c>
      <c r="O440" s="3190">
        <f t="shared" si="29"/>
        <v>126960</v>
      </c>
    </row>
    <row r="441" spans="1:15" ht="24.95" customHeight="1">
      <c r="A441" s="3185">
        <v>440</v>
      </c>
      <c r="B441" s="3185">
        <v>13</v>
      </c>
      <c r="C441" s="3185"/>
      <c r="D441" s="3186">
        <v>-111</v>
      </c>
      <c r="E441" s="3192" t="str">
        <f t="shared" si="26"/>
        <v>13---111</v>
      </c>
      <c r="F441" s="3186">
        <v>20.04</v>
      </c>
      <c r="G441" s="3193">
        <v>8.3699999999999992</v>
      </c>
      <c r="H441" s="3185"/>
      <c r="I441" s="3185" t="s">
        <v>3487</v>
      </c>
      <c r="J441" s="3185">
        <v>180360</v>
      </c>
      <c r="K441" s="3185">
        <v>9000</v>
      </c>
      <c r="L441" s="3181">
        <v>180360</v>
      </c>
      <c r="M441" s="3181"/>
      <c r="N441" s="3180" t="s">
        <v>3486</v>
      </c>
      <c r="O441" s="3190">
        <f t="shared" si="29"/>
        <v>160320</v>
      </c>
    </row>
    <row r="442" spans="1:15" ht="24.95" customHeight="1">
      <c r="A442" s="3185">
        <v>441</v>
      </c>
      <c r="B442" s="3185">
        <v>13</v>
      </c>
      <c r="C442" s="3185"/>
      <c r="D442" s="3186">
        <v>-112</v>
      </c>
      <c r="E442" s="3192" t="str">
        <f t="shared" si="26"/>
        <v>13---112</v>
      </c>
      <c r="F442" s="3186">
        <v>22.27</v>
      </c>
      <c r="G442" s="3193">
        <v>9.3000000000000007</v>
      </c>
      <c r="H442" s="3185"/>
      <c r="I442" s="3185" t="s">
        <v>3487</v>
      </c>
      <c r="J442" s="3185">
        <v>200430</v>
      </c>
      <c r="K442" s="3185">
        <v>9000</v>
      </c>
      <c r="L442" s="3181">
        <v>200430</v>
      </c>
      <c r="M442" s="3181"/>
      <c r="N442" s="3180" t="s">
        <v>3486</v>
      </c>
      <c r="O442" s="3190">
        <f t="shared" si="29"/>
        <v>178160</v>
      </c>
    </row>
    <row r="443" spans="1:15" ht="24.95" customHeight="1">
      <c r="A443" s="3185">
        <v>442</v>
      </c>
      <c r="B443" s="3185">
        <v>13</v>
      </c>
      <c r="C443" s="3185"/>
      <c r="D443" s="3186">
        <v>-113</v>
      </c>
      <c r="E443" s="3192" t="str">
        <f t="shared" si="26"/>
        <v>13---113</v>
      </c>
      <c r="F443" s="3186">
        <v>22.27</v>
      </c>
      <c r="G443" s="3193">
        <v>9.3000000000000007</v>
      </c>
      <c r="H443" s="3185"/>
      <c r="I443" s="3185" t="s">
        <v>3487</v>
      </c>
      <c r="J443" s="3185">
        <v>200430</v>
      </c>
      <c r="K443" s="3185">
        <v>9000</v>
      </c>
      <c r="L443" s="3181">
        <v>200430</v>
      </c>
      <c r="M443" s="3181"/>
      <c r="N443" s="3180" t="s">
        <v>3486</v>
      </c>
      <c r="O443" s="3190">
        <f t="shared" si="29"/>
        <v>178160</v>
      </c>
    </row>
    <row r="444" spans="1:15" ht="24.95" customHeight="1">
      <c r="A444" s="3185">
        <v>443</v>
      </c>
      <c r="B444" s="3185">
        <v>13</v>
      </c>
      <c r="C444" s="3185"/>
      <c r="D444" s="3186">
        <v>-114</v>
      </c>
      <c r="E444" s="3192" t="str">
        <f t="shared" si="26"/>
        <v>13---114</v>
      </c>
      <c r="F444" s="3186">
        <v>20.04</v>
      </c>
      <c r="G444" s="3193">
        <v>8.3699999999999992</v>
      </c>
      <c r="H444" s="3185"/>
      <c r="I444" s="3185" t="s">
        <v>3487</v>
      </c>
      <c r="J444" s="3185">
        <v>180360</v>
      </c>
      <c r="K444" s="3185">
        <v>9000</v>
      </c>
      <c r="L444" s="3181">
        <v>180360</v>
      </c>
      <c r="M444" s="3181"/>
      <c r="N444" s="3180" t="s">
        <v>3486</v>
      </c>
      <c r="O444" s="3190">
        <f t="shared" si="29"/>
        <v>160320</v>
      </c>
    </row>
    <row r="445" spans="1:15" ht="24.95" customHeight="1">
      <c r="A445" s="3185">
        <v>444</v>
      </c>
      <c r="B445" s="3185">
        <v>13</v>
      </c>
      <c r="C445" s="3185"/>
      <c r="D445" s="3186">
        <v>-115</v>
      </c>
      <c r="E445" s="3192" t="str">
        <f t="shared" si="26"/>
        <v>13---115</v>
      </c>
      <c r="F445" s="3186">
        <v>15.87</v>
      </c>
      <c r="G445" s="3193">
        <v>6.63</v>
      </c>
      <c r="H445" s="3185"/>
      <c r="I445" s="3185" t="s">
        <v>3487</v>
      </c>
      <c r="J445" s="3185">
        <v>142830</v>
      </c>
      <c r="K445" s="3185">
        <v>9000</v>
      </c>
      <c r="L445" s="3181">
        <v>142830</v>
      </c>
      <c r="M445" s="3181"/>
      <c r="N445" s="3180" t="s">
        <v>3486</v>
      </c>
      <c r="O445" s="3190">
        <f t="shared" si="29"/>
        <v>126960</v>
      </c>
    </row>
    <row r="446" spans="1:15" ht="24.95" customHeight="1">
      <c r="A446" s="3185">
        <v>445</v>
      </c>
      <c r="B446" s="3185">
        <v>13</v>
      </c>
      <c r="C446" s="3185"/>
      <c r="D446" s="3186">
        <v>-116</v>
      </c>
      <c r="E446" s="3192" t="str">
        <f t="shared" si="26"/>
        <v>13---116</v>
      </c>
      <c r="F446" s="3186">
        <v>18.68</v>
      </c>
      <c r="G446" s="3193">
        <v>7.8</v>
      </c>
      <c r="H446" s="3185"/>
      <c r="I446" s="3185" t="s">
        <v>3487</v>
      </c>
      <c r="J446" s="3185">
        <v>168120</v>
      </c>
      <c r="K446" s="3185">
        <v>9000</v>
      </c>
      <c r="L446" s="3181">
        <v>168120</v>
      </c>
      <c r="M446" s="3181"/>
      <c r="N446" s="3180" t="s">
        <v>3486</v>
      </c>
      <c r="O446" s="3190">
        <f t="shared" si="29"/>
        <v>149440</v>
      </c>
    </row>
    <row r="447" spans="1:15" ht="24.95" customHeight="1">
      <c r="A447" s="3185">
        <v>446</v>
      </c>
      <c r="B447" s="3185">
        <v>13</v>
      </c>
      <c r="C447" s="3185"/>
      <c r="D447" s="3186">
        <v>-117</v>
      </c>
      <c r="E447" s="3192" t="str">
        <f t="shared" si="26"/>
        <v>13---117</v>
      </c>
      <c r="F447" s="3186">
        <v>18.68</v>
      </c>
      <c r="G447" s="3193">
        <v>7.8</v>
      </c>
      <c r="H447" s="3185"/>
      <c r="I447" s="3185" t="s">
        <v>3487</v>
      </c>
      <c r="J447" s="3185">
        <v>168120</v>
      </c>
      <c r="K447" s="3185">
        <v>9000</v>
      </c>
      <c r="L447" s="3181">
        <v>168120</v>
      </c>
      <c r="M447" s="3181"/>
      <c r="N447" s="3180" t="s">
        <v>3486</v>
      </c>
      <c r="O447" s="3190">
        <f t="shared" si="29"/>
        <v>149440</v>
      </c>
    </row>
    <row r="448" spans="1:15" ht="24.95" customHeight="1">
      <c r="A448" s="3185">
        <v>447</v>
      </c>
      <c r="B448" s="3185">
        <v>13</v>
      </c>
      <c r="C448" s="3185"/>
      <c r="D448" s="3186">
        <v>-118</v>
      </c>
      <c r="E448" s="3192" t="str">
        <f t="shared" si="26"/>
        <v>13---118</v>
      </c>
      <c r="F448" s="3186">
        <v>15.87</v>
      </c>
      <c r="G448" s="3193">
        <v>6.63</v>
      </c>
      <c r="H448" s="3185"/>
      <c r="I448" s="3185" t="s">
        <v>3487</v>
      </c>
      <c r="J448" s="3185">
        <v>142830</v>
      </c>
      <c r="K448" s="3185">
        <v>9000</v>
      </c>
      <c r="L448" s="3181">
        <v>142830</v>
      </c>
      <c r="M448" s="3181"/>
      <c r="N448" s="3180" t="s">
        <v>3486</v>
      </c>
      <c r="O448" s="3190">
        <f t="shared" si="29"/>
        <v>126960</v>
      </c>
    </row>
    <row r="449" spans="1:15" ht="24.95" customHeight="1">
      <c r="A449" s="3185">
        <v>448</v>
      </c>
      <c r="B449" s="3185">
        <v>13</v>
      </c>
      <c r="C449" s="3185"/>
      <c r="D449" s="3186">
        <v>-119</v>
      </c>
      <c r="E449" s="3192" t="str">
        <f t="shared" si="26"/>
        <v>13---119</v>
      </c>
      <c r="F449" s="3186">
        <v>15.23</v>
      </c>
      <c r="G449" s="3193">
        <v>6.36</v>
      </c>
      <c r="H449" s="3185"/>
      <c r="I449" s="3185" t="s">
        <v>3487</v>
      </c>
      <c r="J449" s="3185">
        <v>137070</v>
      </c>
      <c r="K449" s="3185">
        <v>9000</v>
      </c>
      <c r="L449" s="3181">
        <v>137070</v>
      </c>
      <c r="M449" s="3181"/>
      <c r="N449" s="3180" t="s">
        <v>3486</v>
      </c>
      <c r="O449" s="3190">
        <f t="shared" si="29"/>
        <v>121840</v>
      </c>
    </row>
    <row r="450" spans="1:15" ht="24.95" customHeight="1">
      <c r="A450" s="3185">
        <v>449</v>
      </c>
      <c r="B450" s="3185">
        <v>13</v>
      </c>
      <c r="C450" s="3185"/>
      <c r="D450" s="3186">
        <v>-120</v>
      </c>
      <c r="E450" s="3192" t="str">
        <f t="shared" ref="E450:E453" si="30">CONCATENATE(B450,"-",C450,"-",D450)</f>
        <v>13---120</v>
      </c>
      <c r="F450" s="3186">
        <v>15.97</v>
      </c>
      <c r="G450" s="3193">
        <v>6.67</v>
      </c>
      <c r="H450" s="3185"/>
      <c r="I450" s="3185" t="s">
        <v>3487</v>
      </c>
      <c r="J450" s="3185">
        <v>143730</v>
      </c>
      <c r="K450" s="3185">
        <v>9000</v>
      </c>
      <c r="L450" s="3181">
        <v>143730</v>
      </c>
      <c r="M450" s="3181"/>
      <c r="N450" s="3180" t="s">
        <v>3486</v>
      </c>
      <c r="O450" s="3190">
        <f t="shared" si="29"/>
        <v>127760</v>
      </c>
    </row>
    <row r="451" spans="1:15" ht="24.95" customHeight="1">
      <c r="A451" s="3185">
        <v>450</v>
      </c>
      <c r="B451" s="3185">
        <v>13</v>
      </c>
      <c r="C451" s="3185"/>
      <c r="D451" s="3186">
        <v>-121</v>
      </c>
      <c r="E451" s="3192" t="str">
        <f t="shared" si="30"/>
        <v>13---121</v>
      </c>
      <c r="F451" s="3186">
        <v>18.27</v>
      </c>
      <c r="G451" s="3193">
        <v>7.63</v>
      </c>
      <c r="H451" s="3185"/>
      <c r="I451" s="3185" t="s">
        <v>3487</v>
      </c>
      <c r="J451" s="3185">
        <v>164430</v>
      </c>
      <c r="K451" s="3185">
        <v>9000</v>
      </c>
      <c r="L451" s="3181">
        <v>164430</v>
      </c>
      <c r="M451" s="3181"/>
      <c r="N451" s="3180" t="s">
        <v>3486</v>
      </c>
      <c r="O451" s="3190">
        <f t="shared" si="29"/>
        <v>146160</v>
      </c>
    </row>
    <row r="452" spans="1:15" ht="24.95" customHeight="1">
      <c r="A452" s="3185">
        <v>451</v>
      </c>
      <c r="B452" s="3185">
        <v>13</v>
      </c>
      <c r="C452" s="3185"/>
      <c r="D452" s="3186">
        <v>-122</v>
      </c>
      <c r="E452" s="3192" t="str">
        <f t="shared" si="30"/>
        <v>13---122</v>
      </c>
      <c r="F452" s="3186">
        <v>19.420000000000002</v>
      </c>
      <c r="G452" s="3193">
        <v>8.11</v>
      </c>
      <c r="H452" s="3185"/>
      <c r="I452" s="3185" t="s">
        <v>3487</v>
      </c>
      <c r="J452" s="3185">
        <v>174780</v>
      </c>
      <c r="K452" s="3185">
        <v>9000</v>
      </c>
      <c r="L452" s="3181">
        <v>174780</v>
      </c>
      <c r="M452" s="3181"/>
      <c r="N452" s="3180" t="s">
        <v>3486</v>
      </c>
      <c r="O452" s="3190">
        <f t="shared" si="29"/>
        <v>155360</v>
      </c>
    </row>
    <row r="453" spans="1:15" ht="24.95" customHeight="1">
      <c r="A453" s="3185">
        <v>452</v>
      </c>
      <c r="B453" s="3185">
        <v>13</v>
      </c>
      <c r="C453" s="3185"/>
      <c r="D453" s="3186">
        <v>-123</v>
      </c>
      <c r="E453" s="3192" t="str">
        <f t="shared" si="30"/>
        <v>13---123</v>
      </c>
      <c r="F453" s="3186">
        <v>11.85</v>
      </c>
      <c r="G453" s="3193">
        <v>4.95</v>
      </c>
      <c r="H453" s="3185"/>
      <c r="I453" s="3185" t="s">
        <v>3487</v>
      </c>
      <c r="J453" s="3185">
        <v>106650</v>
      </c>
      <c r="K453" s="3185">
        <v>9000</v>
      </c>
      <c r="L453" s="3181">
        <v>106650</v>
      </c>
      <c r="M453" s="3181"/>
      <c r="N453" s="3180" t="s">
        <v>3486</v>
      </c>
      <c r="O453" s="3209">
        <f t="shared" si="29"/>
        <v>94800</v>
      </c>
    </row>
    <row r="454" spans="1:15" ht="24.95" customHeight="1">
      <c r="A454" s="3218" t="s">
        <v>2592</v>
      </c>
      <c r="B454" s="3210"/>
      <c r="C454" s="3210"/>
      <c r="D454" s="3211"/>
      <c r="E454" s="3211"/>
      <c r="F454" s="3212">
        <f>SUM(F2:F453)</f>
        <v>42841.109999999971</v>
      </c>
      <c r="G454" s="3212"/>
      <c r="H454" s="3210"/>
      <c r="I454" s="3210"/>
      <c r="J454" s="3211"/>
      <c r="K454" s="3211"/>
      <c r="L454" s="3181"/>
      <c r="M454" s="3181"/>
      <c r="N454" s="3180"/>
    </row>
    <row r="456" spans="1:15">
      <c r="D456" s="3177"/>
      <c r="E456" s="3178"/>
      <c r="F456" s="3178" t="s">
        <v>3446</v>
      </c>
      <c r="G456" s="3178" t="s">
        <v>3480</v>
      </c>
      <c r="H456" s="3179" t="s">
        <v>3481</v>
      </c>
    </row>
    <row r="457" spans="1:15">
      <c r="D457" s="3177" t="s">
        <v>3482</v>
      </c>
      <c r="E457" s="3178" t="s">
        <v>2552</v>
      </c>
      <c r="F457" s="3178">
        <v>17749.11</v>
      </c>
      <c r="G457" s="3178">
        <v>146</v>
      </c>
      <c r="H457" s="3179">
        <f>533235605.9/F457</f>
        <v>30042.94896476499</v>
      </c>
    </row>
    <row r="458" spans="1:15">
      <c r="D458" s="3344" t="s">
        <v>3483</v>
      </c>
      <c r="E458" s="3178" t="s">
        <v>2552</v>
      </c>
      <c r="F458" s="3178">
        <v>22737.63</v>
      </c>
      <c r="G458" s="3178">
        <v>189</v>
      </c>
      <c r="H458" s="3179">
        <f>681366543.1/F458</f>
        <v>29966.471575973395</v>
      </c>
    </row>
    <row r="459" spans="1:15">
      <c r="D459" s="3344"/>
      <c r="E459" s="3178" t="s">
        <v>3484</v>
      </c>
      <c r="F459" s="3178">
        <v>2354.37</v>
      </c>
      <c r="G459" s="3178">
        <v>117</v>
      </c>
      <c r="H459" s="3179">
        <f>21189330/F459</f>
        <v>9000</v>
      </c>
    </row>
    <row r="460" spans="1:15">
      <c r="D460" s="3177" t="s">
        <v>3485</v>
      </c>
      <c r="E460" s="3178"/>
      <c r="F460" s="3178">
        <f>F457+F458</f>
        <v>40486.740000000005</v>
      </c>
      <c r="G460" s="3178"/>
      <c r="H460" s="3179"/>
    </row>
  </sheetData>
  <mergeCells count="1">
    <mergeCell ref="D458:D459"/>
  </mergeCells>
  <phoneticPr fontId="134" type="noConversion"/>
  <conditionalFormatting sqref="E153">
    <cfRule type="duplicateValues" dxfId="151" priority="6"/>
  </conditionalFormatting>
  <conditionalFormatting sqref="E390">
    <cfRule type="duplicateValues" dxfId="150" priority="5"/>
  </conditionalFormatting>
  <conditionalFormatting sqref="E1:E455 E461:E65536">
    <cfRule type="duplicateValues" dxfId="149" priority="3"/>
  </conditionalFormatting>
  <conditionalFormatting sqref="E2:E93">
    <cfRule type="duplicateValues" dxfId="148" priority="7"/>
  </conditionalFormatting>
  <conditionalFormatting sqref="E94:E152">
    <cfRule type="duplicateValues" dxfId="147" priority="8"/>
  </conditionalFormatting>
  <conditionalFormatting sqref="E154:E182">
    <cfRule type="duplicateValues" dxfId="146" priority="9"/>
  </conditionalFormatting>
  <conditionalFormatting sqref="E183:E267">
    <cfRule type="duplicateValues" dxfId="145" priority="10"/>
  </conditionalFormatting>
  <conditionalFormatting sqref="E268:E389">
    <cfRule type="duplicateValues" dxfId="144" priority="11"/>
  </conditionalFormatting>
  <conditionalFormatting sqref="E391:E453">
    <cfRule type="duplicateValues" dxfId="143" priority="4"/>
  </conditionalFormatting>
  <conditionalFormatting sqref="E456 E458:E460">
    <cfRule type="duplicateValues" dxfId="142" priority="2"/>
  </conditionalFormatting>
  <conditionalFormatting sqref="E457">
    <cfRule type="duplicateValues" dxfId="141"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44" sqref="K4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54" t="s">
        <v>1131</v>
      </c>
      <c r="B2" s="3354"/>
      <c r="C2" s="3354"/>
      <c r="D2" s="748" t="s">
        <v>1107</v>
      </c>
      <c r="E2" s="1522" t="s">
        <v>1108</v>
      </c>
      <c r="F2" s="2438"/>
      <c r="G2" s="2431"/>
      <c r="H2" s="2432"/>
      <c r="I2" s="2145" t="s">
        <v>1132</v>
      </c>
      <c r="J2" s="2438"/>
      <c r="K2" s="2438"/>
      <c r="L2" s="2438"/>
      <c r="M2" s="2438"/>
      <c r="N2" s="2439"/>
      <c r="O2" s="2438"/>
      <c r="P2" s="2438"/>
    </row>
    <row r="3" spans="1:16" ht="15.75" thickBot="1">
      <c r="A3" s="3355" t="s">
        <v>1105</v>
      </c>
      <c r="B3" s="3355"/>
      <c r="C3" s="3355"/>
      <c r="D3" s="41">
        <f>'数据-基础表'!AY6</f>
        <v>14295.23</v>
      </c>
      <c r="E3" s="41">
        <f>'数据-基础表'!AZ5</f>
        <v>36323.870000000003</v>
      </c>
      <c r="F3" s="2438"/>
      <c r="G3" s="42"/>
      <c r="H3" s="43" t="s">
        <v>1106</v>
      </c>
      <c r="I3" s="802">
        <f>ROUND('数据-基础表'!B3/'数据-基础表'!A3,2)</f>
        <v>2.54</v>
      </c>
      <c r="J3" s="2438"/>
      <c r="K3" s="2438"/>
      <c r="L3" s="2438"/>
      <c r="M3" s="2438"/>
      <c r="N3" s="2439"/>
      <c r="O3" s="2438"/>
      <c r="P3" s="2438"/>
    </row>
    <row r="4" spans="1:16" ht="15">
      <c r="A4" s="3356"/>
      <c r="B4" s="3357"/>
      <c r="C4" s="3358"/>
      <c r="D4" s="1523" t="s">
        <v>1107</v>
      </c>
      <c r="E4" s="1524" t="s">
        <v>1108</v>
      </c>
      <c r="F4" s="2438"/>
      <c r="G4" s="2433" t="s">
        <v>1133</v>
      </c>
      <c r="H4" s="43" t="s">
        <v>1113</v>
      </c>
      <c r="I4" s="802">
        <f>ROUND(SUMIF('数据-基础表'!I9:AS9,"地上",'数据-基础表'!I5:AS5)/'数据-基础表'!A3,2)</f>
        <v>1.57</v>
      </c>
      <c r="J4" s="2438"/>
      <c r="K4" s="2438"/>
      <c r="L4" s="2438"/>
      <c r="M4" s="2438"/>
      <c r="N4" s="2439"/>
      <c r="O4" s="2438"/>
      <c r="P4" s="2438"/>
    </row>
    <row r="5" spans="1:16">
      <c r="A5" s="42" t="s">
        <v>1109</v>
      </c>
      <c r="B5" s="3359" t="s">
        <v>1110</v>
      </c>
      <c r="C5" s="3359"/>
      <c r="D5" s="43">
        <f>ROUND($D$3*E5/$E$3,2)</f>
        <v>9338.7099999999991</v>
      </c>
      <c r="E5" s="44">
        <f>SUMIF('数据-基础表'!$11:$11,"住宅",'数据-基础表'!$5:$5)</f>
        <v>23729.450000000004</v>
      </c>
      <c r="F5" s="2438"/>
      <c r="G5" s="42"/>
      <c r="H5" s="43" t="s">
        <v>1106</v>
      </c>
      <c r="I5" s="802">
        <f>ROUND(E31/D31,2)</f>
        <v>2.54</v>
      </c>
      <c r="J5" s="2438"/>
      <c r="K5" s="2438"/>
      <c r="L5" s="2438"/>
      <c r="M5" s="2438"/>
      <c r="N5" s="2438"/>
      <c r="O5" s="2438"/>
      <c r="P5" s="2438"/>
    </row>
    <row r="6" spans="1:16" ht="15" thickBot="1">
      <c r="A6" s="1526"/>
      <c r="B6" s="3359" t="s">
        <v>1111</v>
      </c>
      <c r="C6" s="3359"/>
      <c r="D6" s="43">
        <f>ROUND($D$3*E6/$E$3,2)</f>
        <v>4956.5200000000004</v>
      </c>
      <c r="E6" s="44">
        <f>E3-E5</f>
        <v>12594.419999999998</v>
      </c>
      <c r="F6" s="2438"/>
      <c r="G6" s="1528" t="s">
        <v>1112</v>
      </c>
      <c r="H6" s="45" t="s">
        <v>1113</v>
      </c>
      <c r="I6" s="2434">
        <f>ROUND(F31/D31,2)</f>
        <v>1.66</v>
      </c>
      <c r="J6" s="2438"/>
      <c r="K6" s="2438"/>
      <c r="L6" s="2438"/>
      <c r="M6" s="2438"/>
      <c r="N6" s="2438"/>
      <c r="O6" s="2438"/>
      <c r="P6" s="2438"/>
    </row>
    <row r="7" spans="1:16" ht="15.75" thickBot="1">
      <c r="A7" s="3351"/>
      <c r="B7" s="3352"/>
      <c r="C7" s="3353"/>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9338.7099999999991</v>
      </c>
      <c r="E8" s="46">
        <f>SUMIF('数据-基础表'!BB10:BK10,"地上",'数据-基础表'!BB5:BK5)</f>
        <v>23729.450000000004</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926.56</v>
      </c>
      <c r="E12" s="46">
        <f>SUMPRODUCT(('数据-基础表'!BB10:BK10="地下")*('数据-基础表'!BB11:BK11="仓储")*('数据-基础表'!BB5:BK5))</f>
        <v>2354.37</v>
      </c>
      <c r="F12" s="2438"/>
      <c r="G12" s="2438"/>
      <c r="H12" s="2438"/>
      <c r="I12" s="2438"/>
      <c r="J12" s="2438"/>
      <c r="K12" s="2438"/>
      <c r="L12" s="2438"/>
      <c r="M12" s="2438"/>
      <c r="N12" s="2438"/>
      <c r="O12" s="2438"/>
      <c r="P12" s="2438"/>
    </row>
    <row r="13" spans="1:16">
      <c r="A13" s="1528"/>
      <c r="B13" s="1529"/>
      <c r="C13" s="43" t="s">
        <v>1122</v>
      </c>
      <c r="D13" s="43">
        <f t="shared" si="0"/>
        <v>4029.96</v>
      </c>
      <c r="E13" s="46">
        <f>SUMPRODUCT(('数据-基础表'!BB10:BK10="地下")*('数据-基础表'!BB11:BK11="车库")*('数据-基础表'!BB5:BK5))</f>
        <v>10240.049999999999</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14295.23</v>
      </c>
      <c r="E16" s="48">
        <f>SUM(E8:E15)</f>
        <v>36323.870000000003</v>
      </c>
      <c r="F16" s="2438"/>
      <c r="G16" s="2438"/>
      <c r="H16" s="1530" t="s">
        <v>1135</v>
      </c>
      <c r="I16" s="1531"/>
      <c r="J16" s="1071"/>
      <c r="K16" s="3348" t="s">
        <v>1135</v>
      </c>
      <c r="L16" s="3349"/>
      <c r="M16" s="3349"/>
      <c r="N16" s="3349"/>
      <c r="O16" s="3349"/>
      <c r="P16" s="3350"/>
    </row>
    <row r="17" spans="1:19" ht="15">
      <c r="A17" s="1532" t="s">
        <v>1136</v>
      </c>
      <c r="B17" s="1533" t="s">
        <v>1137</v>
      </c>
      <c r="C17" s="1534" t="s">
        <v>1138</v>
      </c>
      <c r="D17" s="1535" t="s">
        <v>1126</v>
      </c>
      <c r="E17" s="1536" t="s">
        <v>1127</v>
      </c>
      <c r="F17" s="1537"/>
      <c r="G17" s="1538"/>
      <c r="H17" s="1539" t="s">
        <v>1139</v>
      </c>
      <c r="I17" s="1540" t="s">
        <v>1124</v>
      </c>
      <c r="J17" s="1071"/>
      <c r="K17" s="3345" t="s">
        <v>1140</v>
      </c>
      <c r="L17" s="3346"/>
      <c r="M17" s="3347"/>
      <c r="N17" s="3345" t="s">
        <v>1141</v>
      </c>
      <c r="O17" s="3346"/>
      <c r="P17" s="3347"/>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5" t="s">
        <v>3512</v>
      </c>
      <c r="D19" s="43">
        <f>ROUND($D$3*E19/$E$3,2)</f>
        <v>9338.7099999999991</v>
      </c>
      <c r="E19" s="51">
        <f t="shared" ref="E19:E26" si="1">SUM(F19:G19)</f>
        <v>23729.450000000004</v>
      </c>
      <c r="F19" s="2557">
        <f>'数据-基础表'!I13</f>
        <v>23729.450000000004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9338.7099999999991</v>
      </c>
      <c r="S19" s="51">
        <f t="shared" si="5"/>
        <v>23729.450000000004</v>
      </c>
    </row>
    <row r="20" spans="1:19">
      <c r="A20" s="1548"/>
      <c r="B20" s="45" t="s">
        <v>1153</v>
      </c>
      <c r="C20" s="3115" t="s">
        <v>3514</v>
      </c>
      <c r="D20" s="43">
        <f t="shared" ref="D20:D26" si="6">ROUND($D$3*E20/$E$3,2)</f>
        <v>926.56</v>
      </c>
      <c r="E20" s="51">
        <f t="shared" si="1"/>
        <v>2354.37</v>
      </c>
      <c r="F20" s="2557"/>
      <c r="G20" s="1242">
        <f>'数据-基础表'!K13</f>
        <v>2354.37</v>
      </c>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926.56</v>
      </c>
      <c r="S20" s="51">
        <f t="shared" si="5"/>
        <v>2354.37</v>
      </c>
    </row>
    <row r="21" spans="1:19">
      <c r="A21" s="1548"/>
      <c r="B21" s="45" t="s">
        <v>1153</v>
      </c>
      <c r="C21" s="3115" t="s">
        <v>3516</v>
      </c>
      <c r="D21" s="43">
        <f t="shared" si="6"/>
        <v>4029.96</v>
      </c>
      <c r="E21" s="51">
        <f t="shared" si="1"/>
        <v>10240.049999999999</v>
      </c>
      <c r="F21" s="2557"/>
      <c r="G21" s="1242">
        <f>'数据-基础表'!M13</f>
        <v>10240.049999999999</v>
      </c>
      <c r="H21" s="637">
        <f t="shared" si="7"/>
        <v>0</v>
      </c>
      <c r="I21" s="46">
        <f t="shared" si="2"/>
        <v>0</v>
      </c>
      <c r="J21" s="1071"/>
      <c r="K21" s="637">
        <f t="shared" si="3"/>
        <v>0</v>
      </c>
      <c r="L21" s="43">
        <f t="shared" si="4"/>
        <v>0</v>
      </c>
      <c r="M21" s="46">
        <f t="shared" si="8"/>
        <v>0</v>
      </c>
      <c r="N21" s="1549"/>
      <c r="O21" s="1550"/>
      <c r="P21" s="46">
        <f t="shared" si="9"/>
        <v>0</v>
      </c>
      <c r="R21" s="43">
        <f t="shared" si="5"/>
        <v>4029.96</v>
      </c>
      <c r="S21" s="51">
        <f t="shared" si="5"/>
        <v>10240.049999999999</v>
      </c>
    </row>
    <row r="22" spans="1:19">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14295.23</v>
      </c>
      <c r="E27" s="1073">
        <f>IF(SUM(E19:E26)='数据-基础表'!BA5,SUM(E19:E26),IF(F27="地上面积有误","面积有误","地下面积有误"))</f>
        <v>36323.870000000003</v>
      </c>
      <c r="F27" s="1072">
        <f>IF(SUM(F19:F26)=E8,SUM(F19:F26),"地上面积有误")</f>
        <v>23729.450000000004</v>
      </c>
      <c r="G27" s="1074">
        <f>SUM(G19:G26)</f>
        <v>12594.419999999998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14295.23</v>
      </c>
      <c r="S27" s="43">
        <f>IF(SUM(S19:S26)=$E$3,SUM(S19:S26),SUM(S19:S26)&amp;"误差"&amp;ROUND(SUM(S19:S26)-E3,2))</f>
        <v>36323.870000000003</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14295.23</v>
      </c>
      <c r="E31" s="643">
        <f>E27+E30</f>
        <v>36323.870000000003</v>
      </c>
      <c r="F31" s="644">
        <f>F27+F30</f>
        <v>23729.450000000004</v>
      </c>
      <c r="G31" s="645">
        <f>G27+G30</f>
        <v>12594.419999999998</v>
      </c>
      <c r="H31" s="2438"/>
      <c r="I31" s="2438"/>
      <c r="J31" s="2438"/>
      <c r="K31" s="2438"/>
      <c r="L31" s="2438"/>
      <c r="M31" s="2438"/>
      <c r="N31" s="2438"/>
      <c r="O31" s="2438"/>
      <c r="P31" s="2438"/>
    </row>
    <row r="32" spans="1:19">
      <c r="A32" s="1525"/>
      <c r="B32" s="1525" t="s">
        <v>1159</v>
      </c>
      <c r="C32" s="1525"/>
      <c r="D32" s="1525"/>
      <c r="E32" s="990">
        <f>SUMIF(C19:C26,"*住宅*",E19:E26)</f>
        <v>23729.450000000004</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45565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3519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住宅-洋房</v>
      </c>
      <c r="B6" s="1586" t="str">
        <f>IF(A6=0,"","经营性")</f>
        <v>经营性</v>
      </c>
      <c r="C6" s="1587" t="s">
        <v>3470</v>
      </c>
      <c r="D6" s="805">
        <f>SUMIF(项目基本情况!C$12:I$12,C6,项目基本情况!C$14:I$14)</f>
        <v>70</v>
      </c>
      <c r="E6" s="804">
        <f>IF(B6="","",SUMIF(项目基本情况!C$12:I$12,C6,项目基本情况!C$13:I$13))</f>
        <v>70714</v>
      </c>
      <c r="F6" s="61">
        <f>SUMIF(项目基本情况!C$12:I$12,C6,项目基本情况!C$15:I$15)</f>
        <v>68.900000000000006</v>
      </c>
      <c r="G6" s="62">
        <f>IF(ISERROR(ROUND(POWER(1+H6,D6-F6)*(POWER(1+H6,F6)-1)/(POWER(1+H6,D6)-1),3)),0,ROUND(POWER(1+H6,D6-F6)*(POWER(1+H6,F6)-1)/(POWER(1+H6,D6)-1),3))</f>
        <v>0.997</v>
      </c>
      <c r="H6" s="691">
        <v>0.04</v>
      </c>
      <c r="I6" s="691">
        <v>4.4999999999999998E-2</v>
      </c>
      <c r="J6" s="63">
        <v>7.0000000000000007E-2</v>
      </c>
      <c r="K6" s="970">
        <f>SUMIF('数据-汇总表'!C$19:C$33,A6,'数据-汇总表'!E$19:E$33)</f>
        <v>23729.450000000004</v>
      </c>
      <c r="L6" s="3220">
        <v>6500</v>
      </c>
      <c r="M6" s="64">
        <f t="shared" ref="M6:M14" si="0">ROUND(K6*L6/10000,0)</f>
        <v>15424</v>
      </c>
      <c r="N6" s="690">
        <v>0.5</v>
      </c>
      <c r="O6" s="64">
        <f>IF($N$5="成新度","——",ROUND(M6*N6,0))</f>
        <v>7712</v>
      </c>
      <c r="P6" s="65">
        <f>IF($N$5="成新度","——",M6-O6)</f>
        <v>7712</v>
      </c>
      <c r="Q6" s="693">
        <v>0.2</v>
      </c>
      <c r="R6" s="66">
        <f ca="1">SUMIF('数据-汇总表'!C$19:C$33,A6,'数据-汇总表'!R$19:R$27)</f>
        <v>9338.7099999999991</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154241425.00000003</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地下仓储</v>
      </c>
      <c r="B7" s="1586" t="str">
        <f t="shared" ref="B7:B13" si="1">IF(A7=0,"","经营性")</f>
        <v>经营性</v>
      </c>
      <c r="C7" s="1587" t="s">
        <v>3334</v>
      </c>
      <c r="D7" s="805">
        <f>SUMIF(项目基本情况!C$12:I$12,C7,项目基本情况!C$14:I$14)</f>
        <v>50</v>
      </c>
      <c r="E7" s="804">
        <f>IF(B7="","",SUMIF(项目基本情况!C$12:I$12,C7,项目基本情况!C$13:I$13))</f>
        <v>63409</v>
      </c>
      <c r="F7" s="61">
        <f>SUMIF(项目基本情况!C$12:I$12,C7,项目基本情况!C$15:I$15)</f>
        <v>48.88</v>
      </c>
      <c r="G7" s="62">
        <f t="shared" ref="G7:G11" si="2">IF(ISERROR(ROUND(POWER(1+H7,D7-F7)*(POWER(1+H7,F7)-1)/(POWER(1+H7,D7)-1),3)),0,ROUND(POWER(1+H7,D7-F7)*(POWER(1+H7,F7)-1)/(POWER(1+H7,D7)-1),3))</f>
        <v>0.99399999999999999</v>
      </c>
      <c r="H7" s="691">
        <v>4.4999999999999998E-2</v>
      </c>
      <c r="I7" s="691">
        <v>0.05</v>
      </c>
      <c r="J7" s="63">
        <v>0</v>
      </c>
      <c r="K7" s="970">
        <f>SUMIF('数据-汇总表'!C$19:C$33,A7,'数据-汇总表'!E$19:E$33)</f>
        <v>2354.37</v>
      </c>
      <c r="L7" s="692">
        <v>4500</v>
      </c>
      <c r="M7" s="64">
        <f t="shared" si="0"/>
        <v>1059</v>
      </c>
      <c r="N7" s="690">
        <v>0.6</v>
      </c>
      <c r="O7" s="64">
        <f t="shared" ref="O7:O14" si="3">IF($N$5="成新度","——",ROUND(M7*N7,0))</f>
        <v>635</v>
      </c>
      <c r="P7" s="65">
        <f t="shared" ref="P7:P14" si="4">IF($N$5="成新度","——",M7-O7)</f>
        <v>424</v>
      </c>
      <c r="Q7" s="693">
        <v>0.05</v>
      </c>
      <c r="R7" s="66">
        <f ca="1">SUMIF('数据-汇总表'!C$19:C$33,A7,'数据-汇总表'!R$19:R$27)</f>
        <v>926.56</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t="str">
        <f>'数据-汇总表'!C21</f>
        <v>地下车库</v>
      </c>
      <c r="B8" s="1586" t="str">
        <f t="shared" si="1"/>
        <v>经营性</v>
      </c>
      <c r="C8" s="1587" t="s">
        <v>3333</v>
      </c>
      <c r="D8" s="805">
        <f>SUMIF(项目基本情况!C$12:I$12,C8,项目基本情况!C$14:I$14)</f>
        <v>50</v>
      </c>
      <c r="E8" s="804">
        <f>IF(B8="","",SUMIF(项目基本情况!C$12:I$12,C8,项目基本情况!C$13:I$13))</f>
        <v>63409</v>
      </c>
      <c r="F8" s="61">
        <f>SUMIF(项目基本情况!C$12:I$12,C8,项目基本情况!C$15:I$15)</f>
        <v>48.88</v>
      </c>
      <c r="G8" s="62">
        <f t="shared" si="2"/>
        <v>0.99399999999999999</v>
      </c>
      <c r="H8" s="691">
        <v>4.4999999999999998E-2</v>
      </c>
      <c r="I8" s="691">
        <v>0.05</v>
      </c>
      <c r="J8" s="63">
        <v>0</v>
      </c>
      <c r="K8" s="970">
        <f>SUMIF('数据-汇总表'!C$19:C$33,A8,'数据-汇总表'!E$19:E$33)</f>
        <v>10240.049999999999</v>
      </c>
      <c r="L8" s="692">
        <f>L7</f>
        <v>4500</v>
      </c>
      <c r="M8" s="64">
        <f>ROUND(K8*L8/10000,0)</f>
        <v>4608</v>
      </c>
      <c r="N8" s="690">
        <v>0.6</v>
      </c>
      <c r="O8" s="64">
        <f t="shared" si="3"/>
        <v>2765</v>
      </c>
      <c r="P8" s="65">
        <f t="shared" si="4"/>
        <v>1843</v>
      </c>
      <c r="Q8" s="693">
        <v>0.05</v>
      </c>
      <c r="R8" s="66">
        <f ca="1">SUMIF('数据-汇总表'!C$19:C$33,A8,'数据-汇总表'!R$19:R$27)</f>
        <v>4029.96</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f>面积及建安取值!$R$50</f>
        <v>315</v>
      </c>
      <c r="AI8" s="73">
        <v>365</v>
      </c>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0.996</v>
      </c>
      <c r="H16" s="84">
        <f>ROUND(SUMPRODUCT(H6:H13,K6:K13)/SUMPRODUCT((H6:H13&gt;0)*(K6:K13)),3)</f>
        <v>4.2000000000000003E-2</v>
      </c>
      <c r="I16" s="85"/>
      <c r="J16" s="85"/>
      <c r="K16" s="86">
        <f>SUM(K6:K15)</f>
        <v>36323.870000000003</v>
      </c>
      <c r="L16" s="87">
        <f>ROUND(M16*10000/SUM(K6:K14),0)</f>
        <v>5806</v>
      </c>
      <c r="M16" s="87">
        <f>SUM(M6:M14)</f>
        <v>21091</v>
      </c>
      <c r="N16" s="88">
        <f>ROUND(SUMPRODUCT(M6:M14,N6:N14)/M16,3)</f>
        <v>0.52700000000000002</v>
      </c>
      <c r="O16" s="87">
        <f>SUM(O6:O14)</f>
        <v>11112</v>
      </c>
      <c r="P16" s="87">
        <f>SUM(P6:P14)</f>
        <v>9979</v>
      </c>
      <c r="Q16" s="89">
        <f>ROUND(SUMPRODUCT(Q6:Q13,K6:K13)/SUMPRODUCT((Q6:Q13&gt;0)*(K6:K13)),2)</f>
        <v>0.15</v>
      </c>
      <c r="R16" s="974">
        <f ca="1">SUM(R6:R13)</f>
        <v>14295.23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2301</v>
      </c>
      <c r="D19" s="2451"/>
      <c r="E19" s="2438"/>
      <c r="F19" s="2438"/>
      <c r="G19" s="2438"/>
      <c r="H19" s="2438"/>
      <c r="I19" s="2438"/>
      <c r="J19" s="2438"/>
      <c r="K19" s="2449"/>
      <c r="L19" s="2449">
        <v>5500</v>
      </c>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2299</v>
      </c>
      <c r="D20" s="2451"/>
      <c r="E20" s="2438"/>
      <c r="F20" s="2438"/>
      <c r="G20" s="2438"/>
      <c r="H20" s="2438"/>
      <c r="I20" s="2438"/>
      <c r="J20" s="2438"/>
      <c r="K20" s="2449"/>
      <c r="L20" s="2449">
        <v>4500</v>
      </c>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f>B20*N16</f>
        <v>1.054</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1.054</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0.94599999999999995</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100</v>
      </c>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150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130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70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0.08</v>
      </c>
      <c r="C34" s="2564" t="s">
        <v>2293</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3382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2295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2295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3.3500000000000002E-2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2304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360" t="s">
        <v>2284</v>
      </c>
      <c r="B1" s="3361"/>
      <c r="C1" s="3361"/>
      <c r="D1" s="3361"/>
      <c r="E1" s="3361"/>
      <c r="F1" s="3361"/>
      <c r="G1" s="33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2279</v>
      </c>
      <c r="D2" s="1594"/>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6.75">
      <c r="A4" s="2247"/>
      <c r="B4" s="315" t="s">
        <v>2252</v>
      </c>
      <c r="C4" s="2268" t="s">
        <v>2253</v>
      </c>
      <c r="D4" s="2265"/>
      <c r="E4" s="2269"/>
      <c r="F4" s="1280" t="s">
        <v>2254</v>
      </c>
      <c r="G4" s="2270" t="s">
        <v>2255</v>
      </c>
      <c r="H4" s="751"/>
      <c r="I4" s="751"/>
      <c r="J4" s="751"/>
      <c r="K4" s="751"/>
      <c r="L4" s="751"/>
      <c r="M4" s="751"/>
      <c r="N4" s="751"/>
      <c r="O4" s="751"/>
      <c r="P4" s="751"/>
      <c r="Q4" s="751"/>
    </row>
    <row r="5" spans="1:29" ht="36.75">
      <c r="A5" s="2247"/>
      <c r="B5" s="315" t="s">
        <v>2256</v>
      </c>
      <c r="C5" s="2268" t="s">
        <v>2257</v>
      </c>
      <c r="D5" s="2265"/>
      <c r="E5" s="2269"/>
      <c r="F5" s="315" t="s">
        <v>2258</v>
      </c>
      <c r="G5" s="2270" t="s">
        <v>2259</v>
      </c>
      <c r="H5" s="751"/>
      <c r="I5" s="751"/>
      <c r="J5" s="751"/>
      <c r="K5" s="751"/>
      <c r="L5" s="751"/>
      <c r="M5" s="751"/>
      <c r="N5" s="751"/>
      <c r="O5" s="751"/>
      <c r="P5" s="751"/>
      <c r="Q5" s="751"/>
    </row>
    <row r="6" spans="1:29" ht="36">
      <c r="A6" s="2247"/>
      <c r="B6" s="315" t="s">
        <v>2260</v>
      </c>
      <c r="C6" s="2270" t="s">
        <v>2255</v>
      </c>
      <c r="D6" s="2265"/>
      <c r="E6" s="2269"/>
      <c r="F6" s="315" t="s">
        <v>2261</v>
      </c>
      <c r="G6" s="2270" t="s">
        <v>2262</v>
      </c>
      <c r="H6" s="751"/>
      <c r="I6" s="751"/>
      <c r="J6" s="751"/>
      <c r="K6" s="751"/>
      <c r="L6" s="751"/>
      <c r="M6" s="751"/>
      <c r="N6" s="751"/>
      <c r="O6" s="751"/>
      <c r="P6" s="751"/>
      <c r="Q6" s="751"/>
    </row>
    <row r="7" spans="1:29" ht="24.75" thickBot="1">
      <c r="A7" s="2247"/>
      <c r="B7" s="315" t="s">
        <v>2258</v>
      </c>
      <c r="C7" s="2270" t="s">
        <v>2259</v>
      </c>
      <c r="D7" s="2244"/>
      <c r="E7" s="2271"/>
      <c r="F7" s="2272" t="s">
        <v>2263</v>
      </c>
      <c r="G7" s="2273" t="s">
        <v>2264</v>
      </c>
      <c r="H7" s="751"/>
      <c r="I7" s="751"/>
      <c r="J7" s="751"/>
      <c r="K7" s="751"/>
      <c r="L7" s="751"/>
      <c r="M7" s="751"/>
      <c r="N7" s="751"/>
      <c r="O7" s="751"/>
      <c r="P7" s="751"/>
      <c r="Q7" s="751"/>
    </row>
    <row r="8" spans="1:29">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5"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2285</v>
      </c>
      <c r="B13" s="2279"/>
      <c r="C13" s="2279"/>
      <c r="D13" s="2278"/>
      <c r="E13" s="2279"/>
      <c r="F13" s="2279"/>
      <c r="G13" s="2279"/>
    </row>
    <row r="14" spans="1:29" ht="15" thickBot="1">
      <c r="A14" s="2284"/>
      <c r="B14" s="2284"/>
      <c r="C14" s="2285" t="s">
        <v>2268</v>
      </c>
      <c r="D14" s="2265"/>
      <c r="E14" s="2286"/>
      <c r="F14" s="2286"/>
      <c r="G14" s="2261" t="s">
        <v>2269</v>
      </c>
    </row>
    <row r="15" spans="1:29" ht="51">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8.25">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8.25">
      <c r="A17" s="2251"/>
      <c r="B17" s="2290" t="s">
        <v>2256</v>
      </c>
      <c r="C17" s="2291" t="str">
        <f>C5</f>
        <v>估价对象位于XX商圈，周边办公楼项目较多，入驻率高，办公集聚程度较好</v>
      </c>
      <c r="D17" s="2244"/>
      <c r="E17" s="2252"/>
      <c r="F17" s="2292" t="s">
        <v>2273</v>
      </c>
      <c r="G17" s="2294"/>
    </row>
    <row r="18" spans="1:17" ht="38.25">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5.5">
      <c r="A19" s="2251"/>
      <c r="B19" s="2292" t="s">
        <v>2274</v>
      </c>
      <c r="C19" s="2294"/>
      <c r="D19" s="2265"/>
      <c r="E19" s="2252"/>
      <c r="F19" s="315" t="s">
        <v>2258</v>
      </c>
      <c r="G19" s="2293" t="str">
        <f>G5</f>
        <v>估价对象所在区域公共配套设施齐备情况</v>
      </c>
    </row>
    <row r="20" spans="1:17" ht="25.5">
      <c r="A20" s="2251"/>
      <c r="B20" s="2292" t="s">
        <v>2275</v>
      </c>
      <c r="C20" s="2291" t="str">
        <f>C9</f>
        <v>区域自然环境：；人文环境；综合评价环境状况一般</v>
      </c>
      <c r="D20" s="2244"/>
      <c r="E20" s="2252"/>
      <c r="F20" s="315" t="s">
        <v>2261</v>
      </c>
      <c r="G20" s="2293" t="str">
        <f>G6</f>
        <v>估价对象所在区域基础设施水平</v>
      </c>
    </row>
    <row r="21" spans="1:17" ht="25.5">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5" thickBot="1">
      <c r="A23" s="2251"/>
      <c r="B23" s="2292" t="s">
        <v>2276</v>
      </c>
      <c r="C23" s="2295"/>
      <c r="D23" s="1613"/>
      <c r="E23" s="2253"/>
      <c r="F23" s="2296" t="s">
        <v>2277</v>
      </c>
      <c r="G23" s="2297"/>
      <c r="H23" s="2276"/>
      <c r="I23" s="2276"/>
      <c r="J23" s="2276"/>
      <c r="K23" s="2276"/>
      <c r="L23" s="2276"/>
      <c r="M23" s="2276"/>
      <c r="N23" s="2276"/>
      <c r="O23" s="2276"/>
      <c r="P23" s="2276"/>
      <c r="Q23" s="2276"/>
    </row>
    <row r="24" spans="1:17" s="751" customFormat="1" ht="15" thickBot="1">
      <c r="A24" s="2254"/>
      <c r="B24" s="2296" t="s">
        <v>2278</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36323.870000000003</v>
      </c>
      <c r="C1" s="2461"/>
      <c r="D1" s="2461"/>
      <c r="E1" s="2461"/>
      <c r="F1" s="2461"/>
      <c r="G1" s="2462"/>
      <c r="H1" s="2462"/>
      <c r="I1" s="2462"/>
      <c r="J1" s="2462"/>
      <c r="K1" s="2462"/>
    </row>
    <row r="2" spans="1:11" ht="16.5">
      <c r="A2" s="2299" t="s">
        <v>653</v>
      </c>
      <c r="B2" s="2299">
        <f>SUM(C14:C23)</f>
        <v>14295.23</v>
      </c>
      <c r="C2" s="2461"/>
      <c r="D2" s="2461"/>
      <c r="E2" s="2461"/>
      <c r="F2" s="2461"/>
      <c r="G2" s="2462"/>
      <c r="H2" s="2462"/>
      <c r="I2" s="2462"/>
      <c r="J2" s="2462"/>
      <c r="K2" s="2462"/>
    </row>
    <row r="3" spans="1:11" ht="16.5">
      <c r="A3" s="2299" t="s">
        <v>662</v>
      </c>
      <c r="B3" s="2301">
        <f>项目基本情况!D3</f>
        <v>45565</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50479</v>
      </c>
      <c r="C5" s="2299">
        <f ca="1">IF(B5=D14,结果表!H102,ROUND(B5*10000/$B$1,0))</f>
        <v>13897</v>
      </c>
      <c r="D5" s="2299">
        <f ca="1">ROUND(B5*10000/$B$2,0)</f>
        <v>35312</v>
      </c>
      <c r="E5" s="2461"/>
      <c r="F5" s="2462"/>
      <c r="G5" s="2462"/>
      <c r="H5" s="2462"/>
      <c r="I5" s="2462"/>
      <c r="J5" s="2462"/>
      <c r="K5" s="2462"/>
    </row>
    <row r="6" spans="1:11" ht="16.5">
      <c r="A6" s="2299" t="s">
        <v>656</v>
      </c>
      <c r="B6" s="2299">
        <f ca="1">SUM(G14:G23)</f>
        <v>50479</v>
      </c>
      <c r="C6" s="2299">
        <f ca="1">IF(B6=G14,结果表!H108,ROUND(B6*10000/$B$1,0))</f>
        <v>13897</v>
      </c>
      <c r="D6" s="2299">
        <f ca="1">ROUND(B6*10000/$B$2,0)</f>
        <v>35312</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3356</v>
      </c>
      <c r="D10" s="2299" t="s">
        <v>3357</v>
      </c>
      <c r="E10" s="3136"/>
      <c r="F10" s="3140" t="s">
        <v>3358</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36323.870000000003</v>
      </c>
      <c r="C14" s="2305">
        <f>'数据-汇总表'!D3</f>
        <v>14295.23</v>
      </c>
      <c r="D14" s="2305">
        <f ca="1">结果表!H101</f>
        <v>50479</v>
      </c>
      <c r="E14" s="2305">
        <f ca="1">ROUND(D14*10000/B14,0)</f>
        <v>13897</v>
      </c>
      <c r="F14" s="2305">
        <f ca="1">ROUND(D14*10000/C14,0)</f>
        <v>35312</v>
      </c>
      <c r="G14" s="2305">
        <f ca="1">结果表!H107</f>
        <v>50479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6" t="str">
        <f>项目基本情况!B1</f>
        <v>北京市房地产抵押价值预评估</v>
      </c>
      <c r="C37" s="3256"/>
      <c r="D37" s="3256"/>
      <c r="E37" s="3256"/>
      <c r="F37" s="3256"/>
      <c r="G37" s="3256"/>
      <c r="H37" s="3256"/>
      <c r="I37" s="3256"/>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429" t="str">
        <f>项目基本情况!S2</f>
        <v>北京市房地产</v>
      </c>
      <c r="B2" s="3430"/>
      <c r="C2" s="3430"/>
      <c r="D2" s="3430"/>
      <c r="E2" s="3430"/>
      <c r="F2" s="3430"/>
      <c r="G2" s="3430"/>
      <c r="H2" s="3430"/>
      <c r="I2" s="3431"/>
    </row>
    <row r="3" spans="1:12" ht="12.75">
      <c r="A3" s="3433" t="s">
        <v>1264</v>
      </c>
      <c r="B3" s="3434"/>
      <c r="C3" s="3434"/>
      <c r="D3" s="3434"/>
      <c r="E3" s="3434"/>
      <c r="F3" s="3434"/>
      <c r="G3" s="3434"/>
      <c r="H3" s="3434"/>
      <c r="I3" s="3434"/>
    </row>
    <row r="4" spans="1:12" ht="14.25">
      <c r="A4" s="1623" t="s">
        <v>1265</v>
      </c>
      <c r="B4" s="1624" t="s">
        <v>1266</v>
      </c>
      <c r="C4" s="1625" t="s">
        <v>3974</v>
      </c>
      <c r="D4" s="1625" t="s">
        <v>3975</v>
      </c>
      <c r="E4" s="3438" t="s">
        <v>1267</v>
      </c>
      <c r="F4" s="3439"/>
      <c r="G4" s="3439"/>
      <c r="H4" s="3439"/>
      <c r="I4" s="344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77" t="s">
        <v>1268</v>
      </c>
      <c r="B5" s="3432">
        <v>25</v>
      </c>
      <c r="C5" s="3435"/>
      <c r="D5" s="3423"/>
      <c r="E5" s="123" t="s">
        <v>1269</v>
      </c>
      <c r="F5" s="1626"/>
      <c r="G5" s="1626"/>
      <c r="H5" s="1626"/>
      <c r="I5" s="1280"/>
    </row>
    <row r="6" spans="1:12" ht="12.75">
      <c r="A6" s="3377"/>
      <c r="B6" s="3432"/>
      <c r="C6" s="3437"/>
      <c r="D6" s="3423"/>
      <c r="E6" s="123" t="s">
        <v>1270</v>
      </c>
      <c r="F6" s="1626"/>
      <c r="G6" s="1626"/>
      <c r="H6" s="1626"/>
      <c r="I6" s="1280"/>
    </row>
    <row r="7" spans="1:12" ht="12.75">
      <c r="A7" s="3377"/>
      <c r="B7" s="3432"/>
      <c r="C7" s="3436"/>
      <c r="D7" s="3423"/>
      <c r="E7" s="123" t="s">
        <v>1271</v>
      </c>
      <c r="F7" s="1626"/>
      <c r="G7" s="1626"/>
      <c r="H7" s="1626"/>
      <c r="I7" s="1280"/>
    </row>
    <row r="8" spans="1:12" ht="12.75">
      <c r="A8" s="3377" t="s">
        <v>1272</v>
      </c>
      <c r="B8" s="3432">
        <v>15</v>
      </c>
      <c r="C8" s="3435"/>
      <c r="D8" s="3423"/>
      <c r="E8" s="123" t="s">
        <v>1273</v>
      </c>
      <c r="F8" s="1626"/>
      <c r="G8" s="1626"/>
      <c r="H8" s="1626"/>
      <c r="I8" s="1280"/>
    </row>
    <row r="9" spans="1:12" ht="12.75">
      <c r="A9" s="3377"/>
      <c r="B9" s="3432"/>
      <c r="C9" s="3436"/>
      <c r="D9" s="3423"/>
      <c r="E9" s="123" t="s">
        <v>1274</v>
      </c>
      <c r="F9" s="1626"/>
      <c r="G9" s="1626"/>
      <c r="H9" s="1626"/>
      <c r="I9" s="1280"/>
    </row>
    <row r="10" spans="1:12" ht="12.75">
      <c r="A10" s="3377" t="s">
        <v>1275</v>
      </c>
      <c r="B10" s="3432">
        <v>15</v>
      </c>
      <c r="C10" s="3435"/>
      <c r="D10" s="3423"/>
      <c r="E10" s="123" t="s">
        <v>1276</v>
      </c>
      <c r="F10" s="1626"/>
      <c r="G10" s="1626"/>
      <c r="H10" s="1626"/>
      <c r="I10" s="1280"/>
    </row>
    <row r="11" spans="1:12" ht="12.75">
      <c r="A11" s="3377"/>
      <c r="B11" s="3432"/>
      <c r="C11" s="3436"/>
      <c r="D11" s="3423"/>
      <c r="E11" s="123" t="s">
        <v>1277</v>
      </c>
      <c r="F11" s="1626"/>
      <c r="G11" s="1626"/>
      <c r="H11" s="1626"/>
      <c r="I11" s="1280"/>
    </row>
    <row r="12" spans="1:12" ht="12.75">
      <c r="A12" s="3377" t="s">
        <v>1278</v>
      </c>
      <c r="B12" s="3432">
        <v>15</v>
      </c>
      <c r="C12" s="3435"/>
      <c r="D12" s="3423"/>
      <c r="E12" s="123" t="s">
        <v>1279</v>
      </c>
      <c r="F12" s="1626"/>
      <c r="G12" s="1626"/>
      <c r="H12" s="1626"/>
      <c r="I12" s="1280"/>
    </row>
    <row r="13" spans="1:12" ht="12.75">
      <c r="A13" s="3377"/>
      <c r="B13" s="3432"/>
      <c r="C13" s="3436"/>
      <c r="D13" s="3423"/>
      <c r="E13" s="123" t="s">
        <v>1280</v>
      </c>
      <c r="F13" s="1626"/>
      <c r="G13" s="1626"/>
      <c r="H13" s="1626"/>
      <c r="I13" s="1280"/>
    </row>
    <row r="14" spans="1:12" ht="12.75">
      <c r="A14" s="3377" t="s">
        <v>1281</v>
      </c>
      <c r="B14" s="3432">
        <v>30</v>
      </c>
      <c r="C14" s="3435">
        <v>5</v>
      </c>
      <c r="D14" s="3423">
        <v>5</v>
      </c>
      <c r="E14" s="123" t="s">
        <v>1282</v>
      </c>
      <c r="F14" s="1626"/>
      <c r="G14" s="1626"/>
      <c r="H14" s="1626"/>
      <c r="I14" s="1280"/>
    </row>
    <row r="15" spans="1:12" ht="12.75">
      <c r="A15" s="3377"/>
      <c r="B15" s="3432"/>
      <c r="C15" s="3437"/>
      <c r="D15" s="3423"/>
      <c r="E15" s="123" t="s">
        <v>1283</v>
      </c>
      <c r="F15" s="1626"/>
      <c r="G15" s="1626"/>
      <c r="H15" s="1626"/>
      <c r="I15" s="1280"/>
    </row>
    <row r="16" spans="1:12" ht="12.75">
      <c r="A16" s="3377"/>
      <c r="B16" s="3432"/>
      <c r="C16" s="3436"/>
      <c r="D16" s="3423"/>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454" t="s">
        <v>2129</v>
      </c>
      <c r="F18" s="3455"/>
      <c r="G18" s="3455"/>
      <c r="H18" s="3455"/>
      <c r="I18" s="3455"/>
      <c r="J18" s="3221">
        <v>45243</v>
      </c>
      <c r="K18" s="294" t="s">
        <v>1289</v>
      </c>
      <c r="L18" s="294">
        <f>IF(C1="",'数据-汇总表'!E3,SUMIF(项目类型,C1,'数据-汇总表'!E17:E26)+SUMIF(项目类型,C1,'数据-汇总表'!I17:I26))</f>
        <v>36323.870000000003</v>
      </c>
      <c r="M18" s="294">
        <f>IF(C1="",'数据-汇总表'!E3,SUMIF(项目类型,C1,'数据-汇总表'!E17:E26))</f>
        <v>36323.870000000003</v>
      </c>
    </row>
    <row r="19" spans="1:36" ht="15">
      <c r="A19" s="1629" t="s">
        <v>1290</v>
      </c>
      <c r="B19" s="1630" t="s">
        <v>1291</v>
      </c>
      <c r="C19" s="126">
        <f ca="1">SUMIF(INDIRECT("'"&amp;C4&amp;"'"&amp;"!A:A"),结果表!B19,INDIRECT("'"&amp;C4&amp;"'"&amp;"!B:B"))</f>
        <v>52827</v>
      </c>
      <c r="D19" s="127">
        <f ca="1">SUMIF(INDIRECT("'"&amp;D4&amp;"'"&amp;"!A:A"),结果表!B19,INDIRECT("'"&amp;D4&amp;"'"&amp;"!B:B"))</f>
        <v>48130</v>
      </c>
      <c r="E19" s="1629" t="s">
        <v>1292</v>
      </c>
      <c r="F19" s="1630" t="s">
        <v>1291</v>
      </c>
      <c r="G19" s="128">
        <f ca="1">ROUND(C19*$C$18+D19*$D$18,0)</f>
        <v>50479</v>
      </c>
      <c r="H19" s="1631" t="s">
        <v>1293</v>
      </c>
      <c r="I19" s="121"/>
      <c r="J19" s="684">
        <v>52581</v>
      </c>
      <c r="K19" s="294" t="s">
        <v>1294</v>
      </c>
      <c r="L19" s="294">
        <f>IF(C1="",'数据-汇总表'!D3,SUMIF(项目类型,C1,'数据-汇总表'!D17:D26)+SUMIF(项目类型,C1,'数据-汇总表'!H17:H27))</f>
        <v>14295.23</v>
      </c>
      <c r="M19" s="294">
        <f>IF(C1="",'数据-汇总表'!D3,SUMIF(项目类型,C1,'数据-汇总表'!D17:D26))</f>
        <v>14295.23</v>
      </c>
    </row>
    <row r="20" spans="1:36" ht="15">
      <c r="A20" s="1632"/>
      <c r="B20" s="43" t="s">
        <v>1295</v>
      </c>
      <c r="C20" s="129">
        <f ca="1">SUMIF(INDIRECT("'"&amp;C4&amp;"'"&amp;"!A:A"),结果表!B20,INDIRECT("'"&amp;C4&amp;"'"&amp;"!B:B"))</f>
        <v>14543</v>
      </c>
      <c r="D20" s="130">
        <f ca="1">SUMIF(INDIRECT("'"&amp;D4&amp;"'"&amp;"!A:A"),结果表!B20,INDIRECT("'"&amp;D4&amp;"'"&amp;"!B:B"))</f>
        <v>13250</v>
      </c>
      <c r="E20" s="1632"/>
      <c r="F20" s="43" t="s">
        <v>1295</v>
      </c>
      <c r="G20" s="131">
        <f ca="1">ROUND(C20*$C$18+D20*$D$18,0)</f>
        <v>13897</v>
      </c>
      <c r="H20" s="760" t="s">
        <v>1296</v>
      </c>
      <c r="I20" s="121"/>
      <c r="J20" s="684">
        <v>9265</v>
      </c>
    </row>
    <row r="21" spans="1:36" ht="15" customHeight="1" thickBot="1">
      <c r="A21" s="449"/>
      <c r="B21" s="93" t="s">
        <v>1297</v>
      </c>
      <c r="C21" s="678">
        <f ca="1">ROUND(C19*10000/L19,0)</f>
        <v>36954</v>
      </c>
      <c r="D21" s="679">
        <f ca="1">ROUND(D19*10000/L19,0)</f>
        <v>33669</v>
      </c>
      <c r="E21" s="449"/>
      <c r="F21" s="93" t="s">
        <v>1297</v>
      </c>
      <c r="G21" s="132">
        <f ca="1">ROUND(G19*10000/L19,0)</f>
        <v>35312</v>
      </c>
      <c r="H21" s="1633" t="s">
        <v>1296</v>
      </c>
      <c r="I21" s="121"/>
      <c r="J21" s="684">
        <v>20564</v>
      </c>
    </row>
    <row r="22" spans="1:36" ht="15" thickBot="1">
      <c r="A22" s="1563" t="s">
        <v>1298</v>
      </c>
      <c r="B22" s="1634"/>
      <c r="C22" s="1635"/>
      <c r="D22" s="680">
        <f ca="1">IF(C19&lt;D19,D19/C19-1,C19/D19-1)</f>
        <v>9.7589860793683814E-2</v>
      </c>
      <c r="E22" s="121"/>
      <c r="F22" s="121"/>
      <c r="G22" s="121"/>
      <c r="H22" s="121"/>
      <c r="I22" s="121"/>
    </row>
    <row r="23" spans="1:36" ht="13.5" thickBot="1">
      <c r="A23" s="646"/>
      <c r="B23" s="646"/>
      <c r="C23" s="646"/>
      <c r="D23" s="646"/>
      <c r="E23" s="121"/>
      <c r="F23" s="121"/>
      <c r="G23" s="121"/>
      <c r="H23" s="121"/>
      <c r="I23" s="121"/>
    </row>
    <row r="24" spans="1:36" ht="14.25">
      <c r="A24" s="3447" t="s">
        <v>1299</v>
      </c>
      <c r="B24" s="1630" t="s">
        <v>1291</v>
      </c>
      <c r="C24" s="128">
        <f>IF(B30=0,0,D30)</f>
        <v>0</v>
      </c>
      <c r="D24" s="1636"/>
      <c r="E24" s="121"/>
      <c r="F24" s="121"/>
      <c r="G24" s="121"/>
      <c r="H24" s="121"/>
      <c r="I24" s="121"/>
    </row>
    <row r="25" spans="1:36" ht="14.25">
      <c r="A25" s="344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50479</v>
      </c>
      <c r="D32" s="1640" t="s">
        <v>3980</v>
      </c>
      <c r="E32" s="121"/>
      <c r="F32" s="121"/>
      <c r="G32" s="121"/>
      <c r="H32" s="121"/>
      <c r="I32" s="121"/>
    </row>
    <row r="33" spans="1:15" ht="15">
      <c r="A33" s="740" t="s">
        <v>1306</v>
      </c>
      <c r="B33" s="123"/>
      <c r="C33" s="1641" t="s">
        <v>3979</v>
      </c>
      <c r="D33" s="1642" t="s">
        <v>3974</v>
      </c>
      <c r="E33" s="1643" t="s">
        <v>1307</v>
      </c>
      <c r="F33" s="1644" t="str">
        <f>IF(D32="楼面单价","取值（单价）","取值（总价）")</f>
        <v>取值（总价）</v>
      </c>
      <c r="G33" s="121"/>
      <c r="H33" s="121"/>
      <c r="I33" s="121"/>
    </row>
    <row r="34" spans="1:15" ht="15">
      <c r="A34" s="1645"/>
      <c r="B34" s="1646" t="s">
        <v>1308</v>
      </c>
      <c r="C34" s="140">
        <f ca="1">IF(C33="自定义",F34,C32-C35)</f>
        <v>34679</v>
      </c>
      <c r="D34" s="808">
        <f ca="1">IF(C33="自定义",ROUND(C34/C32,3),IF(C33="收益比率",SUMIF(INDIRECT("'"&amp;D33&amp;"'"&amp;"!b:b"),"土地收益比率",INDIRECT("'"&amp;D33&amp;"'"&amp;"!c:c")),SUMIF(INDIRECT("'"&amp;D33&amp;"'"&amp;"!b:b"),"土地成本比率",INDIRECT("'"&amp;D33&amp;"'"&amp;"!c:c"))))</f>
        <v>0.68700000000000006</v>
      </c>
      <c r="E34" s="1647" t="s">
        <v>1309</v>
      </c>
      <c r="F34" s="1242"/>
      <c r="G34" s="121"/>
      <c r="H34" s="121"/>
      <c r="I34" s="121"/>
    </row>
    <row r="35" spans="1:15" ht="15.75" thickBot="1">
      <c r="A35" s="1648"/>
      <c r="B35" s="1649" t="s">
        <v>1310</v>
      </c>
      <c r="C35" s="1090">
        <f ca="1">IF(C33="自定义",F35,ROUND(C32*D35,0))</f>
        <v>15800</v>
      </c>
      <c r="D35" s="1091">
        <f ca="1">IF(C33="自定义",ROUND(C35/C32,3),IF(C33="收益比率",SUMIF(INDIRECT("'"&amp;D33&amp;"'"&amp;"!b:b"),"建筑物收益比率",INDIRECT("'"&amp;D33&amp;"'"&amp;"!c:c")),SUMIF(INDIRECT("'"&amp;D33&amp;"'"&amp;"!b:b"),"建筑物成本比率",INDIRECT("'"&amp;D33&amp;"'"&amp;"!c:c"))))</f>
        <v>0.313</v>
      </c>
      <c r="E35" s="1650" t="s">
        <v>1311</v>
      </c>
      <c r="F35" s="146"/>
      <c r="G35" s="121"/>
      <c r="H35" s="121"/>
      <c r="I35" s="121"/>
    </row>
    <row r="36" spans="1:15" ht="15.75" thickBot="1">
      <c r="A36" s="3424" t="s">
        <v>1312</v>
      </c>
      <c r="B36" s="1651" t="s">
        <v>1313</v>
      </c>
      <c r="C36" s="137"/>
      <c r="D36" s="1652"/>
      <c r="E36" s="1566"/>
      <c r="F36" s="1653"/>
      <c r="G36" s="121"/>
      <c r="H36" s="121"/>
      <c r="I36" s="121"/>
    </row>
    <row r="37" spans="1:15" ht="15.75" thickBot="1">
      <c r="A37" s="3425"/>
      <c r="B37" s="1554" t="s">
        <v>1314</v>
      </c>
      <c r="C37" s="139"/>
      <c r="D37" s="1071"/>
      <c r="E37" s="1071"/>
      <c r="F37" s="1653"/>
      <c r="G37" s="121"/>
      <c r="H37" s="121"/>
      <c r="I37" s="121"/>
    </row>
    <row r="38" spans="1:15" ht="15.75" thickBot="1">
      <c r="A38" s="342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44" t="s">
        <v>1326</v>
      </c>
      <c r="B45" s="3445"/>
      <c r="C45" s="3446"/>
      <c r="D45" s="147">
        <f ca="1">ROUND(H101*F45,0)</f>
        <v>50479</v>
      </c>
      <c r="E45" s="148" t="s">
        <v>1327</v>
      </c>
      <c r="F45" s="149">
        <v>1</v>
      </c>
      <c r="G45" s="150" t="s">
        <v>1328</v>
      </c>
      <c r="H45" s="121"/>
      <c r="I45" s="121"/>
      <c r="J45" s="3364" t="s">
        <v>1329</v>
      </c>
      <c r="K45" s="3364"/>
      <c r="L45" s="3364"/>
      <c r="M45" s="3364"/>
      <c r="N45" s="3364"/>
      <c r="O45" s="3364"/>
    </row>
    <row r="46" spans="1:15" ht="14.25" customHeight="1">
      <c r="A46" s="3441" t="s">
        <v>1330</v>
      </c>
      <c r="B46" s="3442"/>
      <c r="C46" s="3442"/>
      <c r="D46" s="3442"/>
      <c r="E46" s="3442"/>
      <c r="F46" s="3442"/>
      <c r="G46" s="3443"/>
      <c r="H46" s="1667"/>
      <c r="I46" s="151"/>
      <c r="J46" s="2309">
        <v>1</v>
      </c>
      <c r="K46" s="3365" t="s">
        <v>1331</v>
      </c>
      <c r="L46" s="3365"/>
      <c r="M46" s="3366"/>
      <c r="N46" s="3366"/>
      <c r="O46" s="3366"/>
    </row>
    <row r="47" spans="1:15" ht="12" customHeight="1">
      <c r="A47" s="152" t="s">
        <v>1332</v>
      </c>
      <c r="B47" s="153"/>
      <c r="C47" s="154"/>
      <c r="D47" s="1024" t="s">
        <v>1333</v>
      </c>
      <c r="E47" s="294" t="s">
        <v>1334</v>
      </c>
      <c r="F47" s="155" t="s">
        <v>1335</v>
      </c>
      <c r="G47" s="2332" t="s">
        <v>1336</v>
      </c>
      <c r="H47" s="2333"/>
      <c r="I47" s="151"/>
      <c r="J47" s="2309">
        <v>2</v>
      </c>
      <c r="K47" s="3365" t="s">
        <v>1337</v>
      </c>
      <c r="L47" s="3365"/>
      <c r="M47" s="3367">
        <f>'数据-取费表'!B2</f>
        <v>45565</v>
      </c>
      <c r="N47" s="3367"/>
      <c r="O47" s="3367"/>
    </row>
    <row r="48" spans="1:15" ht="25.5">
      <c r="A48" s="3427" t="s">
        <v>1338</v>
      </c>
      <c r="B48" s="3428"/>
      <c r="C48" s="3428"/>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65" t="s">
        <v>1340</v>
      </c>
      <c r="L48" s="3365"/>
      <c r="M48" s="3368">
        <f ca="1">H101</f>
        <v>50479</v>
      </c>
      <c r="N48" s="3368"/>
      <c r="O48" s="3368"/>
    </row>
    <row r="49" spans="1:35" ht="25.5" customHeight="1">
      <c r="A49" s="2151" t="s">
        <v>1341</v>
      </c>
      <c r="B49" s="3413" t="s">
        <v>1342</v>
      </c>
      <c r="C49" s="3413"/>
      <c r="D49" s="1477">
        <v>0</v>
      </c>
      <c r="E49" s="316" t="s">
        <v>1343</v>
      </c>
      <c r="F49" s="2232" t="s">
        <v>28</v>
      </c>
      <c r="G49" s="3396"/>
      <c r="H49" s="2133" t="s">
        <v>2132</v>
      </c>
      <c r="I49" s="2134"/>
      <c r="J49" s="2309">
        <v>4</v>
      </c>
      <c r="K49" s="3365" t="str">
        <f>IF(项目基本情况!E8="房地产抵押价值","房地产抵押价值","抵押担保权已注销时的房地产抵押价值")</f>
        <v>房地产抵押价值</v>
      </c>
      <c r="L49" s="3365"/>
      <c r="M49" s="3368">
        <f ca="1">IF(项目基本情况!E8="房地产抵押价值",H107,H109)</f>
        <v>50479</v>
      </c>
      <c r="N49" s="3368"/>
      <c r="O49" s="3368"/>
    </row>
    <row r="50" spans="1:35" ht="25.5" customHeight="1">
      <c r="A50" s="2337"/>
      <c r="B50" s="3413" t="s">
        <v>1344</v>
      </c>
      <c r="C50" s="3413"/>
      <c r="D50" s="2188"/>
      <c r="E50" s="323"/>
      <c r="F50" s="2232"/>
      <c r="G50" s="3397"/>
      <c r="H50" s="2135" t="s">
        <v>2133</v>
      </c>
      <c r="I50" s="2134"/>
      <c r="J50" s="3364" t="s">
        <v>1345</v>
      </c>
      <c r="K50" s="3364"/>
      <c r="L50" s="3364"/>
      <c r="M50" s="3364"/>
      <c r="N50" s="3364"/>
      <c r="O50" s="3364"/>
    </row>
    <row r="51" spans="1:35" ht="20.45" customHeight="1">
      <c r="A51" s="2338"/>
      <c r="B51" s="3413" t="s">
        <v>1346</v>
      </c>
      <c r="C51" s="3413"/>
      <c r="D51" s="1024"/>
      <c r="E51" s="319"/>
      <c r="F51" s="2232"/>
      <c r="G51" s="3398"/>
      <c r="H51" s="2135" t="s">
        <v>2134</v>
      </c>
      <c r="I51" s="2134"/>
      <c r="J51" s="2310" t="s">
        <v>1347</v>
      </c>
      <c r="K51" s="3365" t="s">
        <v>1348</v>
      </c>
      <c r="L51" s="3365"/>
      <c r="M51" s="2310" t="s">
        <v>1349</v>
      </c>
      <c r="N51" s="2310" t="s">
        <v>1350</v>
      </c>
      <c r="O51" s="2310" t="s">
        <v>1351</v>
      </c>
    </row>
    <row r="52" spans="1:35" ht="24" customHeight="1">
      <c r="A52" s="2152" t="s">
        <v>1352</v>
      </c>
      <c r="B52" s="3413" t="s">
        <v>1353</v>
      </c>
      <c r="C52" s="3413"/>
      <c r="D52" s="1024">
        <f ca="1">ROUND(D45*'数据-取费表'!B41/(1+'数据-取费表'!C42),0)</f>
        <v>2644</v>
      </c>
      <c r="E52" s="1255" t="s">
        <v>1354</v>
      </c>
      <c r="F52" s="2339">
        <f>'数据-取费表'!B41</f>
        <v>5.5000000000000007E-2</v>
      </c>
      <c r="G52" s="2340"/>
      <c r="H52" s="2330"/>
      <c r="I52" s="1668"/>
      <c r="J52" s="2309">
        <v>1</v>
      </c>
      <c r="K52" s="3390" t="s">
        <v>1355</v>
      </c>
      <c r="L52" s="3390"/>
      <c r="M52" s="2311" t="b">
        <f>D48</f>
        <v>0</v>
      </c>
      <c r="N52" s="2309" t="str">
        <f>E48</f>
        <v>销售额×税（费）率</v>
      </c>
      <c r="O52" s="2312">
        <f>F48</f>
        <v>5.5000000000000007E-2</v>
      </c>
    </row>
    <row r="53" spans="1:35" ht="12" customHeight="1">
      <c r="A53" s="2152" t="s">
        <v>1356</v>
      </c>
      <c r="B53" s="3414" t="s">
        <v>2289</v>
      </c>
      <c r="C53" s="3415"/>
      <c r="D53" s="1024">
        <f ca="1">ROUND(D45*'数据-取费表'!B41/(1+'数据-取费表'!C42),0)</f>
        <v>2644</v>
      </c>
      <c r="E53" s="1255" t="s">
        <v>1354</v>
      </c>
      <c r="F53" s="2339">
        <f>'数据-取费表'!B41</f>
        <v>5.5000000000000007E-2</v>
      </c>
      <c r="G53" s="2340"/>
      <c r="H53" s="2330"/>
      <c r="I53" s="1668"/>
      <c r="J53" s="2309">
        <v>2</v>
      </c>
      <c r="K53" s="3390" t="s">
        <v>1357</v>
      </c>
      <c r="L53" s="3390"/>
      <c r="M53" s="2311">
        <f t="shared" ref="M53:O54" ca="1" si="0">D55</f>
        <v>25</v>
      </c>
      <c r="N53" s="2309" t="str">
        <f t="shared" si="0"/>
        <v>销售额×税（费）率</v>
      </c>
      <c r="O53" s="2312" t="str">
        <f t="shared" si="0"/>
        <v>免征</v>
      </c>
    </row>
    <row r="54" spans="1:35" ht="12" customHeight="1">
      <c r="A54" s="2152" t="s">
        <v>1358</v>
      </c>
      <c r="B54" s="3414" t="s">
        <v>2290</v>
      </c>
      <c r="C54" s="3415"/>
      <c r="D54" s="1024">
        <f ca="1">C68</f>
        <v>2644</v>
      </c>
      <c r="E54" s="319" t="s">
        <v>1359</v>
      </c>
      <c r="F54" s="2339">
        <f>'数据-取费表'!B41</f>
        <v>5.5000000000000007E-2</v>
      </c>
      <c r="G54" s="2340"/>
      <c r="H54" s="2341"/>
      <c r="I54" s="1668"/>
      <c r="J54" s="2309">
        <v>3</v>
      </c>
      <c r="K54" s="3390" t="s">
        <v>1360</v>
      </c>
      <c r="L54" s="3390"/>
      <c r="M54" s="2311">
        <f t="shared" ca="1" si="0"/>
        <v>28617</v>
      </c>
      <c r="N54" s="2309" t="str">
        <f t="shared" si="0"/>
        <v>增值额×税（费）率</v>
      </c>
      <c r="O54" s="2313" t="str">
        <f t="shared" si="0"/>
        <v>免征</v>
      </c>
    </row>
    <row r="55" spans="1:35" ht="24" customHeight="1">
      <c r="A55" s="3450" t="s">
        <v>1361</v>
      </c>
      <c r="B55" s="3428"/>
      <c r="C55" s="3428"/>
      <c r="D55" s="12">
        <f ca="1">IF(H55="个人住宅",0,ROUND(D45*I55,0))</f>
        <v>25</v>
      </c>
      <c r="E55" s="1255" t="s">
        <v>1362</v>
      </c>
      <c r="F55" s="2339" t="str">
        <f>IF(H55="正常",I55,"免征")</f>
        <v>免征</v>
      </c>
      <c r="G55" s="2340"/>
      <c r="H55" s="2336"/>
      <c r="I55" s="157">
        <f>'数据-取费表'!B49</f>
        <v>5.0000000000000001E-4</v>
      </c>
      <c r="J55" s="2309">
        <f>IF(H59="非个人房产","",4)</f>
        <v>4</v>
      </c>
      <c r="K55" s="3390" t="str">
        <f>IF(H59="非个人房产","——","个人所得税")</f>
        <v>个人所得税</v>
      </c>
      <c r="L55" s="3390"/>
      <c r="M55" s="2314">
        <f ca="1">D59</f>
        <v>481</v>
      </c>
      <c r="N55" s="1882" t="str">
        <f>E59</f>
        <v>差额计税</v>
      </c>
      <c r="O55" s="2315">
        <f>F59</f>
        <v>0.01</v>
      </c>
    </row>
    <row r="56" spans="1:35" ht="24.75">
      <c r="A56" s="3450" t="s">
        <v>1363</v>
      </c>
      <c r="B56" s="3428"/>
      <c r="C56" s="3428"/>
      <c r="D56" s="12">
        <f ca="1">IF(H56="个人住宅",D57,D58)</f>
        <v>28617</v>
      </c>
      <c r="E56" s="1255" t="s">
        <v>1364</v>
      </c>
      <c r="F56" s="2339" t="str">
        <f>IF(H56="正常",F58,"免征")</f>
        <v>免征</v>
      </c>
      <c r="G56" s="2342" t="s">
        <v>1365</v>
      </c>
      <c r="H56" s="2343"/>
      <c r="I56" s="1669"/>
      <c r="J56" s="2309" t="str">
        <f>IF(项目基本情况!K6="上海银行",IF(J55="",4,J55+1),"")</f>
        <v/>
      </c>
      <c r="K56" s="3371" t="str">
        <f>IF(项目基本情况!K6="上海银行","其他处置费用","")</f>
        <v/>
      </c>
      <c r="L56" s="3372"/>
      <c r="M56" s="2311" t="str">
        <f>IF(项目基本情况!K6="上海银行",M69,"")</f>
        <v/>
      </c>
      <c r="N56" s="3371" t="str">
        <f>IF(项目基本情况!K6="上海银行","包含处置中涉及的律师、诉讼、拍卖、评估等费用","")</f>
        <v/>
      </c>
      <c r="O56" s="3374"/>
    </row>
    <row r="57" spans="1:35" ht="12.75">
      <c r="A57" s="2152" t="s">
        <v>1341</v>
      </c>
      <c r="B57" s="3414" t="s">
        <v>1366</v>
      </c>
      <c r="C57" s="3415"/>
      <c r="D57" s="1477">
        <v>0</v>
      </c>
      <c r="E57" s="316" t="s">
        <v>1343</v>
      </c>
      <c r="F57" s="294"/>
      <c r="G57" s="2340"/>
      <c r="H57" s="2344"/>
      <c r="I57" s="1669"/>
      <c r="J57" s="3390">
        <f>IF(AND(J55="",J56=""),4,IF(项目基本情况!K6="上海银行",结果表!J56+1,结果表!J55+1))</f>
        <v>5</v>
      </c>
      <c r="K57" s="3390" t="s">
        <v>1367</v>
      </c>
      <c r="L57" s="2316" t="s">
        <v>1368</v>
      </c>
      <c r="M57" s="2317"/>
      <c r="N57" s="2318">
        <f ca="1">SUMIF(M52:M56,"&lt;9e307")</f>
        <v>29123</v>
      </c>
      <c r="O57" s="2319"/>
      <c r="P57" s="2464">
        <f ca="1">N57/M49</f>
        <v>0.57693298203213217</v>
      </c>
    </row>
    <row r="58" spans="1:35" ht="24.75">
      <c r="A58" s="2152" t="s">
        <v>1352</v>
      </c>
      <c r="B58" s="3414" t="s">
        <v>1369</v>
      </c>
      <c r="C58" s="3413"/>
      <c r="D58" s="12">
        <f ca="1">IF(H58="转让取得",C81,C97)</f>
        <v>28617</v>
      </c>
      <c r="E58" s="1255" t="s">
        <v>1364</v>
      </c>
      <c r="F58" s="294" t="s">
        <v>28</v>
      </c>
      <c r="G58" s="2340"/>
      <c r="H58" s="2343"/>
      <c r="I58" s="1669"/>
      <c r="J58" s="3390"/>
      <c r="K58" s="3390"/>
      <c r="L58" s="2316" t="s">
        <v>1370</v>
      </c>
      <c r="M58" s="2320"/>
      <c r="N58" s="2321" t="str">
        <f ca="1">NUMBERSTRING(INT(N57*10000),2)&amp;"元整"</f>
        <v>贰亿玖仟壹佰贰拾叁万元整</v>
      </c>
      <c r="O58" s="2322"/>
    </row>
    <row r="59" spans="1:35" ht="24.75" thickBot="1">
      <c r="A59" s="3394" t="s">
        <v>1371</v>
      </c>
      <c r="B59" s="3395"/>
      <c r="C59" s="3395"/>
      <c r="D59" s="2345">
        <f ca="1">IF(H59="非个人房产","——",IF(H59="个人住宅（满五唯一有凭证）",0,IF(H59="个人其他（无凭证）",ROUND(D45*F59,0),ROUND(C67*F59,0))))</f>
        <v>481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2135</v>
      </c>
      <c r="J59" s="3392">
        <f>J57+1</f>
        <v>6</v>
      </c>
      <c r="K59" s="3390" t="s">
        <v>1372</v>
      </c>
      <c r="L59" s="2309" t="s">
        <v>1368</v>
      </c>
      <c r="M59" s="2323"/>
      <c r="N59" s="2324">
        <f ca="1">M49-N57</f>
        <v>21356</v>
      </c>
      <c r="O59" s="2325"/>
    </row>
    <row r="60" spans="1:35" ht="12" customHeight="1">
      <c r="A60" s="1670"/>
      <c r="B60" s="646"/>
      <c r="C60" s="646"/>
      <c r="D60" s="646"/>
      <c r="E60" s="1465"/>
      <c r="F60" s="1669"/>
      <c r="G60" s="1669"/>
      <c r="H60" s="151"/>
      <c r="I60" s="121"/>
      <c r="J60" s="3393"/>
      <c r="K60" s="3390"/>
      <c r="L60" s="2316" t="s">
        <v>1370</v>
      </c>
      <c r="M60" s="2320"/>
      <c r="N60" s="2321" t="str">
        <f ca="1">NUMBERSTRING(INT(N59*10000),2)&amp;"元整"</f>
        <v>贰亿壹仟叁佰伍拾陆万元整</v>
      </c>
      <c r="O60" s="2322"/>
    </row>
    <row r="61" spans="1:35" ht="13.5" thickBot="1">
      <c r="A61" s="3449" t="s">
        <v>1373</v>
      </c>
      <c r="B61" s="3449"/>
      <c r="C61" s="3449"/>
      <c r="D61" s="3449"/>
      <c r="E61" s="3449"/>
      <c r="F61" s="1669"/>
      <c r="G61" s="1669"/>
      <c r="H61" s="151"/>
      <c r="I61" s="121"/>
      <c r="J61" s="2309">
        <f>J59+1</f>
        <v>7</v>
      </c>
      <c r="K61" s="3390" t="s">
        <v>1374</v>
      </c>
      <c r="L61" s="3390"/>
      <c r="M61" s="2326"/>
      <c r="N61" s="2327">
        <f ca="1">ROUND(N59*10000/'数据-汇总表'!E3,0)</f>
        <v>5879</v>
      </c>
      <c r="O61" s="2328"/>
    </row>
    <row r="62" spans="1:35" ht="12.75">
      <c r="A62" s="3409" t="s">
        <v>1375</v>
      </c>
      <c r="B62" s="3410"/>
      <c r="C62" s="1864"/>
      <c r="D62" s="1864" t="s">
        <v>1376</v>
      </c>
      <c r="E62" s="158" t="s">
        <v>1377</v>
      </c>
      <c r="F62" s="1669"/>
      <c r="G62" s="1669"/>
      <c r="H62" s="151"/>
      <c r="I62" s="121"/>
    </row>
    <row r="63" spans="1:35" ht="12.75">
      <c r="A63" s="165" t="s">
        <v>330</v>
      </c>
      <c r="B63" s="159" t="s">
        <v>1378</v>
      </c>
      <c r="C63" s="2349">
        <f ca="1">ROUND((C64+C65)/(1+'数据-取费表'!C42),0)</f>
        <v>48075</v>
      </c>
      <c r="D63" s="159"/>
      <c r="E63" s="160"/>
      <c r="F63" s="1669"/>
      <c r="G63" s="1669"/>
      <c r="H63" s="151"/>
      <c r="I63" s="121"/>
      <c r="J63" s="3373" t="s">
        <v>1379</v>
      </c>
      <c r="K63" s="1244" t="s">
        <v>1380</v>
      </c>
      <c r="L63" s="1244">
        <f ca="1">IF(M49&gt;10000,M49*0.5%,IF(AND(M49&gt;1000,M49&lt;=10000),M49*1%,IF(AND(M49&gt;100,M49&lt;=1000),M49*3%,IF(AND(M49&gt;10,M49&lt;=100),M49*5%,M49*8%))))</f>
        <v>252.39500000000001</v>
      </c>
      <c r="M63" s="294">
        <f ca="1">ROUND(L63,1)</f>
        <v>252.4</v>
      </c>
      <c r="N63" s="2329"/>
      <c r="Z63" s="1622"/>
      <c r="AI63" s="1560"/>
    </row>
    <row r="64" spans="1:35" ht="14.25" customHeight="1">
      <c r="A64" s="161" t="s">
        <v>325</v>
      </c>
      <c r="B64" s="162" t="s">
        <v>1381</v>
      </c>
      <c r="C64" s="2350">
        <f ca="1">D45</f>
        <v>50479</v>
      </c>
      <c r="D64" s="162" t="s">
        <v>26</v>
      </c>
      <c r="E64" s="164"/>
      <c r="F64" s="1669"/>
      <c r="G64" s="1669"/>
      <c r="H64" s="151"/>
      <c r="I64" s="121"/>
      <c r="J64" s="3373"/>
      <c r="K64" s="1244" t="s">
        <v>1382</v>
      </c>
      <c r="L64" s="1244">
        <f ca="1">IF(M49&gt;2000,M49*0.5%,IF(AND(M49&gt;1000,M49&lt;=2000),M49*0.6%,IF(AND(M49&gt;500,M49&lt;=1000),M49*0.7%,IF(AND(M49&gt;200,M49&lt;=500),M49*0.8%,IF(AND(M49&gt;100,M49&lt;=200),M49*0.9%,IF(AND(M49&gt;50,M49&lt;=100),M49*1%,IF(AND(M49&gt;20,M49&lt;=50),M49*1.5%,IF(AND(M49&gt;10,M49&lt;=20),M49*2%,IF(AND(M49&gt;1,M49&lt;=10),M49*2.5%)))))))))</f>
        <v>252.39500000000001</v>
      </c>
      <c r="M64" s="294">
        <f t="shared" ref="M64:M65" ca="1" si="1">ROUND(L64,1)</f>
        <v>252.4</v>
      </c>
      <c r="N64" s="2330" t="s">
        <v>1383</v>
      </c>
      <c r="Z64" s="1622"/>
      <c r="AI64" s="1560"/>
    </row>
    <row r="65" spans="1:35" ht="14.25" customHeight="1">
      <c r="A65" s="161" t="s">
        <v>326</v>
      </c>
      <c r="B65" s="162" t="s">
        <v>1384</v>
      </c>
      <c r="C65" s="2351"/>
      <c r="D65" s="162"/>
      <c r="E65" s="164"/>
      <c r="F65" s="1669"/>
      <c r="G65" s="1669"/>
      <c r="H65" s="151"/>
      <c r="I65" s="121"/>
      <c r="J65" s="3373"/>
      <c r="K65" s="1244" t="s">
        <v>1385</v>
      </c>
      <c r="L65" s="1244">
        <f ca="1">IF(M49&gt;1000,M49*0.1%,IF(AND(M49&gt;500,M49&lt;=1000),M49*0.5%,IF(AND(M49&gt;50,M49&lt;=500),M49*1%,IF(AND(M49&gt;1,M49&lt;=50),M49*1.5%))))</f>
        <v>50.478999999999999</v>
      </c>
      <c r="M65" s="294">
        <f t="shared" ca="1" si="1"/>
        <v>50.5</v>
      </c>
      <c r="N65" s="2330" t="s">
        <v>1383</v>
      </c>
      <c r="Z65" s="1622"/>
      <c r="AI65" s="1560"/>
    </row>
    <row r="66" spans="1:35" ht="14.25" customHeight="1">
      <c r="A66" s="165" t="s">
        <v>327</v>
      </c>
      <c r="B66" s="166" t="s">
        <v>1386</v>
      </c>
      <c r="C66" s="2352"/>
      <c r="D66" s="166" t="s">
        <v>26</v>
      </c>
      <c r="E66" s="1250" t="s">
        <v>671</v>
      </c>
      <c r="F66" s="1669"/>
      <c r="G66" s="1669"/>
      <c r="H66" s="151"/>
      <c r="I66" s="121"/>
      <c r="J66" s="3373"/>
      <c r="K66" s="1244" t="s">
        <v>1387</v>
      </c>
      <c r="L66" s="1244">
        <f ca="1">M49*0.5%</f>
        <v>252.39500000000001</v>
      </c>
      <c r="M66" s="294">
        <f ca="1">IF(L66&gt;0.5,0.5,ROUND(L66,0))</f>
        <v>0.5</v>
      </c>
      <c r="N66" s="2330" t="s">
        <v>1388</v>
      </c>
      <c r="Z66" s="1622"/>
      <c r="AI66" s="1560"/>
    </row>
    <row r="67" spans="1:35" ht="14.25" customHeight="1">
      <c r="A67" s="165" t="s">
        <v>328</v>
      </c>
      <c r="B67" s="166" t="s">
        <v>1389</v>
      </c>
      <c r="C67" s="2353">
        <f ca="1">C63-C66</f>
        <v>48075</v>
      </c>
      <c r="D67" s="162" t="s">
        <v>26</v>
      </c>
      <c r="E67" s="164"/>
      <c r="F67" s="1669"/>
      <c r="G67" s="1669"/>
      <c r="H67" s="151"/>
      <c r="I67" s="121"/>
      <c r="J67" s="3373"/>
      <c r="K67" s="1244" t="s">
        <v>1390</v>
      </c>
      <c r="L67" s="1244">
        <f ca="1">IF(M49&gt;=10000,(8.25+(M49-10000)*0.01%),IF(AND(M49&gt;=8000,M49&lt;10000),(7.85+(M49-8000)*0.02%),IF(AND(M49&gt;=5000,M49&lt;8000),(6.65+(M49-5000)*0.04%),IF(AND(M49&gt;=2000,M49&lt;5000),(4.25+(PM49-2000)*0.08%),IF(AND(M49&gt;=1000,M49&lt;2000),(2.75+(M49-1000)*0.15%),IF(AND(M49&gt;=100,M49&lt;1000),(0.5+(M49-100)*0.25%),IF(AND(M49&gt;0,M49&lt;100),M49*0.5%)))))))</f>
        <v>12.2979</v>
      </c>
      <c r="M67" s="294">
        <f ca="1">ROUND(L67*0.9,1)</f>
        <v>11.1</v>
      </c>
      <c r="N67" s="2329"/>
      <c r="Z67" s="1622"/>
      <c r="AI67" s="1560"/>
    </row>
    <row r="68" spans="1:35" ht="14.25" customHeight="1" thickBot="1">
      <c r="A68" s="168" t="s">
        <v>329</v>
      </c>
      <c r="B68" s="169" t="s">
        <v>1391</v>
      </c>
      <c r="C68" s="2354">
        <f ca="1">IF(C67&lt;=0,0,ROUND(C67*D68,0))</f>
        <v>2644</v>
      </c>
      <c r="D68" s="2355">
        <f>'数据-取费表'!B41</f>
        <v>5.5000000000000007E-2</v>
      </c>
      <c r="E68" s="170"/>
      <c r="F68" s="1669"/>
      <c r="G68" s="1669"/>
      <c r="H68" s="151"/>
      <c r="I68" s="121"/>
      <c r="J68" s="3373"/>
      <c r="K68" s="1244" t="s">
        <v>1392</v>
      </c>
      <c r="L68" s="1244">
        <f ca="1">IF(M49&gt;10000,M49*0.5%,IF(AND(M49&gt;5000,M49&lt;=10000),M49*1%,IF(AND(M49&gt;1000,M49&lt;=5000),M49*2%,IF(AND(M49&gt;200,M49&lt;=1000),M49*3%,M49*5%))))</f>
        <v>252.39500000000001</v>
      </c>
      <c r="M68" s="294">
        <f ca="1">ROUND(L68,1)</f>
        <v>252.4</v>
      </c>
      <c r="N68" s="2329"/>
      <c r="Z68" s="1622"/>
      <c r="AI68" s="1560"/>
    </row>
    <row r="69" spans="1:35" ht="16.5" customHeight="1">
      <c r="A69" s="1671"/>
      <c r="B69" s="1672"/>
      <c r="C69" s="1673"/>
      <c r="D69" s="1674"/>
      <c r="E69" s="1675"/>
      <c r="F69" s="1465"/>
      <c r="G69" s="1465"/>
      <c r="H69" s="1466"/>
      <c r="I69" s="646"/>
      <c r="J69" s="3373"/>
      <c r="K69" s="1244" t="s">
        <v>1393</v>
      </c>
      <c r="L69" s="1244"/>
      <c r="M69" s="294">
        <f ca="1">ROUND(SUM(M63:M68),0)</f>
        <v>819</v>
      </c>
      <c r="N69" s="2331">
        <f ca="1">M69/M49</f>
        <v>1.6224568632500644E-2</v>
      </c>
      <c r="Z69" s="1622"/>
      <c r="AI69" s="1560"/>
    </row>
    <row r="70" spans="1:35" s="642" customFormat="1" ht="15" thickBot="1">
      <c r="A70" s="3417" t="s">
        <v>1394</v>
      </c>
      <c r="B70" s="3418"/>
      <c r="C70" s="3418"/>
      <c r="D70" s="3418"/>
      <c r="E70" s="3418"/>
      <c r="F70" s="3418"/>
      <c r="G70" s="3418"/>
      <c r="H70" s="341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09" t="s">
        <v>1375</v>
      </c>
      <c r="B71" s="341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48075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240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414" t="s">
        <v>1402</v>
      </c>
      <c r="F76" s="3413"/>
      <c r="G76" s="3413"/>
      <c r="H76" s="34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240</v>
      </c>
      <c r="D78" s="2362">
        <f>'数据-取费表'!B43</f>
        <v>5.000000000000001E-3</v>
      </c>
      <c r="E78" s="3406" t="s">
        <v>1406</v>
      </c>
      <c r="F78" s="3407"/>
      <c r="G78" s="3407"/>
      <c r="H78" s="340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47835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199.3125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28617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17" t="s">
        <v>1410</v>
      </c>
      <c r="B83" s="3418"/>
      <c r="C83" s="3418"/>
      <c r="D83" s="3418"/>
      <c r="E83" s="3418"/>
      <c r="F83" s="3418"/>
      <c r="G83" s="3418"/>
      <c r="H83" s="34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09" t="s">
        <v>1375</v>
      </c>
      <c r="B84" s="341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48075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240</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75" t="s">
        <v>2127</v>
      </c>
      <c r="H90" s="3376"/>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406" t="s">
        <v>1419</v>
      </c>
      <c r="F91" s="3407"/>
      <c r="G91" s="340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406" t="s">
        <v>1422</v>
      </c>
      <c r="F92" s="3407"/>
      <c r="G92" s="3407"/>
      <c r="H92" s="3408"/>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240</v>
      </c>
      <c r="D93" s="2362">
        <f>'数据-取费表'!B43</f>
        <v>5.000000000000001E-3</v>
      </c>
      <c r="E93" s="3406" t="s">
        <v>1406</v>
      </c>
      <c r="F93" s="3407"/>
      <c r="G93" s="3407"/>
      <c r="H93" s="340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451" t="s">
        <v>1426</v>
      </c>
      <c r="F94" s="3452"/>
      <c r="G94" s="3452"/>
      <c r="H94" s="345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47835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199.3125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28617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56" t="s">
        <v>1428</v>
      </c>
      <c r="B100" s="3357"/>
      <c r="C100" s="3357"/>
      <c r="D100" s="3391"/>
      <c r="E100" s="3357" t="s">
        <v>1429</v>
      </c>
      <c r="F100" s="3357"/>
      <c r="G100" s="3357"/>
      <c r="H100" s="3391"/>
      <c r="I100" s="121"/>
    </row>
    <row r="101" spans="1:35" ht="18.75" customHeight="1">
      <c r="A101" s="3399" t="s">
        <v>1430</v>
      </c>
      <c r="B101" s="3400"/>
      <c r="C101" s="2370" t="str">
        <f>C4</f>
        <v>成本法</v>
      </c>
      <c r="D101" s="2371" t="str">
        <f>D4</f>
        <v>假设开发法</v>
      </c>
      <c r="E101" s="3369" t="s">
        <v>1431</v>
      </c>
      <c r="F101" s="3370"/>
      <c r="G101" s="1686" t="s">
        <v>1432</v>
      </c>
      <c r="H101" s="2380">
        <f ca="1">H118</f>
        <v>50479</v>
      </c>
      <c r="I101" s="121"/>
    </row>
    <row r="102" spans="1:35" ht="18.75" customHeight="1">
      <c r="A102" s="3401" t="s">
        <v>1433</v>
      </c>
      <c r="B102" s="2369" t="s">
        <v>1432</v>
      </c>
      <c r="C102" s="2370">
        <f ca="1">IF(D32="楼面单价",ROUND(C19,0),C19)</f>
        <v>52827</v>
      </c>
      <c r="D102" s="2371">
        <f ca="1">IF(D32="楼面单价",ROUND(D19,0),D19)</f>
        <v>48130</v>
      </c>
      <c r="E102" s="3369"/>
      <c r="F102" s="3370"/>
      <c r="G102" s="1686" t="s">
        <v>1434</v>
      </c>
      <c r="H102" s="2340">
        <f ca="1">I118</f>
        <v>13897</v>
      </c>
      <c r="I102" s="121"/>
    </row>
    <row r="103" spans="1:35" ht="42.75" customHeight="1">
      <c r="A103" s="3401"/>
      <c r="B103" s="2369" t="s">
        <v>1434</v>
      </c>
      <c r="C103" s="2372">
        <f ca="1">C20</f>
        <v>14543</v>
      </c>
      <c r="D103" s="2373">
        <f ca="1">D20</f>
        <v>13250</v>
      </c>
      <c r="E103" s="3362" t="s">
        <v>1435</v>
      </c>
      <c r="F103" s="3363"/>
      <c r="G103" s="1687" t="s">
        <v>1436</v>
      </c>
      <c r="H103" s="2380">
        <f>IF(D36="正常操作",H104+H105+H106,H105+H106)</f>
        <v>0</v>
      </c>
      <c r="I103" s="121"/>
    </row>
    <row r="104" spans="1:35" ht="18.75" customHeight="1">
      <c r="A104" s="3401" t="s">
        <v>1437</v>
      </c>
      <c r="B104" s="2374" t="s">
        <v>1432</v>
      </c>
      <c r="C104" s="2375">
        <f ca="1">H118</f>
        <v>50479</v>
      </c>
      <c r="D104" s="2376"/>
      <c r="E104" s="1554" t="s">
        <v>1438</v>
      </c>
      <c r="F104" s="1547"/>
      <c r="G104" s="1687" t="s">
        <v>1436</v>
      </c>
      <c r="H104" s="2381">
        <f>IF(D36="同一抵押权人同一抵押物续贷",C36&amp;"（续贷，未扣减，详见特别提示）",C36)</f>
        <v>0</v>
      </c>
      <c r="I104" s="121"/>
    </row>
    <row r="105" spans="1:35" ht="18.75" customHeight="1" thickBot="1">
      <c r="A105" s="3411"/>
      <c r="B105" s="2377" t="s">
        <v>1434</v>
      </c>
      <c r="C105" s="2378">
        <f ca="1">I118</f>
        <v>13897</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402" t="str">
        <f>IF(项目基本情况!E8="已注销","——","3.房地产抵押价值")</f>
        <v>3.房地产抵押价值</v>
      </c>
      <c r="F107" s="3370"/>
      <c r="G107" s="1686" t="s">
        <v>1432</v>
      </c>
      <c r="H107" s="2380">
        <f ca="1">IF(E107="——","——",H101-H103)</f>
        <v>50479</v>
      </c>
      <c r="I107" s="121"/>
    </row>
    <row r="108" spans="1:35" ht="18.75" customHeight="1">
      <c r="A108" s="121"/>
      <c r="B108" s="121"/>
      <c r="C108" s="121"/>
      <c r="D108" s="121"/>
      <c r="E108" s="3402"/>
      <c r="F108" s="3370"/>
      <c r="G108" s="1686" t="s">
        <v>1434</v>
      </c>
      <c r="H108" s="2340">
        <f ca="1">IF(H107=H101,H102,ROUND(H107*10000/'数据-汇总表'!E3,0))</f>
        <v>13897</v>
      </c>
      <c r="I108" s="121"/>
    </row>
    <row r="109" spans="1:35" ht="18.75" customHeight="1">
      <c r="A109" s="121"/>
      <c r="B109" s="121"/>
      <c r="C109" s="121"/>
      <c r="D109" s="121"/>
      <c r="E109" s="3402" t="str">
        <f>IF(项目基本情况!E8="已注销及未注销","4.抵押担保权已注销时的房地产抵押价值",IF(项目基本情况!E8="已注销","3.抵押担保权已注销时的房地产抵押价值","——"))</f>
        <v>——</v>
      </c>
      <c r="F109" s="3370"/>
      <c r="G109" s="1686" t="s">
        <v>1432</v>
      </c>
      <c r="H109" s="2383" t="str">
        <f>IF(E109="——","——",H101-H105-H106)</f>
        <v>——</v>
      </c>
      <c r="I109" s="121"/>
    </row>
    <row r="110" spans="1:35" ht="18.75" customHeight="1">
      <c r="A110" s="121"/>
      <c r="B110" s="121"/>
      <c r="C110" s="121"/>
      <c r="D110" s="121"/>
      <c r="E110" s="3402"/>
      <c r="F110" s="3370"/>
      <c r="G110" s="1686" t="s">
        <v>1434</v>
      </c>
      <c r="H110" s="2340" t="str">
        <f>IF(H109="——","——",ROUND(H109*10000/'数据-汇总表'!E3,0))</f>
        <v>——</v>
      </c>
      <c r="I110" s="121"/>
    </row>
    <row r="111" spans="1:35" ht="18.75" customHeight="1">
      <c r="A111" s="121"/>
      <c r="B111" s="121"/>
      <c r="C111" s="121"/>
      <c r="D111" s="121"/>
      <c r="E111" s="3403" t="str">
        <f>IF(项目基本情况!E9="抵押净值",IF(OR(项目基本情况!E8="已注销",项目基本情况!E8="房地产抵押价值"),"4.抵押净值","5.抵押净值"),"——")</f>
        <v>——</v>
      </c>
      <c r="F111" s="3389"/>
      <c r="G111" s="1686" t="s">
        <v>1432</v>
      </c>
      <c r="H111" s="2380" t="str">
        <f>IF(E111="——","——",N59)</f>
        <v>——</v>
      </c>
      <c r="I111" s="121"/>
    </row>
    <row r="112" spans="1:35" ht="18.75" customHeight="1" thickBot="1">
      <c r="A112" s="121"/>
      <c r="B112" s="121"/>
      <c r="C112" s="121"/>
      <c r="D112" s="121"/>
      <c r="E112" s="3404"/>
      <c r="F112" s="3405"/>
      <c r="G112" s="1689" t="s">
        <v>1434</v>
      </c>
      <c r="H112" s="2384" t="str">
        <f>IF(E111="——","——",N61)</f>
        <v>——</v>
      </c>
      <c r="I112" s="121"/>
    </row>
    <row r="113" spans="1:27" ht="18.75" customHeight="1">
      <c r="A113" s="121"/>
      <c r="B113" s="121"/>
      <c r="C113" s="121"/>
      <c r="D113" s="121"/>
      <c r="E113" s="3412" t="s">
        <v>1440</v>
      </c>
      <c r="F113" s="3412"/>
      <c r="G113" s="3412"/>
      <c r="H113" s="3412"/>
      <c r="I113" s="121"/>
    </row>
    <row r="114" spans="1:27" ht="3.75" customHeight="1">
      <c r="A114" s="646"/>
      <c r="B114" s="646"/>
      <c r="C114" s="646"/>
      <c r="D114" s="646"/>
      <c r="E114" s="1670"/>
      <c r="F114" s="1670"/>
      <c r="G114" s="1670"/>
      <c r="H114" s="1670"/>
      <c r="I114" s="646"/>
    </row>
    <row r="115" spans="1:27" ht="18.75" customHeight="1">
      <c r="A115" s="3420" t="s">
        <v>1442</v>
      </c>
      <c r="B115" s="3421"/>
      <c r="C115" s="3421"/>
      <c r="D115" s="3421"/>
      <c r="E115" s="3421"/>
      <c r="F115" s="3421"/>
      <c r="G115" s="3421"/>
      <c r="H115" s="3421"/>
      <c r="I115" s="3422"/>
    </row>
    <row r="116" spans="1:27" ht="27" customHeight="1">
      <c r="A116" s="3377" t="s">
        <v>1443</v>
      </c>
      <c r="B116" s="3381" t="s">
        <v>3981</v>
      </c>
      <c r="C116" s="3381" t="s">
        <v>3982</v>
      </c>
      <c r="D116" s="3387" t="s">
        <v>1444</v>
      </c>
      <c r="E116" s="3388"/>
      <c r="F116" s="3419" t="s">
        <v>1445</v>
      </c>
      <c r="G116" s="3419"/>
      <c r="H116" s="3377" t="s">
        <v>1446</v>
      </c>
      <c r="I116" s="3377"/>
    </row>
    <row r="117" spans="1:27" ht="18.75" customHeight="1">
      <c r="A117" s="3377"/>
      <c r="B117" s="3382"/>
      <c r="C117" s="3382"/>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36323.870000000003</v>
      </c>
      <c r="C118" s="2149">
        <f>M19</f>
        <v>14295.23</v>
      </c>
      <c r="D118" s="2149">
        <f ca="1">ROUND(IF(D32="总价",C34,E118*B118/10000),0)</f>
        <v>34679</v>
      </c>
      <c r="E118" s="2149">
        <f ca="1">ROUND(IF(C33="自定义",IF(D32="楼面单价",C34,D118*10000/B118),I118-G118),0)</f>
        <v>9547</v>
      </c>
      <c r="F118" s="2149">
        <f ca="1">ROUND(IF(D32="总价",C35,G118*B118/10000),0)</f>
        <v>15800</v>
      </c>
      <c r="G118" s="2149">
        <f ca="1">ROUND(IF(D32="楼面单价",C35,F118*10000/B118),0)</f>
        <v>4350</v>
      </c>
      <c r="H118" s="2149">
        <f ca="1">ROUND(IF(D32="总价",C32,I118*B118/10000),0)</f>
        <v>50479</v>
      </c>
      <c r="I118" s="2149">
        <f ca="1">ROUND(IF(D32="楼面单价",C32,H118*10000/B118),0)</f>
        <v>13897</v>
      </c>
    </row>
    <row r="119" spans="1:27" ht="18.75" customHeight="1">
      <c r="A119" s="3377" t="s">
        <v>1450</v>
      </c>
      <c r="B119" s="3377"/>
      <c r="C119" s="3377"/>
      <c r="D119" s="3383" t="str">
        <f ca="1">NUMBERSTRING(INT(D118*10000),2)&amp;"元整"</f>
        <v>叁亿肆仟陆佰柒拾玖万元整</v>
      </c>
      <c r="E119" s="3384"/>
      <c r="F119" s="3383" t="str">
        <f ca="1">NUMBERSTRING(INT(F118*10000),2)&amp;"元整"</f>
        <v>壹亿伍仟捌佰万元整</v>
      </c>
      <c r="G119" s="3384"/>
      <c r="H119" s="3383" t="str">
        <f ca="1">NUMBERSTRING(INT(H118*10000),2)&amp;"元整"</f>
        <v>伍亿零肆佰柒拾玖万元整</v>
      </c>
      <c r="I119" s="3384"/>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83" t="s">
        <v>1450</v>
      </c>
      <c r="B121" s="3385"/>
      <c r="C121" s="3384"/>
      <c r="D121" s="3383" t="str">
        <f>IF(D120=0,"零元整",NUMBERSTRING(INT(D120*10000),2)&amp;"元整")</f>
        <v>零元整</v>
      </c>
      <c r="E121" s="3385"/>
      <c r="F121" s="3385"/>
      <c r="G121" s="3385"/>
      <c r="H121" s="3385"/>
      <c r="I121" s="3384"/>
      <c r="AA121" s="684"/>
    </row>
    <row r="122" spans="1:27" ht="18.75" customHeight="1">
      <c r="A122" s="3389" t="str">
        <f>IF(项目基本情况!B9="房地产市场价值","",MID(E107,3,LEN(E107)-2))</f>
        <v>房地产抵押价值</v>
      </c>
      <c r="B122" s="3389"/>
      <c r="C122" s="3389"/>
      <c r="D122" s="3378">
        <f ca="1">H107</f>
        <v>50479</v>
      </c>
      <c r="E122" s="3379"/>
      <c r="F122" s="3379"/>
      <c r="G122" s="3379"/>
      <c r="H122" s="3379"/>
      <c r="I122" s="3380"/>
      <c r="AA122" s="684"/>
    </row>
    <row r="123" spans="1:27" ht="18.75" customHeight="1">
      <c r="A123" s="3377" t="s">
        <v>1450</v>
      </c>
      <c r="B123" s="3377"/>
      <c r="C123" s="3377"/>
      <c r="D123" s="3383" t="str">
        <f ca="1">NUMBERSTRING(INT(D122*10000),2)&amp;"元整"</f>
        <v>伍亿零肆佰柒拾玖万元整</v>
      </c>
      <c r="E123" s="3385"/>
      <c r="F123" s="3385"/>
      <c r="G123" s="3385"/>
      <c r="H123" s="3385"/>
      <c r="I123" s="3384"/>
      <c r="AA123" s="684"/>
    </row>
    <row r="124" spans="1:27" ht="18.75" customHeight="1">
      <c r="A124" s="3389" t="str">
        <f>IF(项目基本情况!B9="房地产市场价值","",MID(E109,3,LEN(E109)-2))</f>
        <v/>
      </c>
      <c r="B124" s="3389"/>
      <c r="C124" s="3389"/>
      <c r="D124" s="3378" t="str">
        <f>H109</f>
        <v>——</v>
      </c>
      <c r="E124" s="3379"/>
      <c r="F124" s="3379"/>
      <c r="G124" s="3379"/>
      <c r="H124" s="3379"/>
      <c r="I124" s="3380"/>
      <c r="AA124" s="684"/>
    </row>
    <row r="125" spans="1:27" ht="18.75" customHeight="1">
      <c r="A125" s="3377" t="s">
        <v>1450</v>
      </c>
      <c r="B125" s="3377"/>
      <c r="C125" s="3377"/>
      <c r="D125" s="3383" t="e">
        <f>NUMBERSTRING(INT(D124*10000),2)&amp;"元整"</f>
        <v>#VALUE!</v>
      </c>
      <c r="E125" s="3385"/>
      <c r="F125" s="3385"/>
      <c r="G125" s="3385"/>
      <c r="H125" s="3385"/>
      <c r="I125" s="3384"/>
      <c r="AA125" s="684"/>
    </row>
    <row r="126" spans="1:27" ht="18.75" customHeight="1">
      <c r="A126" s="3389" t="str">
        <f>IF(项目基本情况!B9="房地产市场价值","",MID(E111,3,LEN(E111)-2))</f>
        <v/>
      </c>
      <c r="B126" s="3389"/>
      <c r="C126" s="3389"/>
      <c r="D126" s="3378" t="str">
        <f>H111</f>
        <v>——</v>
      </c>
      <c r="E126" s="3379"/>
      <c r="F126" s="3379"/>
      <c r="G126" s="3379"/>
      <c r="H126" s="3379"/>
      <c r="I126" s="3380"/>
      <c r="AA126" s="684"/>
    </row>
    <row r="127" spans="1:27" ht="18.75" customHeight="1">
      <c r="A127" s="3377" t="s">
        <v>1450</v>
      </c>
      <c r="B127" s="3377"/>
      <c r="C127" s="3377"/>
      <c r="D127" s="3383" t="e">
        <f>NUMBERSTRING(INT(D126*10000),2)&amp;"元整"</f>
        <v>#VALUE!</v>
      </c>
      <c r="E127" s="3385"/>
      <c r="F127" s="3385"/>
      <c r="G127" s="3385"/>
      <c r="H127" s="3385"/>
      <c r="I127" s="3384"/>
      <c r="AA127" s="684"/>
    </row>
    <row r="128" spans="1:27" ht="21.75" customHeight="1">
      <c r="A128" s="3386" t="s">
        <v>1451</v>
      </c>
      <c r="B128" s="3386"/>
      <c r="C128" s="3386"/>
      <c r="D128" s="3386"/>
      <c r="E128" s="3386"/>
      <c r="F128" s="3386"/>
      <c r="G128" s="3386"/>
      <c r="H128" s="3386"/>
      <c r="I128" s="3386"/>
      <c r="AA128" s="684"/>
    </row>
    <row r="129" spans="1:35" ht="21.75" customHeight="1">
      <c r="A129" s="1690" t="s">
        <v>1452</v>
      </c>
      <c r="B129" s="1691"/>
      <c r="C129" s="1692" t="s">
        <v>1453</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1454</v>
      </c>
      <c r="G135" s="1705"/>
      <c r="H135" s="1705"/>
      <c r="I135" s="1706" t="s">
        <v>1455</v>
      </c>
    </row>
    <row r="136" spans="1:35" ht="21.75" customHeight="1">
      <c r="A136" s="684"/>
      <c r="B136" s="1707"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1457</v>
      </c>
    </row>
    <row r="139" spans="1:35" ht="21.75" customHeight="1">
      <c r="A139" s="684"/>
      <c r="B139" s="1707" t="s">
        <v>1458</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1457</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I57" sqref="I5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3"/>
      <c r="C1" s="190"/>
      <c r="D1" s="190"/>
      <c r="E1" s="190"/>
      <c r="F1" s="190"/>
      <c r="G1" s="1062">
        <f>MATCH(B1,'数据-取费表'!A6:A16,0)+5</f>
        <v>9</v>
      </c>
    </row>
    <row r="2" spans="1:9" s="192" customFormat="1" ht="18" customHeight="1">
      <c r="A2" s="193" t="s">
        <v>1460</v>
      </c>
      <c r="B2" s="194">
        <f ca="1">IF(D2="——",C52,C52-E2)</f>
        <v>52827</v>
      </c>
      <c r="C2" s="191" t="s">
        <v>1461</v>
      </c>
      <c r="D2" s="1710" t="s">
        <v>43</v>
      </c>
      <c r="E2" s="1089" t="e">
        <f ca="1">SUMIF(INDIRECT("'"&amp;G2&amp;"'"&amp;"!A:A"),"承租人权益价值",INDIRECT("'"&amp;G2&amp;"'"&amp;"!c:c"))</f>
        <v>#REF!</v>
      </c>
      <c r="F2" s="1711" t="s">
        <v>1461</v>
      </c>
      <c r="G2" s="1712"/>
    </row>
    <row r="3" spans="1:9" s="192" customFormat="1" ht="18" customHeight="1" thickBot="1">
      <c r="A3" s="195" t="s">
        <v>1462</v>
      </c>
      <c r="B3" s="196">
        <f ca="1">ROUND(B2*10000/(IF(B1="",'数据-汇总表'!E3,INDIRECT("'数据-取费表'!k"&amp;$G$1))),0)</f>
        <v>14543</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29558</v>
      </c>
      <c r="D5" s="203" t="s">
        <v>1467</v>
      </c>
      <c r="E5" s="204" t="s">
        <v>1468</v>
      </c>
      <c r="F5" s="204" t="s">
        <v>1469</v>
      </c>
      <c r="G5" s="205"/>
    </row>
    <row r="6" spans="1:9" s="206" customFormat="1" ht="13.5" customHeight="1">
      <c r="A6" s="732" t="s">
        <v>1470</v>
      </c>
      <c r="B6" s="207" t="s">
        <v>1471</v>
      </c>
      <c r="C6" s="208">
        <f>'土地比较法-住宅、综合'!F65</f>
        <v>28683</v>
      </c>
      <c r="D6" s="209"/>
      <c r="E6" s="210"/>
      <c r="F6" s="210"/>
      <c r="G6" s="211"/>
    </row>
    <row r="7" spans="1:9" s="206" customFormat="1" ht="13.5" customHeight="1">
      <c r="A7" s="732" t="s">
        <v>1472</v>
      </c>
      <c r="B7" s="207" t="s">
        <v>1473</v>
      </c>
      <c r="C7" s="212">
        <f>ROUND(C6*F7,0)</f>
        <v>875</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3" t="s">
        <v>3976</v>
      </c>
    </row>
    <row r="9" spans="1:9" s="206" customFormat="1" ht="13.5" customHeight="1">
      <c r="A9" s="733" t="s">
        <v>355</v>
      </c>
      <c r="B9" s="216" t="s">
        <v>1476</v>
      </c>
      <c r="C9" s="217">
        <f ca="1">ROUND(D9*E9/10000,0)</f>
        <v>237</v>
      </c>
      <c r="D9" s="795">
        <f ca="1">IF(B1="",'数据-汇总表'!E5,IF(INDIRECT("'数据-取费表'!c"&amp;$G$1)="住宅",INDIRECT("'数据-取费表'!k"&amp;$G$1),0))</f>
        <v>23729.450000000004</v>
      </c>
      <c r="E9" s="217">
        <f>'数据-取费表'!B27</f>
        <v>100</v>
      </c>
      <c r="F9" s="213"/>
      <c r="G9" s="1714" t="s">
        <v>3978</v>
      </c>
      <c r="H9" s="1070"/>
      <c r="I9" s="1715" t="s">
        <v>1477</v>
      </c>
    </row>
    <row r="10" spans="1:9" s="206" customFormat="1" ht="13.5" customHeight="1">
      <c r="A10" s="733" t="s">
        <v>356</v>
      </c>
      <c r="B10" s="216" t="s">
        <v>1478</v>
      </c>
      <c r="C10" s="217">
        <f ca="1">ROUND(D10*E10/10000,0)</f>
        <v>189</v>
      </c>
      <c r="D10" s="795">
        <f ca="1">IF(B1="",'数据-汇总表'!E6,IF(INDIRECT("'数据-取费表'!c"&amp;$G$1)="住宅",INDIRECT("'数据-取费表'!s"&amp;$G$1),INDIRECT("'数据-取费表'!k"&amp;$G$1)+INDIRECT("'数据-取费表'!s"&amp;$G$1)))</f>
        <v>12594.419999999998</v>
      </c>
      <c r="E10" s="217">
        <f>'数据-取费表'!B28</f>
        <v>150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36323.870000000003</v>
      </c>
      <c r="E19" s="203">
        <f>'数据-取费表'!B31</f>
        <v>130</v>
      </c>
      <c r="F19" s="223"/>
      <c r="G19" s="1713" t="s">
        <v>3977</v>
      </c>
    </row>
    <row r="20" spans="1:7" s="206" customFormat="1" ht="13.5" customHeight="1">
      <c r="A20" s="247" t="s">
        <v>1491</v>
      </c>
      <c r="B20" s="202" t="s">
        <v>1492</v>
      </c>
      <c r="C20" s="224">
        <f>ROUND((C5+C19)*F20,0)</f>
        <v>591</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1055</v>
      </c>
      <c r="D22" s="227">
        <f ca="1">C26</f>
        <v>4.0000000000000002E-4</v>
      </c>
      <c r="E22" s="228" t="s">
        <v>1496</v>
      </c>
      <c r="F22" s="229">
        <f ca="1">'数据-取费表'!B40</f>
        <v>3.3500000000000002E-2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1045</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10</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2383</v>
      </c>
      <c r="D27" s="227">
        <f ca="1">C29</f>
        <v>1.6000000000000001E-3</v>
      </c>
      <c r="E27" s="228" t="s">
        <v>1512</v>
      </c>
      <c r="F27" s="238">
        <f ca="1">IF(B1="",'数据-取费表'!Q16,INDIRECT("'数据-取费表'!q"&amp;$G$1))</f>
        <v>0.15</v>
      </c>
      <c r="G27" s="239" t="s">
        <v>1513</v>
      </c>
    </row>
    <row r="28" spans="1:7" s="206" customFormat="1" ht="13.5" customHeight="1">
      <c r="A28" s="734" t="s">
        <v>346</v>
      </c>
      <c r="B28" s="240" t="s">
        <v>1514</v>
      </c>
      <c r="C28" s="241">
        <f ca="1">ROUND((C5+C19+C20)*F27*'数据-取费表'!B21/'数据-取费表'!B20,0)</f>
        <v>2383</v>
      </c>
      <c r="D28" s="227"/>
      <c r="E28" s="228"/>
      <c r="F28" s="238"/>
      <c r="G28" s="239"/>
    </row>
    <row r="29" spans="1:7" s="206" customFormat="1" ht="13.5" customHeight="1">
      <c r="A29" s="734" t="s">
        <v>347</v>
      </c>
      <c r="B29" s="240" t="s">
        <v>1515</v>
      </c>
      <c r="C29" s="230">
        <f ca="1">ROUND(C21*F27*'数据-取费表'!B21/'数据-取费表'!B20,4)</f>
        <v>1.6000000000000001E-3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36287</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12835</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11112</v>
      </c>
      <c r="D34" s="209"/>
      <c r="E34" s="212"/>
      <c r="F34" s="249">
        <f ca="1">IF('数据-取费表'!B24=0,1,IF(B1="",'数据-取费表'!N16,INDIRECT("'数据-取费表'!n"&amp;$G$1)))</f>
        <v>0.52700000000000002</v>
      </c>
      <c r="G34" s="211" t="s">
        <v>1524</v>
      </c>
    </row>
    <row r="35" spans="1:7" ht="13.5" customHeight="1">
      <c r="A35" s="734" t="s">
        <v>351</v>
      </c>
      <c r="B35" s="207" t="s">
        <v>1525</v>
      </c>
      <c r="C35" s="212">
        <f ca="1">ROUND(C34*F35,0)</f>
        <v>556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617</v>
      </c>
      <c r="D36" s="212"/>
      <c r="E36" s="212"/>
      <c r="F36" s="251">
        <f>'数据-取费表'!B34</f>
        <v>0.08</v>
      </c>
      <c r="G36" s="252" t="s">
        <v>1528</v>
      </c>
    </row>
    <row r="37" spans="1:7" s="250" customFormat="1" ht="13.5" customHeight="1">
      <c r="A37" s="734" t="s">
        <v>353</v>
      </c>
      <c r="B37" s="207" t="s">
        <v>1529</v>
      </c>
      <c r="C37" s="241">
        <f ca="1">ROUND(E37*D37*F34/10000,0)</f>
        <v>383</v>
      </c>
      <c r="D37" s="209">
        <f ca="1">D19</f>
        <v>36323.870000000003</v>
      </c>
      <c r="E37" s="241">
        <f>'数据-取费表'!B35</f>
        <v>200</v>
      </c>
      <c r="F37" s="251"/>
      <c r="G37" s="253" t="s">
        <v>1530</v>
      </c>
    </row>
    <row r="38" spans="1:7" ht="13.5" customHeight="1">
      <c r="A38" s="734" t="s">
        <v>354</v>
      </c>
      <c r="B38" s="207" t="s">
        <v>1531</v>
      </c>
      <c r="C38" s="212">
        <f ca="1">ROUND(C34*F38,0)</f>
        <v>167</v>
      </c>
      <c r="D38" s="212"/>
      <c r="E38" s="212"/>
      <c r="F38" s="251">
        <f>'数据-取费表'!B36</f>
        <v>1.4999999999999999E-2</v>
      </c>
      <c r="G38" s="211" t="s">
        <v>1526</v>
      </c>
    </row>
    <row r="39" spans="1:7" s="206" customFormat="1" ht="13.5" customHeight="1">
      <c r="A39" s="247" t="s">
        <v>1532</v>
      </c>
      <c r="B39" s="202" t="s">
        <v>1533</v>
      </c>
      <c r="C39" s="224">
        <f ca="1">ROUND(C33*F20,0)</f>
        <v>257</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230</v>
      </c>
      <c r="D41" s="227">
        <f ca="1">C44</f>
        <v>4.0000000000000002E-4</v>
      </c>
      <c r="E41" s="228" t="s">
        <v>1537</v>
      </c>
      <c r="F41" s="229">
        <f ca="1">F22</f>
        <v>3.3500000000000002E-2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225</v>
      </c>
      <c r="D42" s="230"/>
      <c r="E42" s="230"/>
      <c r="F42" s="231"/>
      <c r="G42" s="3456" t="s">
        <v>1542</v>
      </c>
    </row>
    <row r="43" spans="1:7" ht="13.5" customHeight="1">
      <c r="A43" s="734" t="s">
        <v>347</v>
      </c>
      <c r="B43" s="207" t="s">
        <v>1543</v>
      </c>
      <c r="C43" s="230">
        <f ca="1">ROUND(IF('数据-取费表'!B22&lt;=1,C39*F22*'数据-取费表'!B21/2,C39*(POWER((1+F22),'数据-取费表'!B21/2)-1)),0)</f>
        <v>5</v>
      </c>
      <c r="D43" s="230"/>
      <c r="E43" s="230"/>
      <c r="F43" s="231"/>
      <c r="G43" s="3457"/>
    </row>
    <row r="44" spans="1:7" ht="13.5" customHeight="1">
      <c r="A44" s="734" t="s">
        <v>348</v>
      </c>
      <c r="B44" s="207" t="s">
        <v>1544</v>
      </c>
      <c r="C44" s="230">
        <f ca="1">ROUND(IF('数据-取费表'!B22&lt;=1,C40*F22*'数据-取费表'!B21/2,C40*(POWER((1+F22),'数据-取费表'!B21/2)-1)),4)</f>
        <v>4.0000000000000002E-4</v>
      </c>
      <c r="D44" s="230"/>
      <c r="E44" s="230"/>
      <c r="F44" s="231"/>
      <c r="G44" s="3458"/>
    </row>
    <row r="45" spans="1:7" s="206" customFormat="1" ht="13.5" customHeight="1">
      <c r="A45" s="247" t="s">
        <v>1545</v>
      </c>
      <c r="B45" s="236" t="s">
        <v>1511</v>
      </c>
      <c r="C45" s="237">
        <f ca="1">C46</f>
        <v>1964</v>
      </c>
      <c r="D45" s="227">
        <f ca="1">C47</f>
        <v>3.0000000000000001E-3</v>
      </c>
      <c r="E45" s="228" t="s">
        <v>1537</v>
      </c>
      <c r="F45" s="238">
        <f ca="1">F27</f>
        <v>0.15</v>
      </c>
      <c r="G45" s="239" t="s">
        <v>1546</v>
      </c>
    </row>
    <row r="46" spans="1:7" s="206" customFormat="1" ht="13.5" customHeight="1">
      <c r="A46" s="734" t="s">
        <v>346</v>
      </c>
      <c r="B46" s="240" t="s">
        <v>1547</v>
      </c>
      <c r="C46" s="241">
        <f ca="1">ROUND((C33+C39)*F27,0)</f>
        <v>1964</v>
      </c>
      <c r="D46" s="255"/>
      <c r="E46" s="228"/>
      <c r="F46" s="238"/>
      <c r="G46" s="239"/>
    </row>
    <row r="47" spans="1:7" s="206" customFormat="1" ht="13.5" customHeight="1">
      <c r="A47" s="734" t="s">
        <v>347</v>
      </c>
      <c r="B47" s="240" t="s">
        <v>1548</v>
      </c>
      <c r="C47" s="230">
        <f ca="1">ROUND(C40*F27,4)</f>
        <v>3.0000000000000001E-3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16540</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16540</v>
      </c>
      <c r="D51" s="224"/>
      <c r="E51" s="224"/>
      <c r="F51" s="256"/>
      <c r="G51" s="226" t="s">
        <v>1558</v>
      </c>
    </row>
    <row r="52" spans="1:7" s="200" customFormat="1" ht="16.5" thickBot="1">
      <c r="A52" s="257" t="s">
        <v>1559</v>
      </c>
      <c r="B52" s="258"/>
      <c r="C52" s="259">
        <f ca="1">C31+C51</f>
        <v>52827</v>
      </c>
      <c r="D52" s="258"/>
      <c r="E52" s="258"/>
      <c r="F52" s="258"/>
      <c r="G52" s="260"/>
    </row>
    <row r="55" spans="1:7" ht="15">
      <c r="B55" s="262" t="s">
        <v>1560</v>
      </c>
      <c r="C55" s="263"/>
    </row>
    <row r="56" spans="1:7">
      <c r="B56" s="265" t="s">
        <v>802</v>
      </c>
      <c r="C56" s="267">
        <f ca="1">1-C57</f>
        <v>0.68700000000000006</v>
      </c>
    </row>
    <row r="57" spans="1:7">
      <c r="B57" s="265" t="s">
        <v>803</v>
      </c>
      <c r="C57" s="266">
        <f ca="1">ROUND(C51/C52,3)</f>
        <v>0.313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3"/>
      <c r="C1" s="1716" t="s">
        <v>1561</v>
      </c>
      <c r="D1" s="190"/>
      <c r="E1" s="190"/>
      <c r="F1" s="190"/>
      <c r="G1" s="1062">
        <f>MATCH(B1,'数据-取费表'!A6:A16,0)+5</f>
        <v>9</v>
      </c>
      <c r="H1" s="998" t="str">
        <f>IF(ISERROR(FIND("住宅",B1)),"非住宅","住宅")</f>
        <v>非住宅</v>
      </c>
    </row>
    <row r="2" spans="1:8" s="192" customFormat="1" ht="18" customHeight="1">
      <c r="A2" s="193" t="s">
        <v>1460</v>
      </c>
      <c r="B2" s="3122">
        <f ca="1">ROUND(IF(D2="——",C52/10000,C52/10000-E2),4)</f>
        <v>33118.693299999999</v>
      </c>
      <c r="C2" s="191" t="s">
        <v>1461</v>
      </c>
      <c r="D2" s="1710" t="s">
        <v>43</v>
      </c>
      <c r="E2" s="1089" t="e">
        <f ca="1">SUMIF(INDIRECT("'"&amp;G2&amp;"'"&amp;"!A:A"),"承租人权益价值",INDIRECT("'"&amp;G2&amp;"'"&amp;"!c:c"))</f>
        <v>#REF!</v>
      </c>
      <c r="F2" s="1711" t="s">
        <v>1461</v>
      </c>
      <c r="G2" s="1712"/>
    </row>
    <row r="3" spans="1:8" s="192" customFormat="1" ht="18" customHeight="1" thickBot="1">
      <c r="A3" s="195" t="s">
        <v>1462</v>
      </c>
      <c r="B3" s="196">
        <f ca="1">ROUND(B2*10000/(IF(B1="",'数据-汇总表'!E3,INDIRECT("'数据-取费表'!k"&amp;$G$1))),0)</f>
        <v>9118</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4262108</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4262108</v>
      </c>
      <c r="D8" s="214"/>
      <c r="E8" s="212"/>
      <c r="F8" s="213"/>
      <c r="G8" s="1713"/>
    </row>
    <row r="9" spans="1:8" s="206" customFormat="1" ht="13.5" customHeight="1">
      <c r="A9" s="733" t="s">
        <v>355</v>
      </c>
      <c r="B9" s="216" t="s">
        <v>1476</v>
      </c>
      <c r="C9" s="217">
        <f ca="1">ROUND(D9*E9,0)</f>
        <v>2372945</v>
      </c>
      <c r="D9" s="795">
        <f ca="1">IF(B1="",'数据-汇总表'!E5,IF(INDIRECT("'数据-取费表'!c"&amp;$G$1)="住宅",INDIRECT("'数据-取费表'!k"&amp;$G$1),0))</f>
        <v>23729.450000000004</v>
      </c>
      <c r="E9" s="217">
        <f>'数据-取费表'!B27</f>
        <v>100</v>
      </c>
      <c r="F9" s="213"/>
      <c r="G9" s="218"/>
    </row>
    <row r="10" spans="1:8" s="206" customFormat="1" ht="13.5" customHeight="1">
      <c r="A10" s="733" t="s">
        <v>356</v>
      </c>
      <c r="B10" s="216" t="s">
        <v>1478</v>
      </c>
      <c r="C10" s="217">
        <f ca="1">ROUND(D10*E10,0)</f>
        <v>1889163</v>
      </c>
      <c r="D10" s="795">
        <f ca="1">IF(B1="",'数据-汇总表'!E6,IF(INDIRECT("'数据-取费表'!c"&amp;$G$1)="住宅",INDIRECT("'数据-取费表'!s"&amp;$G$1),INDIRECT("'数据-取费表'!k"&amp;$G$1)+INDIRECT("'数据-取费表'!s"&amp;$G$1)))</f>
        <v>12594.419999999998</v>
      </c>
      <c r="E10" s="217">
        <f>'数据-取费表'!B28</f>
        <v>150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4722103</v>
      </c>
      <c r="D19" s="204">
        <f ca="1">D9+D10</f>
        <v>36323.870000000003</v>
      </c>
      <c r="E19" s="203">
        <f>'数据-取费表'!B31</f>
        <v>130</v>
      </c>
      <c r="F19" s="223"/>
      <c r="G19" s="1713"/>
    </row>
    <row r="20" spans="1:7" s="206" customFormat="1" ht="13.5" customHeight="1">
      <c r="A20" s="247" t="s">
        <v>1572</v>
      </c>
      <c r="B20" s="202" t="s">
        <v>1573</v>
      </c>
      <c r="C20" s="224">
        <f ca="1">ROUND((C5+C19)*F20,0)</f>
        <v>179684</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618043</v>
      </c>
      <c r="D22" s="227">
        <f ca="1">C26</f>
        <v>6.9999999999999999E-4</v>
      </c>
      <c r="E22" s="228" t="s">
        <v>1577</v>
      </c>
      <c r="F22" s="229">
        <f ca="1">'数据-取费表'!B40</f>
        <v>3.3500000000000002E-2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290344</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321680</v>
      </c>
      <c r="D24" s="230"/>
      <c r="E24" s="230"/>
      <c r="F24" s="231"/>
      <c r="G24" s="232" t="s">
        <v>1584</v>
      </c>
    </row>
    <row r="25" spans="1:7" s="206" customFormat="1" ht="24">
      <c r="A25" s="734" t="s">
        <v>1474</v>
      </c>
      <c r="B25" s="207" t="s">
        <v>1585</v>
      </c>
      <c r="C25" s="230">
        <f ca="1">ROUND(IF('数据-取费表'!B22&lt;=1,C20*F22*'数据-取费表'!B22/2,C20*(POWER((1+F22),'数据-取费表'!B22/2)-1)),0)</f>
        <v>6019</v>
      </c>
      <c r="D25" s="230"/>
      <c r="E25" s="233"/>
      <c r="F25" s="231"/>
      <c r="G25" s="234" t="s">
        <v>1586</v>
      </c>
    </row>
    <row r="26" spans="1:7" s="206" customFormat="1">
      <c r="A26" s="734" t="s">
        <v>350</v>
      </c>
      <c r="B26" s="207" t="s">
        <v>1509</v>
      </c>
      <c r="C26" s="230">
        <f ca="1">ROUND(IF('数据-取费表'!B22&lt;=1,F21*F22*'数据-取费表'!B22/2,F21*(POWER((1+F22),'数据-取费表'!B22/2)-1)),4)</f>
        <v>6.9999999999999999E-4</v>
      </c>
      <c r="D26" s="230"/>
      <c r="E26" s="233"/>
      <c r="F26" s="231"/>
      <c r="G26" s="235"/>
    </row>
    <row r="27" spans="1:7" s="206" customFormat="1" ht="24.75">
      <c r="A27" s="247" t="s">
        <v>1510</v>
      </c>
      <c r="B27" s="236" t="s">
        <v>1511</v>
      </c>
      <c r="C27" s="237">
        <f ca="1">C28</f>
        <v>1374584</v>
      </c>
      <c r="D27" s="227">
        <f ca="1">C29</f>
        <v>3.0000000000000001E-3</v>
      </c>
      <c r="E27" s="228" t="s">
        <v>1512</v>
      </c>
      <c r="F27" s="238">
        <f ca="1">IF(B1="",'数据-取费表'!Q16,INDIRECT("'数据-取费表'!q"&amp;$G$1))</f>
        <v>0.15</v>
      </c>
      <c r="G27" s="239" t="s">
        <v>1513</v>
      </c>
    </row>
    <row r="28" spans="1:7" s="206" customFormat="1" ht="13.5" customHeight="1">
      <c r="A28" s="734" t="s">
        <v>346</v>
      </c>
      <c r="B28" s="240" t="s">
        <v>1514</v>
      </c>
      <c r="C28" s="241">
        <f ca="1">ROUND((C5+C19+C20)*F27,0)</f>
        <v>1374584</v>
      </c>
      <c r="D28" s="227"/>
      <c r="E28" s="228"/>
      <c r="F28" s="238"/>
      <c r="G28" s="239"/>
    </row>
    <row r="29" spans="1:7" s="206" customFormat="1" ht="13.5" customHeight="1">
      <c r="A29" s="734" t="s">
        <v>347</v>
      </c>
      <c r="B29" s="240" t="s">
        <v>1515</v>
      </c>
      <c r="C29" s="230">
        <f ca="1">ROUND(C21*F27,4)</f>
        <v>3.0000000000000001E-3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12075465</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244229964</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210916315</v>
      </c>
      <c r="D34" s="209"/>
      <c r="E34" s="212"/>
      <c r="F34" s="249"/>
      <c r="G34" s="211"/>
    </row>
    <row r="35" spans="1:7" ht="13.5" customHeight="1">
      <c r="A35" s="734" t="s">
        <v>351</v>
      </c>
      <c r="B35" s="207" t="s">
        <v>1525</v>
      </c>
      <c r="C35" s="212">
        <f ca="1">ROUND(C34*F35,0)</f>
        <v>10545816</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12339314</v>
      </c>
      <c r="D36" s="212"/>
      <c r="E36" s="212"/>
      <c r="F36" s="251">
        <f>'数据-取费表'!B34</f>
        <v>0.08</v>
      </c>
      <c r="G36" s="252" t="s">
        <v>1528</v>
      </c>
    </row>
    <row r="37" spans="1:7" s="250" customFormat="1" ht="13.5" customHeight="1">
      <c r="A37" s="734" t="s">
        <v>353</v>
      </c>
      <c r="B37" s="207" t="s">
        <v>1529</v>
      </c>
      <c r="C37" s="241">
        <f ca="1">ROUND(E37*D37,0)</f>
        <v>7264774</v>
      </c>
      <c r="D37" s="209">
        <f ca="1">D19</f>
        <v>36323.870000000003</v>
      </c>
      <c r="E37" s="241">
        <f>'数据-取费表'!B35</f>
        <v>200</v>
      </c>
      <c r="F37" s="251"/>
      <c r="G37" s="253"/>
    </row>
    <row r="38" spans="1:7" ht="13.5" customHeight="1">
      <c r="A38" s="734" t="s">
        <v>354</v>
      </c>
      <c r="B38" s="207" t="s">
        <v>1531</v>
      </c>
      <c r="C38" s="212">
        <f ca="1">ROUND(C34*F38,0)</f>
        <v>3163745</v>
      </c>
      <c r="D38" s="212"/>
      <c r="E38" s="212"/>
      <c r="F38" s="251">
        <f>'数据-取费表'!B36</f>
        <v>1.4999999999999999E-2</v>
      </c>
      <c r="G38" s="211" t="s">
        <v>1526</v>
      </c>
    </row>
    <row r="39" spans="1:7" s="206" customFormat="1" ht="13.5" customHeight="1">
      <c r="A39" s="247" t="s">
        <v>1532</v>
      </c>
      <c r="B39" s="202" t="s">
        <v>1533</v>
      </c>
      <c r="C39" s="224">
        <f ca="1">ROUND(C33*F20,0)</f>
        <v>4884599</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8345338</v>
      </c>
      <c r="D41" s="227">
        <f ca="1">C44</f>
        <v>6.9999999999999999E-4</v>
      </c>
      <c r="E41" s="228" t="s">
        <v>1537</v>
      </c>
      <c r="F41" s="229">
        <f ca="1">F22</f>
        <v>3.3500000000000002E-2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8181704</v>
      </c>
      <c r="D42" s="230"/>
      <c r="E42" s="230"/>
      <c r="F42" s="231"/>
      <c r="G42" s="3456" t="s">
        <v>1589</v>
      </c>
    </row>
    <row r="43" spans="1:7" ht="13.5" customHeight="1">
      <c r="A43" s="734" t="s">
        <v>347</v>
      </c>
      <c r="B43" s="207" t="s">
        <v>1543</v>
      </c>
      <c r="C43" s="230">
        <f ca="1">ROUND(IF('数据-取费表'!B22&lt;=1,C39*F22*'数据-取费表'!B20/2,C39*(POWER((1+F22),'数据-取费表'!B20/2)-1)),0)</f>
        <v>163634</v>
      </c>
      <c r="D43" s="230"/>
      <c r="E43" s="230"/>
      <c r="F43" s="231"/>
      <c r="G43" s="3457"/>
    </row>
    <row r="44" spans="1:7" ht="13.5" customHeight="1">
      <c r="A44" s="734" t="s">
        <v>348</v>
      </c>
      <c r="B44" s="207" t="s">
        <v>1544</v>
      </c>
      <c r="C44" s="230">
        <f ca="1">ROUND(IF('数据-取费表'!B22&lt;=1,C40*F22*'数据-取费表'!B20/2,C40*(POWER((1+F22),'数据-取费表'!B20/2)-1)),4)</f>
        <v>6.9999999999999999E-4</v>
      </c>
      <c r="D44" s="230"/>
      <c r="E44" s="230"/>
      <c r="F44" s="231"/>
      <c r="G44" s="3458"/>
    </row>
    <row r="45" spans="1:7" s="206" customFormat="1" ht="13.5" customHeight="1">
      <c r="A45" s="247" t="s">
        <v>1545</v>
      </c>
      <c r="B45" s="236" t="s">
        <v>1511</v>
      </c>
      <c r="C45" s="237">
        <f ca="1">C46</f>
        <v>37367184</v>
      </c>
      <c r="D45" s="227">
        <f ca="1">C47</f>
        <v>3.0000000000000001E-3</v>
      </c>
      <c r="E45" s="228" t="s">
        <v>1537</v>
      </c>
      <c r="F45" s="238">
        <f ca="1">F27</f>
        <v>0.15</v>
      </c>
      <c r="G45" s="239" t="s">
        <v>1546</v>
      </c>
    </row>
    <row r="46" spans="1:7" s="206" customFormat="1" ht="13.5" customHeight="1">
      <c r="A46" s="734" t="s">
        <v>346</v>
      </c>
      <c r="B46" s="240" t="s">
        <v>1547</v>
      </c>
      <c r="C46" s="241">
        <f ca="1">ROUND((C33+C39)*F27,0)</f>
        <v>37367184</v>
      </c>
      <c r="D46" s="255"/>
      <c r="E46" s="228"/>
      <c r="F46" s="238"/>
      <c r="G46" s="239"/>
    </row>
    <row r="47" spans="1:7" s="206" customFormat="1" ht="13.5" customHeight="1">
      <c r="A47" s="734" t="s">
        <v>347</v>
      </c>
      <c r="B47" s="240" t="s">
        <v>1548</v>
      </c>
      <c r="C47" s="230">
        <f ca="1">ROUND(C40*F27,4)</f>
        <v>3.0000000000000001E-3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319111468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319111468</v>
      </c>
      <c r="D51" s="224"/>
      <c r="E51" s="224"/>
      <c r="F51" s="256"/>
      <c r="G51" s="226" t="s">
        <v>1558</v>
      </c>
    </row>
    <row r="52" spans="1:7" s="200" customFormat="1" ht="16.5" thickBot="1">
      <c r="A52" s="257" t="s">
        <v>1559</v>
      </c>
      <c r="B52" s="258"/>
      <c r="C52" s="259">
        <f ca="1">C31+C51</f>
        <v>331186933</v>
      </c>
      <c r="D52" s="258"/>
      <c r="E52" s="258"/>
      <c r="F52" s="258"/>
      <c r="G52" s="260"/>
    </row>
    <row r="55" spans="1:7" ht="15">
      <c r="B55" s="262" t="s">
        <v>1560</v>
      </c>
      <c r="C55" s="263"/>
    </row>
    <row r="56" spans="1:7">
      <c r="B56" s="265" t="s">
        <v>802</v>
      </c>
      <c r="C56" s="267">
        <f ca="1">1-C57</f>
        <v>3.6000000000000032E-2</v>
      </c>
    </row>
    <row r="57" spans="1:7">
      <c r="B57" s="265" t="s">
        <v>803</v>
      </c>
      <c r="C57" s="266">
        <f ca="1">ROUND(C51/C52,3)</f>
        <v>0.96399999999999997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90" zoomScaleNormal="60" zoomScaleSheetLayoutView="90" workbookViewId="0">
      <selection activeCell="M80" sqref="M8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28683</v>
      </c>
      <c r="C2" s="854"/>
      <c r="D2" s="854"/>
      <c r="E2" s="855" t="s">
        <v>3967</v>
      </c>
      <c r="F2" s="856"/>
      <c r="G2" s="855" t="s">
        <v>3969</v>
      </c>
      <c r="H2" s="855"/>
      <c r="I2" s="855" t="s">
        <v>3985</v>
      </c>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7896</v>
      </c>
      <c r="C3" s="195" t="s">
        <v>1867</v>
      </c>
      <c r="D3" s="1110"/>
      <c r="E3" s="855" t="s">
        <v>3962</v>
      </c>
      <c r="F3" s="856"/>
      <c r="G3" s="855" t="s">
        <v>3970</v>
      </c>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1767</v>
      </c>
      <c r="B4" s="346"/>
      <c r="C4" s="3477" t="s">
        <v>1768</v>
      </c>
      <c r="D4" s="3478"/>
      <c r="E4" s="3479" t="s">
        <v>1769</v>
      </c>
      <c r="F4" s="3480"/>
      <c r="G4" s="3477" t="s">
        <v>1770</v>
      </c>
      <c r="H4" s="3478"/>
      <c r="I4" s="3477" t="s">
        <v>1771</v>
      </c>
      <c r="J4" s="3478"/>
      <c r="K4" s="537" t="s">
        <v>1772</v>
      </c>
      <c r="L4" s="2486"/>
      <c r="M4" s="2487"/>
      <c r="N4" s="2487"/>
      <c r="O4" s="2487"/>
      <c r="P4" s="3481" t="s">
        <v>1773</v>
      </c>
      <c r="Q4" s="3482"/>
      <c r="R4" s="3464" t="s">
        <v>1769</v>
      </c>
      <c r="S4" s="3465"/>
      <c r="T4" s="3464" t="s">
        <v>1770</v>
      </c>
      <c r="U4" s="3465"/>
      <c r="V4" s="3489" t="s">
        <v>1771</v>
      </c>
      <c r="W4" s="3489"/>
      <c r="X4" s="1264"/>
      <c r="Y4" s="3464" t="s">
        <v>1773</v>
      </c>
      <c r="Z4" s="3465"/>
      <c r="AA4" s="3459" t="s">
        <v>1769</v>
      </c>
      <c r="AB4" s="3460" t="s">
        <v>1770</v>
      </c>
      <c r="AC4" s="3459" t="s">
        <v>1771</v>
      </c>
    </row>
    <row r="5" spans="1:29" ht="82.5" customHeight="1">
      <c r="A5" s="348"/>
      <c r="B5" s="349"/>
      <c r="C5" s="3470" t="s">
        <v>1671</v>
      </c>
      <c r="D5" s="3471"/>
      <c r="E5" s="3468" t="str">
        <f>土地案例!A6</f>
        <v>北京市平谷区兴谷新消费综合体项目PG00-0106-0104地块R2二类居住用地</v>
      </c>
      <c r="F5" s="3469"/>
      <c r="G5" s="3470" t="str">
        <f>土地案例!A7</f>
        <v>北京市密云区十里堡镇王各庄棚户区改造项目MY00-0500-0001地块R2二类居住用地</v>
      </c>
      <c r="H5" s="3471"/>
      <c r="I5" s="3470" t="str">
        <f>土地案例!A12</f>
        <v>北京市密云区水源路南侧MY00-0104-6016等地块R2二类居住用地</v>
      </c>
      <c r="J5" s="3471"/>
      <c r="K5" s="537"/>
      <c r="L5" s="2486"/>
      <c r="M5" s="2487"/>
      <c r="N5" s="2487"/>
      <c r="O5" s="2487"/>
      <c r="P5" s="3483"/>
      <c r="Q5" s="3484"/>
      <c r="R5" s="3466"/>
      <c r="S5" s="3467"/>
      <c r="T5" s="3466"/>
      <c r="U5" s="3467"/>
      <c r="V5" s="3489"/>
      <c r="W5" s="3489"/>
      <c r="X5" s="1264"/>
      <c r="Y5" s="3466"/>
      <c r="Z5" s="3467"/>
      <c r="AA5" s="3460"/>
      <c r="AB5" s="3460"/>
      <c r="AC5" s="3460"/>
    </row>
    <row r="6" spans="1:29" ht="15.75" thickBot="1">
      <c r="A6" s="350"/>
      <c r="B6" s="351"/>
      <c r="C6" s="3472" t="s">
        <v>1675</v>
      </c>
      <c r="D6" s="3473"/>
      <c r="E6" s="3474" t="s">
        <v>1675</v>
      </c>
      <c r="F6" s="3475"/>
      <c r="G6" s="3472" t="s">
        <v>1675</v>
      </c>
      <c r="H6" s="3473"/>
      <c r="I6" s="3472" t="s">
        <v>1675</v>
      </c>
      <c r="J6" s="3473"/>
      <c r="K6" s="537" t="s">
        <v>1676</v>
      </c>
      <c r="L6" s="2486"/>
      <c r="M6" s="2487"/>
      <c r="N6" s="2487"/>
      <c r="O6" s="2487"/>
      <c r="P6" s="3485"/>
      <c r="Q6" s="3486"/>
      <c r="R6" s="3466"/>
      <c r="S6" s="3467"/>
      <c r="T6" s="3487"/>
      <c r="U6" s="3488"/>
      <c r="V6" s="3489"/>
      <c r="W6" s="3489"/>
      <c r="X6" s="1264"/>
      <c r="Y6" s="3487"/>
      <c r="Z6" s="3488"/>
      <c r="AA6" s="3461"/>
      <c r="AB6" s="3461"/>
      <c r="AC6" s="3461"/>
    </row>
    <row r="7" spans="1:29" s="102" customFormat="1" ht="15.75" thickBot="1">
      <c r="A7" s="352" t="s">
        <v>1677</v>
      </c>
      <c r="B7" s="353"/>
      <c r="C7" s="354">
        <f>'数据-取费表'!B2</f>
        <v>45565</v>
      </c>
      <c r="D7" s="355">
        <v>100</v>
      </c>
      <c r="E7" s="356">
        <f>土地案例!AG6</f>
        <v>45107.000497685185</v>
      </c>
      <c r="F7" s="357">
        <f>SUMIF(69:69,YEAR(E7)&amp;"-"&amp;INT((MONTH(E7)+2)/3),70:70)</f>
        <v>98.999999999999986</v>
      </c>
      <c r="G7" s="1821">
        <f>土地案例!AG7</f>
        <v>44826.000497685185</v>
      </c>
      <c r="H7" s="355">
        <f>SUMIF(69:69,YEAR(G7)&amp;"-"&amp;INT((MONTH(G7)+2)/3),70:70)</f>
        <v>98.399999999999977</v>
      </c>
      <c r="I7" s="1821">
        <f>土地案例!AG12</f>
        <v>44554.000497685185</v>
      </c>
      <c r="J7" s="355">
        <f>SUMIF(69:69,YEAR(I7)&amp;"-"&amp;INT((MONTH(I7)+2)/3),70:70)</f>
        <v>97.799999999999969</v>
      </c>
      <c r="K7" s="38"/>
      <c r="L7" s="2488"/>
      <c r="M7" s="2439"/>
      <c r="N7" s="2439"/>
      <c r="O7" s="2439"/>
      <c r="P7" s="3462" t="s">
        <v>1678</v>
      </c>
      <c r="Q7" s="3490"/>
      <c r="R7" s="664" t="s">
        <v>14</v>
      </c>
      <c r="S7" s="665">
        <f t="shared" ref="S7:S15" si="0">F7</f>
        <v>98.999999999999986</v>
      </c>
      <c r="T7" s="664" t="s">
        <v>14</v>
      </c>
      <c r="U7" s="665">
        <f t="shared" ref="U7:U15" si="1">H7</f>
        <v>98.399999999999977</v>
      </c>
      <c r="V7" s="664" t="s">
        <v>14</v>
      </c>
      <c r="W7" s="665">
        <f t="shared" ref="W7:W15" si="2">J7</f>
        <v>97.799999999999969</v>
      </c>
      <c r="X7" s="666"/>
      <c r="Y7" s="3462" t="s">
        <v>1678</v>
      </c>
      <c r="Z7" s="3463"/>
      <c r="AA7" s="50">
        <f>D7/F7</f>
        <v>1.0101010101010102</v>
      </c>
      <c r="AB7" s="50">
        <f>D7/H7</f>
        <v>1.0162601626016263</v>
      </c>
      <c r="AC7" s="50">
        <f>D7/J7</f>
        <v>1.0224948875255626</v>
      </c>
    </row>
    <row r="8" spans="1:29" s="102" customFormat="1" ht="15.75" thickBot="1">
      <c r="A8" s="352" t="s">
        <v>1679</v>
      </c>
      <c r="B8" s="353"/>
      <c r="C8" s="358" t="s">
        <v>1680</v>
      </c>
      <c r="D8" s="355">
        <v>100</v>
      </c>
      <c r="E8" s="358" t="s">
        <v>3942</v>
      </c>
      <c r="F8" s="357">
        <f>SUMIF(72:72,E8,73:73)-SUMIF(72:72,C8,73:73)+100</f>
        <v>100</v>
      </c>
      <c r="G8" s="358" t="s">
        <v>1680</v>
      </c>
      <c r="H8" s="355">
        <f>SUMIF(72:72,G8,73:73)-SUMIF(72:72,C8,73:73)+100</f>
        <v>100</v>
      </c>
      <c r="I8" s="358" t="s">
        <v>1680</v>
      </c>
      <c r="J8" s="355">
        <f>SUMIF(72:72,I8,73:73)-SUMIF(72:72,C8,73:73)+100</f>
        <v>100</v>
      </c>
      <c r="K8" s="38"/>
      <c r="L8" s="2488"/>
      <c r="M8" s="2439"/>
      <c r="N8" s="2439"/>
      <c r="O8" s="2439"/>
      <c r="P8" s="3462" t="s">
        <v>1681</v>
      </c>
      <c r="Q8" s="3463"/>
      <c r="R8" s="664" t="s">
        <v>14</v>
      </c>
      <c r="S8" s="665">
        <f t="shared" si="0"/>
        <v>100</v>
      </c>
      <c r="T8" s="664" t="s">
        <v>14</v>
      </c>
      <c r="U8" s="665">
        <f t="shared" si="1"/>
        <v>100</v>
      </c>
      <c r="V8" s="664" t="s">
        <v>14</v>
      </c>
      <c r="W8" s="665">
        <f t="shared" si="2"/>
        <v>100</v>
      </c>
      <c r="X8" s="666"/>
      <c r="Y8" s="3462" t="s">
        <v>1681</v>
      </c>
      <c r="Z8" s="3463"/>
      <c r="AA8" s="50">
        <f t="shared" ref="AA8:AA45" si="3">D8/F8</f>
        <v>1</v>
      </c>
      <c r="AB8" s="50">
        <f t="shared" ref="AB8:AB45" si="4">D8/H8</f>
        <v>1</v>
      </c>
      <c r="AC8" s="50">
        <f t="shared" ref="AC8:AC45" si="5">D8/J8</f>
        <v>1</v>
      </c>
    </row>
    <row r="9" spans="1:29" s="102" customFormat="1">
      <c r="A9" s="359" t="s">
        <v>1682</v>
      </c>
      <c r="B9" s="60" t="s">
        <v>1683</v>
      </c>
      <c r="C9" s="1824" t="s">
        <v>3470</v>
      </c>
      <c r="D9" s="59">
        <v>100</v>
      </c>
      <c r="E9" s="1824" t="s">
        <v>3470</v>
      </c>
      <c r="F9" s="59">
        <f>SUMIF(74:74,E9,75:75)-SUMIF(74:74,C9,75:75)+100</f>
        <v>100</v>
      </c>
      <c r="G9" s="1824" t="s">
        <v>3470</v>
      </c>
      <c r="H9" s="59">
        <f>SUMIF(74:74,G9,75:75)-SUMIF(74:74,C9,75:75)+100</f>
        <v>100</v>
      </c>
      <c r="I9" s="1824" t="s">
        <v>3470</v>
      </c>
      <c r="J9" s="59">
        <f>SUMIF(74:74,I9,75:75)-SUMIF(74:74,C9,75:75)+100</f>
        <v>100</v>
      </c>
      <c r="K9" s="38"/>
      <c r="L9" s="2488"/>
      <c r="M9" s="2439"/>
      <c r="N9" s="2439"/>
      <c r="O9" s="2540"/>
      <c r="P9" s="3476" t="s">
        <v>1684</v>
      </c>
      <c r="Q9" s="530" t="str">
        <f t="shared" ref="Q9:Q15" si="6">B9</f>
        <v>用途</v>
      </c>
      <c r="R9" s="664" t="s">
        <v>14</v>
      </c>
      <c r="S9" s="665">
        <f t="shared" si="0"/>
        <v>100</v>
      </c>
      <c r="T9" s="664" t="s">
        <v>14</v>
      </c>
      <c r="U9" s="665">
        <f t="shared" si="1"/>
        <v>100</v>
      </c>
      <c r="V9" s="664" t="s">
        <v>14</v>
      </c>
      <c r="W9" s="665">
        <f t="shared" si="2"/>
        <v>100</v>
      </c>
      <c r="X9" s="666"/>
      <c r="Y9" s="343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476"/>
      <c r="Q10" s="530" t="str">
        <f t="shared" si="6"/>
        <v>土地使用年限（年）</v>
      </c>
      <c r="R10" s="664" t="s">
        <v>14</v>
      </c>
      <c r="S10" s="665">
        <f t="shared" si="0"/>
        <v>100</v>
      </c>
      <c r="T10" s="664" t="s">
        <v>14</v>
      </c>
      <c r="U10" s="665">
        <f t="shared" si="1"/>
        <v>100</v>
      </c>
      <c r="V10" s="664" t="s">
        <v>14</v>
      </c>
      <c r="W10" s="665">
        <f t="shared" si="2"/>
        <v>100</v>
      </c>
      <c r="X10" s="666"/>
      <c r="Y10" s="3432"/>
      <c r="Z10" s="50" t="str">
        <f t="shared" si="7"/>
        <v>土地使用年限（年）</v>
      </c>
      <c r="AA10" s="50">
        <f t="shared" si="3"/>
        <v>1</v>
      </c>
      <c r="AB10" s="50">
        <f t="shared" si="4"/>
        <v>1</v>
      </c>
      <c r="AC10" s="50">
        <f t="shared" si="5"/>
        <v>1</v>
      </c>
    </row>
    <row r="11" spans="1:29" ht="15">
      <c r="A11" s="367"/>
      <c r="B11" s="364" t="s">
        <v>1687</v>
      </c>
      <c r="C11" s="368">
        <v>1.6</v>
      </c>
      <c r="D11" s="119">
        <v>100</v>
      </c>
      <c r="E11" s="368">
        <v>1.2</v>
      </c>
      <c r="F11" s="119">
        <f>LOOKUP(E11,79:79,80:80)-LOOKUP(C11,79:79,80:80)+100</f>
        <v>100</v>
      </c>
      <c r="G11" s="369">
        <v>2.2000000000000002</v>
      </c>
      <c r="H11" s="119">
        <f>LOOKUP(G11,79:79,80:80)-LOOKUP(C11,79:79,80:80)+100</f>
        <v>97</v>
      </c>
      <c r="I11" s="368">
        <v>2</v>
      </c>
      <c r="J11" s="119">
        <f>LOOKUP(I11,79:79,80:80)-LOOKUP(C11,79:79,80:80)+100</f>
        <v>97</v>
      </c>
      <c r="K11" s="593">
        <v>3</v>
      </c>
      <c r="L11" s="2491"/>
      <c r="M11" s="2487"/>
      <c r="N11" s="2487"/>
      <c r="O11" s="2542"/>
      <c r="P11" s="3476"/>
      <c r="Q11" s="530" t="str">
        <f t="shared" si="6"/>
        <v>容积率</v>
      </c>
      <c r="R11" s="664" t="s">
        <v>14</v>
      </c>
      <c r="S11" s="665">
        <f t="shared" si="0"/>
        <v>100</v>
      </c>
      <c r="T11" s="664" t="s">
        <v>14</v>
      </c>
      <c r="U11" s="665">
        <f t="shared" si="1"/>
        <v>97</v>
      </c>
      <c r="V11" s="664" t="s">
        <v>14</v>
      </c>
      <c r="W11" s="665">
        <f t="shared" si="2"/>
        <v>97</v>
      </c>
      <c r="X11" s="666"/>
      <c r="Y11" s="3432"/>
      <c r="Z11" s="50" t="str">
        <f t="shared" si="7"/>
        <v>容积率</v>
      </c>
      <c r="AA11" s="50">
        <f t="shared" si="3"/>
        <v>1</v>
      </c>
      <c r="AB11" s="50">
        <f t="shared" si="4"/>
        <v>1.0309278350515463</v>
      </c>
      <c r="AC11" s="50">
        <f t="shared" si="5"/>
        <v>1.0309278350515463</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76"/>
      <c r="Q12" s="530" t="str">
        <f t="shared" si="6"/>
        <v>配建</v>
      </c>
      <c r="R12" s="664" t="s">
        <v>14</v>
      </c>
      <c r="S12" s="665">
        <f t="shared" si="0"/>
        <v>100</v>
      </c>
      <c r="T12" s="664" t="s">
        <v>14</v>
      </c>
      <c r="U12" s="665">
        <f t="shared" si="1"/>
        <v>100</v>
      </c>
      <c r="V12" s="664" t="s">
        <v>14</v>
      </c>
      <c r="W12" s="665">
        <f t="shared" si="2"/>
        <v>100</v>
      </c>
      <c r="X12" s="666"/>
      <c r="Y12" s="3432"/>
      <c r="Z12" s="50" t="str">
        <f t="shared" si="7"/>
        <v>配建</v>
      </c>
      <c r="AA12" s="50">
        <f>D12/F12</f>
        <v>1</v>
      </c>
      <c r="AB12" s="50">
        <f>D12/H12</f>
        <v>1</v>
      </c>
      <c r="AC12" s="50">
        <f>D12/J12</f>
        <v>1</v>
      </c>
    </row>
    <row r="13" spans="1:29" ht="15">
      <c r="A13" s="367"/>
      <c r="B13" s="3246" t="s">
        <v>3956</v>
      </c>
      <c r="C13" s="373">
        <v>30000</v>
      </c>
      <c r="D13" s="374">
        <v>100</v>
      </c>
      <c r="E13" s="480">
        <v>32000</v>
      </c>
      <c r="F13" s="119">
        <f>SUMIF(83:83,E13,84:84)-SUMIF(83:83,C13,84:84)+100</f>
        <v>101</v>
      </c>
      <c r="G13" s="594">
        <v>30000</v>
      </c>
      <c r="H13" s="374">
        <f>SUMIF(83:83,G13,84:84)-SUMIF(83:83,C13,84:84)+100</f>
        <v>100</v>
      </c>
      <c r="I13" s="594">
        <v>30000</v>
      </c>
      <c r="J13" s="374">
        <f>SUMIF(83:83,I13,84:84)-SUMIF(83:83,C13,84:84)+100</f>
        <v>100</v>
      </c>
      <c r="K13" s="592"/>
      <c r="L13" s="2492"/>
      <c r="M13" s="2487"/>
      <c r="N13" s="2487"/>
      <c r="O13" s="2542"/>
      <c r="P13" s="3476"/>
      <c r="Q13" s="530" t="str">
        <f t="shared" si="6"/>
        <v>限价</v>
      </c>
      <c r="R13" s="664" t="s">
        <v>14</v>
      </c>
      <c r="S13" s="665">
        <f t="shared" si="0"/>
        <v>101</v>
      </c>
      <c r="T13" s="664" t="s">
        <v>14</v>
      </c>
      <c r="U13" s="665">
        <f t="shared" si="1"/>
        <v>100</v>
      </c>
      <c r="V13" s="664" t="s">
        <v>14</v>
      </c>
      <c r="W13" s="665">
        <f t="shared" si="2"/>
        <v>100</v>
      </c>
      <c r="X13" s="666"/>
      <c r="Y13" s="3432"/>
      <c r="Z13" s="50" t="str">
        <f t="shared" si="7"/>
        <v>限价</v>
      </c>
      <c r="AA13" s="50">
        <f>D13/F13</f>
        <v>0.99009900990099009</v>
      </c>
      <c r="AB13" s="50">
        <f>D13/H13</f>
        <v>1</v>
      </c>
      <c r="AC13" s="50">
        <f>D13/J13</f>
        <v>1</v>
      </c>
    </row>
    <row r="14" spans="1:29" ht="15.75" thickBot="1">
      <c r="A14" s="375"/>
      <c r="B14" s="3247" t="s">
        <v>3957</v>
      </c>
      <c r="C14" s="3248">
        <v>0</v>
      </c>
      <c r="D14" s="377">
        <v>100</v>
      </c>
      <c r="E14" s="3248">
        <v>0</v>
      </c>
      <c r="F14" s="377">
        <f>SUMIF(85:85,E14,86:86)-SUMIF(85:85,C14,86:86)+100</f>
        <v>100</v>
      </c>
      <c r="G14" s="3248">
        <v>0</v>
      </c>
      <c r="H14" s="377">
        <f>SUMIF(85:85,G14,86:86)-SUMIF(85:85,C14,86:86)+100</f>
        <v>100</v>
      </c>
      <c r="I14" s="3248">
        <v>0</v>
      </c>
      <c r="J14" s="377">
        <f>SUMIF(85:85,I14,86:86)-SUMIF(85:85,C14,86:86)+100</f>
        <v>100</v>
      </c>
      <c r="K14" s="592"/>
      <c r="L14" s="2492"/>
      <c r="M14" s="2487"/>
      <c r="N14" s="2487"/>
      <c r="O14" s="2542"/>
      <c r="P14" s="3476"/>
      <c r="Q14" s="530" t="str">
        <f t="shared" si="6"/>
        <v>商业占比</v>
      </c>
      <c r="R14" s="664" t="s">
        <v>14</v>
      </c>
      <c r="S14" s="665">
        <f t="shared" si="0"/>
        <v>100</v>
      </c>
      <c r="T14" s="664" t="s">
        <v>14</v>
      </c>
      <c r="U14" s="665">
        <f t="shared" si="1"/>
        <v>100</v>
      </c>
      <c r="V14" s="664" t="s">
        <v>14</v>
      </c>
      <c r="W14" s="665">
        <f t="shared" si="2"/>
        <v>100</v>
      </c>
      <c r="X14" s="666"/>
      <c r="Y14" s="3432"/>
      <c r="Z14" s="50" t="str">
        <f t="shared" si="7"/>
        <v>商业占比</v>
      </c>
      <c r="AA14" s="50">
        <f>D14/F14</f>
        <v>1</v>
      </c>
      <c r="AB14" s="50">
        <f>D14/H14</f>
        <v>1</v>
      </c>
      <c r="AC14" s="50">
        <f>D14/J14</f>
        <v>1</v>
      </c>
    </row>
    <row r="15" spans="1:29" ht="99.75">
      <c r="A15" s="379" t="s">
        <v>1688</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98</v>
      </c>
      <c r="G15" s="381"/>
      <c r="H15" s="380">
        <f>SUMIF(87:87,G16,88:88)-SUMIF(87:87,C16,88:88)+100</f>
        <v>98</v>
      </c>
      <c r="I15" s="383"/>
      <c r="J15" s="380">
        <f>SUMIF(87:87,I16,88:88)-SUMIF(87:87,C16,88:88)+100</f>
        <v>98</v>
      </c>
      <c r="K15" s="593">
        <v>2</v>
      </c>
      <c r="L15" s="2492"/>
      <c r="M15" s="2487"/>
      <c r="N15" s="2487"/>
      <c r="O15" s="2542"/>
      <c r="P15" s="3491" t="s">
        <v>1689</v>
      </c>
      <c r="Q15" s="1262" t="str">
        <f t="shared" si="6"/>
        <v>居住社区成熟度</v>
      </c>
      <c r="R15" s="667" t="s">
        <v>14</v>
      </c>
      <c r="S15" s="668">
        <f t="shared" si="0"/>
        <v>98</v>
      </c>
      <c r="T15" s="667" t="s">
        <v>14</v>
      </c>
      <c r="U15" s="668">
        <f t="shared" si="1"/>
        <v>98</v>
      </c>
      <c r="V15" s="667" t="s">
        <v>14</v>
      </c>
      <c r="W15" s="668">
        <f t="shared" si="2"/>
        <v>98</v>
      </c>
      <c r="X15" s="1264"/>
      <c r="Y15" s="3491" t="s">
        <v>1689</v>
      </c>
      <c r="Z15" s="1263" t="str">
        <f t="shared" si="7"/>
        <v>居住社区成熟度</v>
      </c>
      <c r="AA15" s="1263">
        <f t="shared" si="3"/>
        <v>1.0204081632653061</v>
      </c>
      <c r="AB15" s="1263">
        <f t="shared" si="4"/>
        <v>1.0204081632653061</v>
      </c>
      <c r="AC15" s="1263">
        <f t="shared" si="5"/>
        <v>1.0204081632653061</v>
      </c>
    </row>
    <row r="16" spans="1:29" ht="15">
      <c r="A16" s="367"/>
      <c r="B16" s="385"/>
      <c r="C16" s="386" t="s">
        <v>3961</v>
      </c>
      <c r="D16" s="387"/>
      <c r="E16" s="1751" t="s">
        <v>3963</v>
      </c>
      <c r="F16" s="387"/>
      <c r="G16" s="1751" t="s">
        <v>3963</v>
      </c>
      <c r="H16" s="389"/>
      <c r="I16" s="1750" t="s">
        <v>3963</v>
      </c>
      <c r="J16" s="387"/>
      <c r="K16" s="592"/>
      <c r="L16" s="2492"/>
      <c r="M16" s="2487"/>
      <c r="N16" s="2487"/>
      <c r="O16" s="2542"/>
      <c r="P16" s="3492"/>
      <c r="Q16" s="1262"/>
      <c r="R16" s="667"/>
      <c r="S16" s="668"/>
      <c r="T16" s="667"/>
      <c r="U16" s="668"/>
      <c r="V16" s="667"/>
      <c r="W16" s="668"/>
      <c r="X16" s="1264"/>
      <c r="Y16" s="3492"/>
      <c r="Z16" s="1263"/>
      <c r="AA16" s="1263">
        <v>1</v>
      </c>
      <c r="AB16" s="1263">
        <v>1</v>
      </c>
      <c r="AC16" s="1263">
        <v>1</v>
      </c>
    </row>
    <row r="17" spans="1:29" ht="71.25" hidden="1">
      <c r="A17" s="367"/>
      <c r="B17" s="390" t="s">
        <v>1775</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92"/>
      <c r="Q17" s="1262" t="str">
        <f>B17</f>
        <v>商业繁华度</v>
      </c>
      <c r="R17" s="667" t="s">
        <v>14</v>
      </c>
      <c r="S17" s="668">
        <f>F17</f>
        <v>100</v>
      </c>
      <c r="T17" s="667" t="s">
        <v>14</v>
      </c>
      <c r="U17" s="668">
        <f>H17</f>
        <v>100</v>
      </c>
      <c r="V17" s="667" t="s">
        <v>14</v>
      </c>
      <c r="W17" s="668">
        <f>J17</f>
        <v>100</v>
      </c>
      <c r="X17" s="1264"/>
      <c r="Y17" s="3492"/>
      <c r="Z17" s="1263" t="str">
        <f>Q17</f>
        <v>商业繁华度</v>
      </c>
      <c r="AA17" s="1263">
        <f t="shared" si="3"/>
        <v>1</v>
      </c>
      <c r="AB17" s="1263">
        <f t="shared" si="4"/>
        <v>1</v>
      </c>
      <c r="AC17" s="1263">
        <f t="shared" si="5"/>
        <v>1</v>
      </c>
    </row>
    <row r="18" spans="1:29" ht="15" hidden="1">
      <c r="A18" s="367"/>
      <c r="B18" s="395"/>
      <c r="C18" s="1754"/>
      <c r="D18" s="389"/>
      <c r="E18" s="1756"/>
      <c r="F18" s="389"/>
      <c r="G18" s="1756"/>
      <c r="H18" s="387"/>
      <c r="I18" s="1755"/>
      <c r="J18" s="387"/>
      <c r="K18" s="592"/>
      <c r="L18" s="2492"/>
      <c r="M18" s="2487"/>
      <c r="N18" s="2487"/>
      <c r="O18" s="2542"/>
      <c r="P18" s="3492"/>
      <c r="Q18" s="1262"/>
      <c r="R18" s="667"/>
      <c r="S18" s="668"/>
      <c r="T18" s="667"/>
      <c r="U18" s="668"/>
      <c r="V18" s="667"/>
      <c r="W18" s="668"/>
      <c r="X18" s="1264"/>
      <c r="Y18" s="3492"/>
      <c r="Z18" s="1263"/>
      <c r="AA18" s="1263">
        <v>1</v>
      </c>
      <c r="AB18" s="1263">
        <v>1</v>
      </c>
      <c r="AC18" s="1263">
        <v>1</v>
      </c>
    </row>
    <row r="19" spans="1:29" ht="71.25" hidden="1">
      <c r="A19" s="367"/>
      <c r="B19" s="390" t="s">
        <v>1809</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92"/>
      <c r="Q19" s="1262" t="str">
        <f>B19</f>
        <v>办公集聚程度</v>
      </c>
      <c r="R19" s="667" t="s">
        <v>14</v>
      </c>
      <c r="S19" s="668">
        <f>F19</f>
        <v>100</v>
      </c>
      <c r="T19" s="667" t="s">
        <v>14</v>
      </c>
      <c r="U19" s="668">
        <f>H19</f>
        <v>100</v>
      </c>
      <c r="V19" s="667" t="s">
        <v>14</v>
      </c>
      <c r="W19" s="668">
        <f>J19</f>
        <v>100</v>
      </c>
      <c r="X19" s="1264"/>
      <c r="Y19" s="3492"/>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92"/>
      <c r="M20" s="2487"/>
      <c r="N20" s="2487"/>
      <c r="O20" s="2542"/>
      <c r="P20" s="3492"/>
      <c r="Q20" s="1262"/>
      <c r="R20" s="667"/>
      <c r="S20" s="668"/>
      <c r="T20" s="667"/>
      <c r="U20" s="668"/>
      <c r="V20" s="667"/>
      <c r="W20" s="668"/>
      <c r="X20" s="1264"/>
      <c r="Y20" s="3492"/>
      <c r="Z20" s="1263"/>
      <c r="AA20" s="1263">
        <v>1</v>
      </c>
      <c r="AB20" s="1263">
        <v>1</v>
      </c>
      <c r="AC20" s="1263">
        <v>1</v>
      </c>
    </row>
    <row r="21" spans="1:29" ht="85.5">
      <c r="A21" s="367"/>
      <c r="B21" s="390" t="s">
        <v>1831</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v>2</v>
      </c>
      <c r="L21" s="2492"/>
      <c r="M21" s="2487"/>
      <c r="N21" s="2487"/>
      <c r="O21" s="2542"/>
      <c r="P21" s="3492"/>
      <c r="Q21" s="1262" t="str">
        <f>B21</f>
        <v>交通便捷度</v>
      </c>
      <c r="R21" s="667" t="s">
        <v>14</v>
      </c>
      <c r="S21" s="668">
        <f>F21</f>
        <v>100</v>
      </c>
      <c r="T21" s="667" t="s">
        <v>14</v>
      </c>
      <c r="U21" s="668">
        <f>H21</f>
        <v>100</v>
      </c>
      <c r="V21" s="667" t="s">
        <v>14</v>
      </c>
      <c r="W21" s="668">
        <f>J21</f>
        <v>100</v>
      </c>
      <c r="X21" s="1264"/>
      <c r="Y21" s="3492"/>
      <c r="Z21" s="1263" t="str">
        <f>Q21</f>
        <v>交通便捷度</v>
      </c>
      <c r="AA21" s="1263">
        <f t="shared" si="3"/>
        <v>1</v>
      </c>
      <c r="AB21" s="1263">
        <f t="shared" si="4"/>
        <v>1</v>
      </c>
      <c r="AC21" s="1263">
        <f t="shared" si="5"/>
        <v>1</v>
      </c>
    </row>
    <row r="22" spans="1:29" ht="15">
      <c r="A22" s="367"/>
      <c r="B22" s="586"/>
      <c r="C22" s="386" t="s">
        <v>3963</v>
      </c>
      <c r="D22" s="389"/>
      <c r="E22" s="1751" t="s">
        <v>3963</v>
      </c>
      <c r="F22" s="387"/>
      <c r="G22" s="1751" t="s">
        <v>3963</v>
      </c>
      <c r="H22" s="387"/>
      <c r="I22" s="1750" t="s">
        <v>3963</v>
      </c>
      <c r="J22" s="387"/>
      <c r="K22" s="592"/>
      <c r="L22" s="2492"/>
      <c r="M22" s="2487"/>
      <c r="N22" s="2487"/>
      <c r="O22" s="2542"/>
      <c r="P22" s="3492"/>
      <c r="Q22" s="1262"/>
      <c r="R22" s="667"/>
      <c r="S22" s="668"/>
      <c r="T22" s="667"/>
      <c r="U22" s="668"/>
      <c r="V22" s="667"/>
      <c r="W22" s="668"/>
      <c r="X22" s="1264"/>
      <c r="Y22" s="3492"/>
      <c r="Z22" s="1263"/>
      <c r="AA22" s="1263">
        <v>1</v>
      </c>
      <c r="AB22" s="1263">
        <v>1</v>
      </c>
      <c r="AC22" s="1263">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1</v>
      </c>
      <c r="L23" s="2492"/>
      <c r="M23" s="2487"/>
      <c r="N23" s="2487"/>
      <c r="O23" s="2542"/>
      <c r="P23" s="3492"/>
      <c r="Q23" s="1262" t="str">
        <f t="shared" ref="Q23:Q37" si="8">B23</f>
        <v>区域土地利用方向</v>
      </c>
      <c r="R23" s="667" t="s">
        <v>14</v>
      </c>
      <c r="S23" s="668">
        <f>F23</f>
        <v>100</v>
      </c>
      <c r="T23" s="667" t="s">
        <v>14</v>
      </c>
      <c r="U23" s="668">
        <f>H23</f>
        <v>100</v>
      </c>
      <c r="V23" s="667" t="s">
        <v>14</v>
      </c>
      <c r="W23" s="668">
        <f>J23</f>
        <v>100</v>
      </c>
      <c r="X23" s="1264"/>
      <c r="Y23" s="3492"/>
      <c r="Z23" s="1263" t="str">
        <f>Q23</f>
        <v>区域土地利用方向</v>
      </c>
      <c r="AA23" s="1263">
        <f t="shared" si="3"/>
        <v>1</v>
      </c>
      <c r="AB23" s="1263">
        <f t="shared" si="4"/>
        <v>1</v>
      </c>
      <c r="AC23" s="1263">
        <f t="shared" si="5"/>
        <v>1</v>
      </c>
    </row>
    <row r="24" spans="1:29" ht="15">
      <c r="A24" s="348"/>
      <c r="B24" s="395"/>
      <c r="C24" s="542" t="s">
        <v>3961</v>
      </c>
      <c r="D24" s="387"/>
      <c r="E24" s="1751" t="s">
        <v>3961</v>
      </c>
      <c r="F24" s="387"/>
      <c r="G24" s="1750" t="s">
        <v>3961</v>
      </c>
      <c r="H24" s="387"/>
      <c r="I24" s="1750" t="s">
        <v>3961</v>
      </c>
      <c r="J24" s="387"/>
      <c r="K24" s="698"/>
      <c r="L24" s="2492"/>
      <c r="M24" s="2487"/>
      <c r="N24" s="2487"/>
      <c r="O24" s="2542"/>
      <c r="P24" s="3492"/>
      <c r="Q24" s="1262"/>
      <c r="R24" s="667"/>
      <c r="S24" s="668"/>
      <c r="T24" s="667"/>
      <c r="U24" s="668"/>
      <c r="V24" s="667"/>
      <c r="W24" s="668"/>
      <c r="X24" s="1264"/>
      <c r="Y24" s="3492"/>
      <c r="Z24" s="1263"/>
      <c r="AA24" s="1263"/>
      <c r="AB24" s="1263"/>
      <c r="AC24" s="1263"/>
    </row>
    <row r="25" spans="1:29" ht="57">
      <c r="A25" s="348"/>
      <c r="B25" s="586" t="s">
        <v>1870</v>
      </c>
      <c r="C25" s="1805" t="str">
        <f>估价对象房地状况!C20</f>
        <v>区域自然环境：；人文环境；综合评价环境状况一般</v>
      </c>
      <c r="D25" s="389">
        <v>100</v>
      </c>
      <c r="E25" s="391"/>
      <c r="F25" s="389">
        <f>SUMIF(97:97,E26,98:98)-SUMIF(97:97,C26,98:98)+100</f>
        <v>97</v>
      </c>
      <c r="G25" s="391"/>
      <c r="H25" s="389">
        <f>SUMIF(97:97,G26,98:98)-SUMIF(97:97,C26,98:98)+100</f>
        <v>97</v>
      </c>
      <c r="I25" s="393"/>
      <c r="J25" s="389">
        <f>SUMIF(97:97,I26,98:98)-SUMIF(97:97,C26,98:98)+100</f>
        <v>97</v>
      </c>
      <c r="K25" s="593">
        <v>3</v>
      </c>
      <c r="L25" s="2492"/>
      <c r="M25" s="2487"/>
      <c r="N25" s="2487"/>
      <c r="O25" s="2542"/>
      <c r="P25" s="3492"/>
      <c r="Q25" s="1262" t="str">
        <f t="shared" si="8"/>
        <v>自然及人文环境状况</v>
      </c>
      <c r="R25" s="667" t="s">
        <v>14</v>
      </c>
      <c r="S25" s="668">
        <f>F25</f>
        <v>97</v>
      </c>
      <c r="T25" s="667" t="s">
        <v>14</v>
      </c>
      <c r="U25" s="668">
        <f>H25</f>
        <v>97</v>
      </c>
      <c r="V25" s="667" t="s">
        <v>14</v>
      </c>
      <c r="W25" s="668">
        <f>J25</f>
        <v>97</v>
      </c>
      <c r="X25" s="1264"/>
      <c r="Y25" s="3492"/>
      <c r="Z25" s="1263" t="str">
        <f>Q25</f>
        <v>自然及人文环境状况</v>
      </c>
      <c r="AA25" s="1263">
        <f t="shared" si="3"/>
        <v>1.0309278350515463</v>
      </c>
      <c r="AB25" s="1263">
        <f t="shared" si="4"/>
        <v>1.0309278350515463</v>
      </c>
      <c r="AC25" s="1263">
        <f t="shared" si="5"/>
        <v>1.0309278350515463</v>
      </c>
    </row>
    <row r="26" spans="1:29" ht="15">
      <c r="A26" s="348"/>
      <c r="B26" s="395"/>
      <c r="C26" s="386" t="s">
        <v>3961</v>
      </c>
      <c r="D26" s="387"/>
      <c r="E26" s="1757" t="s">
        <v>3963</v>
      </c>
      <c r="F26" s="387"/>
      <c r="G26" s="1757" t="s">
        <v>3963</v>
      </c>
      <c r="H26" s="387"/>
      <c r="I26" s="386" t="s">
        <v>3963</v>
      </c>
      <c r="J26" s="387"/>
      <c r="K26" s="592"/>
      <c r="L26" s="2492"/>
      <c r="M26" s="2487"/>
      <c r="N26" s="2487"/>
      <c r="O26" s="2542"/>
      <c r="P26" s="3492"/>
      <c r="Q26" s="1262"/>
      <c r="R26" s="667"/>
      <c r="S26" s="668"/>
      <c r="T26" s="667"/>
      <c r="U26" s="668"/>
      <c r="V26" s="667"/>
      <c r="W26" s="668"/>
      <c r="X26" s="1264"/>
      <c r="Y26" s="3492"/>
      <c r="Z26" s="1263"/>
      <c r="AA26" s="1263">
        <v>1</v>
      </c>
      <c r="AB26" s="1263">
        <v>1</v>
      </c>
      <c r="AC26" s="1263">
        <v>1</v>
      </c>
    </row>
    <row r="27" spans="1:29" s="102" customFormat="1" ht="42.75">
      <c r="A27" s="443"/>
      <c r="B27" s="586" t="s">
        <v>1776</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v>2</v>
      </c>
      <c r="L27" s="2488"/>
      <c r="M27" s="2439"/>
      <c r="N27" s="2439"/>
      <c r="O27" s="2540"/>
      <c r="P27" s="3492"/>
      <c r="Q27" s="530" t="str">
        <f t="shared" si="8"/>
        <v>公共配套设施</v>
      </c>
      <c r="R27" s="664" t="s">
        <v>14</v>
      </c>
      <c r="S27" s="665">
        <f>F27</f>
        <v>100</v>
      </c>
      <c r="T27" s="664" t="s">
        <v>14</v>
      </c>
      <c r="U27" s="665">
        <f>H27</f>
        <v>100</v>
      </c>
      <c r="V27" s="664" t="s">
        <v>14</v>
      </c>
      <c r="W27" s="665">
        <f>J27</f>
        <v>100</v>
      </c>
      <c r="X27" s="666"/>
      <c r="Y27" s="3492"/>
      <c r="Z27" s="50" t="str">
        <f>Q27</f>
        <v>公共配套设施</v>
      </c>
      <c r="AA27" s="1263">
        <f>D27/F27</f>
        <v>1</v>
      </c>
      <c r="AB27" s="1263">
        <f>D27/H27</f>
        <v>1</v>
      </c>
      <c r="AC27" s="1263">
        <f>D27/J27</f>
        <v>1</v>
      </c>
    </row>
    <row r="28" spans="1:29" s="102" customFormat="1" ht="15">
      <c r="A28" s="443"/>
      <c r="B28" s="395"/>
      <c r="C28" s="1825" t="s">
        <v>3963</v>
      </c>
      <c r="D28" s="387"/>
      <c r="E28" s="1757" t="s">
        <v>3963</v>
      </c>
      <c r="F28" s="387"/>
      <c r="G28" s="1757" t="s">
        <v>3963</v>
      </c>
      <c r="H28" s="387"/>
      <c r="I28" s="386" t="s">
        <v>3963</v>
      </c>
      <c r="J28" s="387"/>
      <c r="K28" s="592"/>
      <c r="L28" s="2488"/>
      <c r="M28" s="2439"/>
      <c r="N28" s="2439"/>
      <c r="O28" s="2540"/>
      <c r="P28" s="3492"/>
      <c r="Q28" s="530"/>
      <c r="R28" s="664"/>
      <c r="S28" s="665"/>
      <c r="T28" s="664"/>
      <c r="U28" s="665"/>
      <c r="V28" s="664"/>
      <c r="W28" s="665"/>
      <c r="X28" s="666"/>
      <c r="Y28" s="3492"/>
      <c r="Z28" s="50"/>
      <c r="AA28" s="1263">
        <v>1</v>
      </c>
      <c r="AB28" s="1263">
        <v>1</v>
      </c>
      <c r="AC28" s="1263">
        <v>1</v>
      </c>
    </row>
    <row r="29" spans="1:29" s="102" customFormat="1" ht="28.5">
      <c r="A29" s="443"/>
      <c r="B29" s="586" t="s">
        <v>1777</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8"/>
      <c r="M29" s="2439"/>
      <c r="N29" s="2439"/>
      <c r="O29" s="2540"/>
      <c r="P29" s="3492"/>
      <c r="Q29" s="530" t="str">
        <f t="shared" ref="Q29" si="9">B29</f>
        <v>基础设施水平</v>
      </c>
      <c r="R29" s="664" t="s">
        <v>14</v>
      </c>
      <c r="S29" s="665">
        <f>F29</f>
        <v>100</v>
      </c>
      <c r="T29" s="664" t="s">
        <v>14</v>
      </c>
      <c r="U29" s="665">
        <f>H29</f>
        <v>100</v>
      </c>
      <c r="V29" s="664" t="s">
        <v>14</v>
      </c>
      <c r="W29" s="665">
        <f>J29</f>
        <v>100</v>
      </c>
      <c r="X29" s="666"/>
      <c r="Y29" s="3492"/>
      <c r="Z29" s="50" t="str">
        <f>Q29</f>
        <v>基础设施水平</v>
      </c>
      <c r="AA29" s="1263">
        <f>D29/F29</f>
        <v>1</v>
      </c>
      <c r="AB29" s="1263">
        <f>D29/H29</f>
        <v>1</v>
      </c>
      <c r="AC29" s="1263">
        <f>D29/J29</f>
        <v>1</v>
      </c>
    </row>
    <row r="30" spans="1:29" s="102" customFormat="1" ht="15">
      <c r="A30" s="443"/>
      <c r="B30" s="395"/>
      <c r="C30" s="1825" t="s">
        <v>3964</v>
      </c>
      <c r="D30" s="387"/>
      <c r="E30" s="1825" t="s">
        <v>3964</v>
      </c>
      <c r="F30" s="387"/>
      <c r="G30" s="1825" t="s">
        <v>3964</v>
      </c>
      <c r="H30" s="387"/>
      <c r="I30" s="1825" t="s">
        <v>3964</v>
      </c>
      <c r="J30" s="387"/>
      <c r="K30" s="592"/>
      <c r="L30" s="2488"/>
      <c r="M30" s="2439"/>
      <c r="N30" s="2439"/>
      <c r="O30" s="2540"/>
      <c r="P30" s="3492"/>
      <c r="Q30" s="530"/>
      <c r="R30" s="664"/>
      <c r="S30" s="665"/>
      <c r="T30" s="664"/>
      <c r="U30" s="665"/>
      <c r="V30" s="664"/>
      <c r="W30" s="665"/>
      <c r="X30" s="666"/>
      <c r="Y30" s="3492"/>
      <c r="Z30" s="50"/>
      <c r="AA30" s="1263">
        <v>1</v>
      </c>
      <c r="AB30" s="1263">
        <v>1</v>
      </c>
      <c r="AC30" s="1263">
        <v>1</v>
      </c>
    </row>
    <row r="31" spans="1:29" ht="15" hidden="1">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9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92"/>
      <c r="Z31" s="1263" t="str">
        <f t="shared" ref="Z31:Z45" si="13">Q31</f>
        <v>临街状况</v>
      </c>
      <c r="AA31" s="1263">
        <f t="shared" si="3"/>
        <v>1</v>
      </c>
      <c r="AB31" s="1263">
        <f t="shared" si="4"/>
        <v>1</v>
      </c>
      <c r="AC31" s="1263">
        <f t="shared" si="5"/>
        <v>1</v>
      </c>
    </row>
    <row r="32" spans="1:29" ht="27" hidden="1">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92"/>
      <c r="Q32" s="1262" t="str">
        <f t="shared" si="8"/>
        <v>毗邻道路的类型与等级</v>
      </c>
      <c r="R32" s="667" t="s">
        <v>14</v>
      </c>
      <c r="S32" s="668">
        <f t="shared" si="10"/>
        <v>100</v>
      </c>
      <c r="T32" s="667" t="s">
        <v>14</v>
      </c>
      <c r="U32" s="668">
        <f t="shared" si="11"/>
        <v>100</v>
      </c>
      <c r="V32" s="667" t="s">
        <v>14</v>
      </c>
      <c r="W32" s="668">
        <f t="shared" si="12"/>
        <v>100</v>
      </c>
      <c r="X32" s="1264"/>
      <c r="Y32" s="3492"/>
      <c r="Z32" s="1263" t="str">
        <f t="shared" si="13"/>
        <v>毗邻道路的类型与等级</v>
      </c>
      <c r="AA32" s="1263">
        <f t="shared" si="3"/>
        <v>1</v>
      </c>
      <c r="AB32" s="1263">
        <f t="shared" si="4"/>
        <v>1</v>
      </c>
      <c r="AC32" s="1263">
        <f t="shared" si="5"/>
        <v>1</v>
      </c>
    </row>
    <row r="33" spans="1:29" ht="15" hidden="1">
      <c r="A33" s="367"/>
      <c r="B33" s="395"/>
      <c r="C33" s="386"/>
      <c r="D33" s="387"/>
      <c r="E33" s="1757"/>
      <c r="F33" s="387"/>
      <c r="G33" s="1757"/>
      <c r="H33" s="387"/>
      <c r="I33" s="386"/>
      <c r="J33" s="387"/>
      <c r="K33" s="539"/>
      <c r="L33" s="2492"/>
      <c r="M33" s="2487"/>
      <c r="N33" s="2487"/>
      <c r="O33" s="2542"/>
      <c r="P33" s="3492"/>
      <c r="Q33" s="1262"/>
      <c r="R33" s="667"/>
      <c r="S33" s="668"/>
      <c r="T33" s="667"/>
      <c r="U33" s="668"/>
      <c r="V33" s="667"/>
      <c r="W33" s="668"/>
      <c r="X33" s="1264"/>
      <c r="Y33" s="3492"/>
      <c r="Z33" s="1263"/>
      <c r="AA33" s="1263">
        <v>1</v>
      </c>
      <c r="AB33" s="1263">
        <v>1</v>
      </c>
      <c r="AC33" s="1263">
        <v>1</v>
      </c>
    </row>
    <row r="34" spans="1:29" ht="15">
      <c r="A34" s="367"/>
      <c r="B34" s="364" t="s">
        <v>1871</v>
      </c>
      <c r="C34" s="542" t="s">
        <v>306</v>
      </c>
      <c r="D34" s="374">
        <v>100</v>
      </c>
      <c r="E34" s="558" t="s">
        <v>306</v>
      </c>
      <c r="F34" s="374">
        <f>SUMIF(107:107,E34,108:108)-SUMIF(107:107,C34,108:108)+100</f>
        <v>100</v>
      </c>
      <c r="G34" s="558" t="s">
        <v>307</v>
      </c>
      <c r="H34" s="374">
        <f>SUMIF(107:107,G34,108:108)-SUMIF(107:107,C34,108:108)+100</f>
        <v>99</v>
      </c>
      <c r="I34" s="542" t="s">
        <v>306</v>
      </c>
      <c r="J34" s="374">
        <f>SUMIF(107:107,I34,108:108)-SUMIF(107:107,C34,108:108)+100</f>
        <v>100</v>
      </c>
      <c r="K34" s="538">
        <v>1</v>
      </c>
      <c r="L34" s="2492"/>
      <c r="M34" s="2487"/>
      <c r="N34" s="2487"/>
      <c r="O34" s="2542"/>
      <c r="P34" s="3492"/>
      <c r="Q34" s="1262" t="str">
        <f t="shared" si="8"/>
        <v>土地级别</v>
      </c>
      <c r="R34" s="667" t="s">
        <v>14</v>
      </c>
      <c r="S34" s="668">
        <f t="shared" si="10"/>
        <v>100</v>
      </c>
      <c r="T34" s="667" t="s">
        <v>14</v>
      </c>
      <c r="U34" s="668">
        <f t="shared" si="11"/>
        <v>99</v>
      </c>
      <c r="V34" s="667" t="s">
        <v>14</v>
      </c>
      <c r="W34" s="668">
        <f t="shared" si="12"/>
        <v>100</v>
      </c>
      <c r="X34" s="1264"/>
      <c r="Y34" s="3492"/>
      <c r="Z34" s="1263" t="str">
        <f t="shared" si="13"/>
        <v>土地级别</v>
      </c>
      <c r="AA34" s="1263">
        <f t="shared" si="3"/>
        <v>1</v>
      </c>
      <c r="AB34" s="1263">
        <f t="shared" si="4"/>
        <v>1.0101010101010102</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92"/>
      <c r="Q35" s="1262">
        <f t="shared" si="8"/>
        <v>111</v>
      </c>
      <c r="R35" s="667" t="s">
        <v>14</v>
      </c>
      <c r="S35" s="668">
        <f t="shared" si="10"/>
        <v>100</v>
      </c>
      <c r="T35" s="667" t="s">
        <v>14</v>
      </c>
      <c r="U35" s="668">
        <f t="shared" si="11"/>
        <v>100</v>
      </c>
      <c r="V35" s="667" t="s">
        <v>14</v>
      </c>
      <c r="W35" s="668">
        <f t="shared" si="12"/>
        <v>100</v>
      </c>
      <c r="X35" s="1264"/>
      <c r="Y35" s="3492"/>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93" t="s">
        <v>1694</v>
      </c>
      <c r="Q36" s="1262">
        <f t="shared" si="8"/>
        <v>111</v>
      </c>
      <c r="R36" s="667" t="s">
        <v>14</v>
      </c>
      <c r="S36" s="668">
        <f t="shared" si="10"/>
        <v>100</v>
      </c>
      <c r="T36" s="667" t="s">
        <v>14</v>
      </c>
      <c r="U36" s="668">
        <f t="shared" si="11"/>
        <v>100</v>
      </c>
      <c r="V36" s="667" t="s">
        <v>14</v>
      </c>
      <c r="W36" s="668">
        <f t="shared" si="12"/>
        <v>100</v>
      </c>
      <c r="X36" s="1264"/>
      <c r="Y36" s="3494" t="s">
        <v>1694</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94"/>
      <c r="Q37" s="1262">
        <f t="shared" si="8"/>
        <v>111</v>
      </c>
      <c r="R37" s="669" t="s">
        <v>14</v>
      </c>
      <c r="S37" s="670">
        <f t="shared" si="10"/>
        <v>100</v>
      </c>
      <c r="T37" s="669" t="s">
        <v>14</v>
      </c>
      <c r="U37" s="670">
        <f t="shared" si="11"/>
        <v>100</v>
      </c>
      <c r="V37" s="669" t="s">
        <v>14</v>
      </c>
      <c r="W37" s="670">
        <f t="shared" si="12"/>
        <v>100</v>
      </c>
      <c r="X37" s="671"/>
      <c r="Y37" s="3494"/>
      <c r="Z37" s="672">
        <f t="shared" si="13"/>
        <v>111</v>
      </c>
      <c r="AA37" s="1263">
        <f t="shared" si="3"/>
        <v>1</v>
      </c>
      <c r="AB37" s="1263">
        <f t="shared" si="4"/>
        <v>1</v>
      </c>
      <c r="AC37" s="1263">
        <f t="shared" si="5"/>
        <v>1</v>
      </c>
    </row>
    <row r="38" spans="1:29" ht="15">
      <c r="A38" s="409" t="s">
        <v>1692</v>
      </c>
      <c r="B38" s="395" t="s">
        <v>1872</v>
      </c>
      <c r="C38" s="599">
        <v>25569.360000000001</v>
      </c>
      <c r="D38" s="405">
        <v>100</v>
      </c>
      <c r="E38" s="599">
        <f>土地案例!I6</f>
        <v>39059.79</v>
      </c>
      <c r="F38" s="405">
        <f>LOOKUP(E38,116:116,117:117)-LOOKUP(C38,116:116,117:117)+100</f>
        <v>101</v>
      </c>
      <c r="G38" s="599">
        <f>土地案例!I7</f>
        <v>55570.2</v>
      </c>
      <c r="H38" s="405">
        <f>LOOKUP(G38,116:116,117:117)-LOOKUP(C38,116:116,117:117)+100</f>
        <v>101</v>
      </c>
      <c r="I38" s="462">
        <f>土地案例!I12</f>
        <v>103325.51</v>
      </c>
      <c r="J38" s="405">
        <f>LOOKUP(I38,116:116,117:117)-LOOKUP(C38,116:116,117:117)+100</f>
        <v>103</v>
      </c>
      <c r="K38" s="539"/>
      <c r="L38" s="2492"/>
      <c r="M38" s="2487"/>
      <c r="N38" s="2487"/>
      <c r="O38" s="2542"/>
      <c r="P38" s="3494"/>
      <c r="Q38" s="1262" t="str">
        <f>B38</f>
        <v>宗地面积</v>
      </c>
      <c r="R38" s="667" t="s">
        <v>14</v>
      </c>
      <c r="S38" s="668">
        <f t="shared" si="10"/>
        <v>101</v>
      </c>
      <c r="T38" s="667" t="s">
        <v>14</v>
      </c>
      <c r="U38" s="668">
        <f t="shared" si="11"/>
        <v>101</v>
      </c>
      <c r="V38" s="667" t="s">
        <v>14</v>
      </c>
      <c r="W38" s="668">
        <f t="shared" si="12"/>
        <v>103</v>
      </c>
      <c r="X38" s="1264"/>
      <c r="Y38" s="3494"/>
      <c r="Z38" s="1263" t="str">
        <f t="shared" si="13"/>
        <v>宗地面积</v>
      </c>
      <c r="AA38" s="1263">
        <f t="shared" si="3"/>
        <v>0.99009900990099009</v>
      </c>
      <c r="AB38" s="1263">
        <f t="shared" si="4"/>
        <v>0.99009900990099009</v>
      </c>
      <c r="AC38" s="1263">
        <f t="shared" si="5"/>
        <v>0.970873786407767</v>
      </c>
    </row>
    <row r="39" spans="1:29" ht="15">
      <c r="A39" s="409"/>
      <c r="B39" s="364" t="s">
        <v>1873</v>
      </c>
      <c r="C39" s="1759" t="s">
        <v>3960</v>
      </c>
      <c r="D39" s="374">
        <v>100</v>
      </c>
      <c r="E39" s="1759" t="s">
        <v>3960</v>
      </c>
      <c r="F39" s="374">
        <f>SUMIF(118:118,E39,119:119)-SUMIF(118:118,C39,119:119)+100</f>
        <v>100</v>
      </c>
      <c r="G39" s="1759" t="s">
        <v>3960</v>
      </c>
      <c r="H39" s="374">
        <f>SUMIF(118:118,G39,119:119)-SUMIF(118:118,C39,119:119)+100</f>
        <v>100</v>
      </c>
      <c r="I39" s="1759" t="s">
        <v>3960</v>
      </c>
      <c r="J39" s="374">
        <f>SUMIF(118:118,I39,119:119)-SUMIF(118:118,C39,119:119)+100</f>
        <v>100</v>
      </c>
      <c r="K39" s="538">
        <v>1</v>
      </c>
      <c r="L39" s="2492"/>
      <c r="M39" s="2487"/>
      <c r="N39" s="2487"/>
      <c r="O39" s="2542"/>
      <c r="P39" s="3494"/>
      <c r="Q39" s="1262" t="str">
        <f t="shared" ref="Q39:Q45" si="14">B39</f>
        <v>宗地形状</v>
      </c>
      <c r="R39" s="667" t="s">
        <v>14</v>
      </c>
      <c r="S39" s="668">
        <f t="shared" si="10"/>
        <v>100</v>
      </c>
      <c r="T39" s="667" t="s">
        <v>14</v>
      </c>
      <c r="U39" s="668">
        <f t="shared" si="11"/>
        <v>100</v>
      </c>
      <c r="V39" s="667" t="s">
        <v>14</v>
      </c>
      <c r="W39" s="668">
        <f t="shared" si="12"/>
        <v>100</v>
      </c>
      <c r="X39" s="1264"/>
      <c r="Y39" s="3494"/>
      <c r="Z39" s="1263" t="str">
        <f t="shared" si="13"/>
        <v>宗地形状</v>
      </c>
      <c r="AA39" s="1263">
        <f t="shared" si="3"/>
        <v>1</v>
      </c>
      <c r="AB39" s="1263">
        <f t="shared" si="4"/>
        <v>1</v>
      </c>
      <c r="AC39" s="1263">
        <f t="shared" si="5"/>
        <v>1</v>
      </c>
    </row>
    <row r="40" spans="1:29" ht="15" hidden="1">
      <c r="A40" s="409"/>
      <c r="B40" s="364" t="s">
        <v>1874</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94"/>
      <c r="Q40" s="1262" t="str">
        <f t="shared" si="14"/>
        <v>临街宽度及深度</v>
      </c>
      <c r="R40" s="667" t="s">
        <v>14</v>
      </c>
      <c r="S40" s="668">
        <f t="shared" si="10"/>
        <v>100</v>
      </c>
      <c r="T40" s="667" t="s">
        <v>14</v>
      </c>
      <c r="U40" s="668">
        <f t="shared" si="11"/>
        <v>100</v>
      </c>
      <c r="V40" s="667" t="s">
        <v>14</v>
      </c>
      <c r="W40" s="668">
        <f t="shared" si="12"/>
        <v>100</v>
      </c>
      <c r="X40" s="1264"/>
      <c r="Y40" s="3494"/>
      <c r="Z40" s="1263" t="str">
        <f t="shared" si="13"/>
        <v>临街宽度及深度</v>
      </c>
      <c r="AA40" s="1263">
        <f t="shared" si="3"/>
        <v>1</v>
      </c>
      <c r="AB40" s="1263">
        <f t="shared" si="4"/>
        <v>1</v>
      </c>
      <c r="AC40" s="1263">
        <f t="shared" si="5"/>
        <v>1</v>
      </c>
    </row>
    <row r="41" spans="1:29" s="102" customFormat="1" ht="15">
      <c r="A41" s="410"/>
      <c r="B41" s="364" t="s">
        <v>1875</v>
      </c>
      <c r="C41" s="1827" t="s">
        <v>3959</v>
      </c>
      <c r="D41" s="119">
        <v>100</v>
      </c>
      <c r="E41" s="1827" t="s">
        <v>3958</v>
      </c>
      <c r="F41" s="374">
        <f>SUMIF(122:122,E41,123:123)-SUMIF(122:122,C41,123:123)+100</f>
        <v>99</v>
      </c>
      <c r="G41" s="1827" t="s">
        <v>3965</v>
      </c>
      <c r="H41" s="374">
        <f>SUMIF(122:122,G41,123:123)-SUMIF(122:122,C41,123:123)+100</f>
        <v>101</v>
      </c>
      <c r="I41" s="1827" t="s">
        <v>3959</v>
      </c>
      <c r="J41" s="374">
        <f>SUMIF(122:122,I41,123:123)-SUMIF(122:122,C41,123:123)+100</f>
        <v>100</v>
      </c>
      <c r="K41" s="538">
        <v>1</v>
      </c>
      <c r="L41" s="2488"/>
      <c r="M41" s="2439"/>
      <c r="N41" s="2439"/>
      <c r="O41" s="2540"/>
      <c r="P41" s="3494"/>
      <c r="Q41" s="1262" t="str">
        <f t="shared" si="14"/>
        <v>宗地开发程度</v>
      </c>
      <c r="R41" s="664" t="s">
        <v>14</v>
      </c>
      <c r="S41" s="665">
        <f t="shared" si="10"/>
        <v>99</v>
      </c>
      <c r="T41" s="664" t="s">
        <v>14</v>
      </c>
      <c r="U41" s="665">
        <f t="shared" si="11"/>
        <v>101</v>
      </c>
      <c r="V41" s="664" t="s">
        <v>14</v>
      </c>
      <c r="W41" s="665">
        <f t="shared" si="12"/>
        <v>100</v>
      </c>
      <c r="X41" s="666"/>
      <c r="Y41" s="3494"/>
      <c r="Z41" s="50" t="str">
        <f t="shared" si="13"/>
        <v>宗地开发程度</v>
      </c>
      <c r="AA41" s="50">
        <f t="shared" si="3"/>
        <v>1.0101010101010102</v>
      </c>
      <c r="AB41" s="50">
        <f t="shared" si="4"/>
        <v>0.99009900990099009</v>
      </c>
      <c r="AC41" s="50">
        <f t="shared" si="5"/>
        <v>1</v>
      </c>
    </row>
    <row r="42" spans="1:29" ht="15">
      <c r="A42" s="409"/>
      <c r="B42" s="364" t="s">
        <v>1876</v>
      </c>
      <c r="C42" s="1759" t="s">
        <v>3961</v>
      </c>
      <c r="D42" s="374">
        <v>100</v>
      </c>
      <c r="E42" s="1759" t="s">
        <v>3961</v>
      </c>
      <c r="F42" s="374">
        <f>SUMIF(124:124,E42,125:125)-SUMIF(124:124,C42,125:125)+100</f>
        <v>100</v>
      </c>
      <c r="G42" s="1759" t="s">
        <v>3961</v>
      </c>
      <c r="H42" s="374">
        <f>SUMIF(124:124,G42,125:125)-SUMIF(124:124,C42,125:125)+100</f>
        <v>100</v>
      </c>
      <c r="I42" s="1759" t="s">
        <v>3961</v>
      </c>
      <c r="J42" s="374">
        <f>SUMIF(124:124,I42,125:125)-SUMIF(124:124,C42,125:125)+100</f>
        <v>100</v>
      </c>
      <c r="K42" s="538">
        <v>1</v>
      </c>
      <c r="L42" s="2492"/>
      <c r="M42" s="2487"/>
      <c r="N42" s="2487"/>
      <c r="O42" s="2542"/>
      <c r="P42" s="3494" t="s">
        <v>1694</v>
      </c>
      <c r="Q42" s="1262" t="str">
        <f t="shared" si="14"/>
        <v>工程地质条件</v>
      </c>
      <c r="R42" s="667" t="s">
        <v>14</v>
      </c>
      <c r="S42" s="668">
        <f t="shared" si="10"/>
        <v>100</v>
      </c>
      <c r="T42" s="667" t="s">
        <v>14</v>
      </c>
      <c r="U42" s="668">
        <f t="shared" si="11"/>
        <v>100</v>
      </c>
      <c r="V42" s="667" t="s">
        <v>14</v>
      </c>
      <c r="W42" s="668">
        <f t="shared" si="12"/>
        <v>100</v>
      </c>
      <c r="X42" s="1264"/>
      <c r="Y42" s="3494" t="s">
        <v>1694</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94"/>
      <c r="Q43" s="1262">
        <f t="shared" si="14"/>
        <v>111</v>
      </c>
      <c r="R43" s="667" t="s">
        <v>14</v>
      </c>
      <c r="S43" s="668">
        <f t="shared" si="10"/>
        <v>100</v>
      </c>
      <c r="T43" s="667" t="s">
        <v>14</v>
      </c>
      <c r="U43" s="668">
        <f t="shared" si="11"/>
        <v>100</v>
      </c>
      <c r="V43" s="667" t="s">
        <v>14</v>
      </c>
      <c r="W43" s="668">
        <f t="shared" si="12"/>
        <v>100</v>
      </c>
      <c r="X43" s="1264"/>
      <c r="Y43" s="349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94"/>
      <c r="Q44" s="1262">
        <f t="shared" si="14"/>
        <v>111</v>
      </c>
      <c r="R44" s="667" t="s">
        <v>14</v>
      </c>
      <c r="S44" s="668">
        <f t="shared" si="10"/>
        <v>100</v>
      </c>
      <c r="T44" s="667" t="s">
        <v>14</v>
      </c>
      <c r="U44" s="668">
        <f t="shared" si="11"/>
        <v>100</v>
      </c>
      <c r="V44" s="667" t="s">
        <v>14</v>
      </c>
      <c r="W44" s="668">
        <f t="shared" si="12"/>
        <v>100</v>
      </c>
      <c r="X44" s="1264"/>
      <c r="Y44" s="3494"/>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94"/>
      <c r="Q45" s="1262">
        <f t="shared" si="14"/>
        <v>111</v>
      </c>
      <c r="R45" s="669" t="s">
        <v>14</v>
      </c>
      <c r="S45" s="670">
        <f t="shared" si="10"/>
        <v>100</v>
      </c>
      <c r="T45" s="669" t="s">
        <v>14</v>
      </c>
      <c r="U45" s="670">
        <f t="shared" si="11"/>
        <v>100</v>
      </c>
      <c r="V45" s="669" t="s">
        <v>14</v>
      </c>
      <c r="W45" s="670">
        <f t="shared" si="12"/>
        <v>100</v>
      </c>
      <c r="X45" s="671"/>
      <c r="Y45" s="3494"/>
      <c r="Z45" s="672">
        <f t="shared" si="13"/>
        <v>111</v>
      </c>
      <c r="AA45" s="1263">
        <f t="shared" si="3"/>
        <v>1</v>
      </c>
      <c r="AB45" s="1263">
        <f t="shared" si="4"/>
        <v>1</v>
      </c>
      <c r="AC45" s="1263">
        <f t="shared" si="5"/>
        <v>1</v>
      </c>
    </row>
    <row r="46" spans="1:29" ht="15">
      <c r="A46" s="416" t="s">
        <v>1842</v>
      </c>
      <c r="B46" s="1829" t="s">
        <v>1877</v>
      </c>
      <c r="C46" s="602" t="s">
        <v>0</v>
      </c>
      <c r="D46" s="418"/>
      <c r="E46" s="419">
        <f>土地案例!AW6</f>
        <v>10454</v>
      </c>
      <c r="F46" s="420"/>
      <c r="G46" s="421">
        <f>土地案例!AW7</f>
        <v>12433</v>
      </c>
      <c r="H46" s="422"/>
      <c r="I46" s="419">
        <f>土地案例!AW12</f>
        <v>10339</v>
      </c>
      <c r="J46" s="422"/>
      <c r="K46" s="674"/>
      <c r="L46" s="2494"/>
      <c r="M46" s="2487"/>
      <c r="N46" s="2487"/>
      <c r="O46" s="2487"/>
      <c r="P46" s="3476" t="str">
        <f>A46</f>
        <v>成交单价</v>
      </c>
      <c r="Q46" s="3476"/>
      <c r="R46" s="3489">
        <f>E46</f>
        <v>10454</v>
      </c>
      <c r="S46" s="3489"/>
      <c r="T46" s="3489">
        <f>G46</f>
        <v>12433</v>
      </c>
      <c r="U46" s="3489"/>
      <c r="V46" s="3489">
        <f>I46</f>
        <v>10339</v>
      </c>
      <c r="W46" s="3489"/>
      <c r="X46" s="385"/>
      <c r="Y46" s="673"/>
      <c r="Z46" s="385"/>
      <c r="AA46" s="385"/>
      <c r="AB46" s="385"/>
      <c r="AC46" s="385"/>
    </row>
    <row r="47" spans="1:29" ht="15.75" thickBot="1">
      <c r="A47" s="423" t="s">
        <v>1791</v>
      </c>
      <c r="B47" s="603"/>
      <c r="C47" s="426">
        <f>R48</f>
        <v>11900</v>
      </c>
      <c r="D47" s="2140" t="s">
        <v>2136</v>
      </c>
      <c r="E47" s="426">
        <f>R47</f>
        <v>10999</v>
      </c>
      <c r="F47" s="2141"/>
      <c r="G47" s="425">
        <f>T47</f>
        <v>13569</v>
      </c>
      <c r="H47" s="2141"/>
      <c r="I47" s="426">
        <f>V47</f>
        <v>11131</v>
      </c>
      <c r="J47" s="2141"/>
      <c r="K47" s="2143">
        <f>F47+H47+J47</f>
        <v>0</v>
      </c>
      <c r="L47" s="2494"/>
      <c r="M47" s="2487"/>
      <c r="N47" s="2487"/>
      <c r="O47" s="2487"/>
      <c r="P47" s="3476" t="str">
        <f>A47</f>
        <v>比较价值（元/平方米）</v>
      </c>
      <c r="Q47" s="3476"/>
      <c r="R47" s="3495">
        <f>ROUND(PRODUCT(R46,AA7:AA45),0)</f>
        <v>10999</v>
      </c>
      <c r="S47" s="3495"/>
      <c r="T47" s="3495">
        <f>ROUND(PRODUCT(T46,AB7:AB45),0)</f>
        <v>13569</v>
      </c>
      <c r="U47" s="3495"/>
      <c r="V47" s="3495">
        <f>ROUND(PRODUCT(V46,AC7:AC45),0)</f>
        <v>11131</v>
      </c>
      <c r="W47" s="3495"/>
      <c r="X47" s="385"/>
      <c r="Y47" s="385"/>
      <c r="Z47" s="385"/>
      <c r="AA47" s="385"/>
      <c r="AB47" s="385"/>
      <c r="AC47" s="385"/>
    </row>
    <row r="48" spans="1:29" ht="15.75" thickBot="1">
      <c r="A48" s="427" t="s">
        <v>1878</v>
      </c>
      <c r="B48" s="428"/>
      <c r="C48" s="429">
        <f>R48</f>
        <v>11900</v>
      </c>
      <c r="D48" s="429"/>
      <c r="E48" s="429"/>
      <c r="F48" s="429"/>
      <c r="G48" s="429"/>
      <c r="H48" s="429"/>
      <c r="I48" s="429"/>
      <c r="J48" s="429"/>
      <c r="K48" s="675"/>
      <c r="L48" s="2494"/>
      <c r="M48" s="2487"/>
      <c r="N48" s="2487"/>
      <c r="O48" s="2487"/>
      <c r="P48" s="3496" t="str">
        <f>A48</f>
        <v>估价对象XX用房的比较价值（楼面单价，元/平方米）</v>
      </c>
      <c r="Q48" s="3497"/>
      <c r="R48" s="3498">
        <f>ROUND(IF(D47="简单平均",AVERAGE(R47:W47),R47*F47+T47*H47+V47*J47),0)</f>
        <v>11900</v>
      </c>
      <c r="S48" s="3498"/>
      <c r="T48" s="3498"/>
      <c r="U48" s="3498"/>
      <c r="V48" s="3498"/>
      <c r="W48" s="349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1793</v>
      </c>
      <c r="D51" s="433"/>
      <c r="E51" s="434">
        <f>IF(E46&lt;E47,E47/E46-1,E46/E47-1)</f>
        <v>5.2133154773292611E-2</v>
      </c>
      <c r="F51" s="435" t="str">
        <f>IF(OR(E51&gt;=0.3,E51&lt;=-0.3),"超过30%","")</f>
        <v/>
      </c>
      <c r="G51" s="434">
        <f>IF(G46&lt;G47,G47/G46-1,G46/G47-1)</f>
        <v>9.1369741816134553E-2</v>
      </c>
      <c r="H51" s="435" t="str">
        <f>IF(OR(G51&gt;=0.3,G51&lt;=-0.3),"超过30%","")</f>
        <v/>
      </c>
      <c r="I51" s="434">
        <f>IF(I46&lt;I47,I47/I46-1,I46/I47-1)</f>
        <v>7.6603153109584987E-2</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1794</v>
      </c>
      <c r="D52" s="436"/>
      <c r="E52" s="434">
        <f>IF(E47&lt;G47,G47/E47-1,E47/G47-1)</f>
        <v>0.23365760523683976</v>
      </c>
      <c r="F52" s="435" t="str">
        <f>IF(OR(E52&gt;=0.2,E52&lt;=-0.2),"超过20%","")</f>
        <v>超过20%</v>
      </c>
      <c r="G52" s="434">
        <f>IF(G47&lt;I47,I47/G47-1,G47/I47-1)</f>
        <v>0.21902793998742243</v>
      </c>
      <c r="H52" s="435" t="str">
        <f>IF(OR(G52&gt;=0.2,G52&lt;=-0.2),"超过20%","")</f>
        <v>超过20%</v>
      </c>
      <c r="I52" s="434">
        <f>IF(I47&lt;E47,E47/I47-1,I47/E47-1)</f>
        <v>1.2001091008273512E-2</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1795</v>
      </c>
      <c r="D53" s="436"/>
      <c r="E53" s="434">
        <f>IF(E46&lt;G46,G46/E46-1,E46/G46-1)</f>
        <v>0.18930552898412101</v>
      </c>
      <c r="F53" s="435" t="str">
        <f>IF(OR(E53&gt;=0.3,E53&lt;=-0.3),"超过30%","")</f>
        <v/>
      </c>
      <c r="G53" s="434">
        <f>IF(G46&lt;I46,I46/G46-1,G46/I46-1)</f>
        <v>0.20253409420640289</v>
      </c>
      <c r="H53" s="435" t="str">
        <f>IF(OR(G53&gt;=0.3,G53&lt;=-0.3),"超过30%","")</f>
        <v/>
      </c>
      <c r="I53" s="434">
        <f>IF(I46&lt;E46,E46/I46-1,I46/E46-1)</f>
        <v>1.1122932585356349E-2</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1879</v>
      </c>
      <c r="B55" s="605" t="s">
        <v>1880</v>
      </c>
      <c r="C55" s="1830" t="s">
        <v>1881</v>
      </c>
      <c r="D55" s="1831" t="s">
        <v>1882</v>
      </c>
      <c r="E55" s="606" t="s">
        <v>1883</v>
      </c>
      <c r="F55" s="837" t="s">
        <v>1884</v>
      </c>
      <c r="G55" s="3477" t="s">
        <v>1885</v>
      </c>
      <c r="H55" s="3499"/>
      <c r="I55" s="127" t="s">
        <v>1886</v>
      </c>
      <c r="J55" s="1832">
        <f>项目基本情况!F35</f>
        <v>0</v>
      </c>
      <c r="K55" s="1833" t="s">
        <v>1887</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1888</v>
      </c>
      <c r="B56" s="609">
        <f>C48</f>
        <v>11900</v>
      </c>
      <c r="C56" s="610">
        <v>1</v>
      </c>
      <c r="D56" s="890">
        <v>1</v>
      </c>
      <c r="E56" s="610">
        <f>'数据-汇总表'!E8+'数据-汇总表'!E9</f>
        <v>23729.450000000004</v>
      </c>
      <c r="F56" s="833">
        <f t="shared" ref="F56:F64" si="15">ROUND(B56*E56/10000,0)</f>
        <v>28238</v>
      </c>
      <c r="G56" s="3500"/>
      <c r="H56" s="347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1889</v>
      </c>
      <c r="B57" s="210">
        <f>ROUND($C$48*C57*D57,0)</f>
        <v>1488</v>
      </c>
      <c r="C57" s="163">
        <f t="shared" ref="C57:C64" si="16">IF($C$55="北京市系数",I57,J57)</f>
        <v>0.5</v>
      </c>
      <c r="D57" s="891">
        <v>0.25</v>
      </c>
      <c r="E57" s="614"/>
      <c r="F57" s="833">
        <f t="shared" si="15"/>
        <v>0</v>
      </c>
      <c r="G57" s="2750" t="s">
        <v>1890</v>
      </c>
      <c r="H57" s="834" t="str">
        <f>项目基本情况!B37</f>
        <v>九级</v>
      </c>
      <c r="I57" s="838">
        <f>SUMIF(修正!A57:A68,H57,修正!B57:B68)</f>
        <v>0.5</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1891</v>
      </c>
      <c r="B58" s="210">
        <f t="shared" ref="B58:B64" si="17">ROUND($C$48*C58*D58,0)</f>
        <v>595</v>
      </c>
      <c r="C58" s="163">
        <f t="shared" si="16"/>
        <v>0.2</v>
      </c>
      <c r="D58" s="891">
        <v>0.25</v>
      </c>
      <c r="E58" s="614"/>
      <c r="F58" s="833">
        <f t="shared" si="15"/>
        <v>0</v>
      </c>
      <c r="G58" s="2751"/>
      <c r="H58" s="834" t="str">
        <f>项目基本情况!B37</f>
        <v>九级</v>
      </c>
      <c r="I58" s="838">
        <f>SUMIF(修正!A57:A68,H58,修正!C57:C68)</f>
        <v>0.2</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1892</v>
      </c>
      <c r="B59" s="210">
        <f t="shared" si="17"/>
        <v>595</v>
      </c>
      <c r="C59" s="163">
        <f t="shared" si="16"/>
        <v>0.2</v>
      </c>
      <c r="D59" s="891">
        <v>0.25</v>
      </c>
      <c r="E59" s="614"/>
      <c r="F59" s="833">
        <f t="shared" si="15"/>
        <v>0</v>
      </c>
      <c r="G59" s="2751"/>
      <c r="H59" s="834" t="str">
        <f>项目基本情况!B37</f>
        <v>九级</v>
      </c>
      <c r="I59" s="838">
        <f>SUMIF(修正!A57:A68,H59,修正!D57:D68)</f>
        <v>0.2</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1893</v>
      </c>
      <c r="B60" s="210">
        <f t="shared" si="17"/>
        <v>595</v>
      </c>
      <c r="C60" s="163">
        <f t="shared" si="16"/>
        <v>0.2</v>
      </c>
      <c r="D60" s="891">
        <v>0.25</v>
      </c>
      <c r="E60" s="209">
        <f>'数据-汇总表'!E11</f>
        <v>0</v>
      </c>
      <c r="F60" s="833">
        <f t="shared" si="15"/>
        <v>0</v>
      </c>
      <c r="G60" s="1834" t="s">
        <v>1894</v>
      </c>
      <c r="H60" s="834" t="str">
        <f>项目基本情况!C37</f>
        <v>九级</v>
      </c>
      <c r="I60" s="838">
        <f>SUMIF(修正!A57:A68,H60,修正!E57:E68)</f>
        <v>0.2</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1895</v>
      </c>
      <c r="B61" s="210">
        <f t="shared" si="17"/>
        <v>595</v>
      </c>
      <c r="C61" s="163">
        <f t="shared" si="16"/>
        <v>0.2</v>
      </c>
      <c r="D61" s="891">
        <v>0.25</v>
      </c>
      <c r="E61" s="209">
        <f>'数据-汇总表'!E12</f>
        <v>2354.37</v>
      </c>
      <c r="F61" s="833">
        <f t="shared" si="15"/>
        <v>140</v>
      </c>
      <c r="G61" s="839" t="s">
        <v>3470</v>
      </c>
      <c r="H61" s="834" t="str">
        <f>IF(G61="商业",项目基本情况!B37,IF(G61="办公",项目基本情况!C37,IF(G61="住宅",项目基本情况!D37,项目基本情况!E37)))</f>
        <v>九级</v>
      </c>
      <c r="I61" s="838">
        <f>SUMIF(修正!A57:A68,H61,修正!F57:F68)</f>
        <v>0.2</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1897</v>
      </c>
      <c r="B62" s="210">
        <f t="shared" si="17"/>
        <v>298</v>
      </c>
      <c r="C62" s="163">
        <f t="shared" si="16"/>
        <v>0.1</v>
      </c>
      <c r="D62" s="891">
        <v>0.25</v>
      </c>
      <c r="E62" s="209">
        <f>'数据-汇总表'!E13</f>
        <v>10240.049999999999</v>
      </c>
      <c r="F62" s="833">
        <f t="shared" si="15"/>
        <v>305</v>
      </c>
      <c r="G62" s="839" t="s">
        <v>1898</v>
      </c>
      <c r="H62" s="834" t="str">
        <f>IF(G62="商业",项目基本情况!B37,IF(G62="办公",项目基本情况!C37,IF(G62="住宅",项目基本情况!D37,项目基本情况!E37)))</f>
        <v>九级</v>
      </c>
      <c r="I62" s="838">
        <f>SUMIF(修正!A57:A68,H62,修正!G57:G68)</f>
        <v>0.1</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1899</v>
      </c>
      <c r="B63" s="210">
        <f t="shared" si="17"/>
        <v>298</v>
      </c>
      <c r="C63" s="163">
        <f t="shared" si="16"/>
        <v>0.1</v>
      </c>
      <c r="D63" s="891">
        <v>0.25</v>
      </c>
      <c r="E63" s="209">
        <f>'数据-汇总表'!E14</f>
        <v>0</v>
      </c>
      <c r="F63" s="833">
        <f t="shared" si="15"/>
        <v>0</v>
      </c>
      <c r="G63" s="1834" t="s">
        <v>1890</v>
      </c>
      <c r="H63" s="834" t="str">
        <f>项目基本情况!B37</f>
        <v>九级</v>
      </c>
      <c r="I63" s="838">
        <f>SUMIF(修正!A57:A68,H63,修正!G57:G68)</f>
        <v>0.1</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1900</v>
      </c>
      <c r="B64" s="210">
        <f t="shared" si="17"/>
        <v>298</v>
      </c>
      <c r="C64" s="163">
        <f t="shared" si="16"/>
        <v>0.1</v>
      </c>
      <c r="D64" s="891">
        <v>0.25</v>
      </c>
      <c r="E64" s="209">
        <f>'数据-汇总表'!E15</f>
        <v>0</v>
      </c>
      <c r="F64" s="833">
        <f t="shared" si="15"/>
        <v>0</v>
      </c>
      <c r="G64" s="1835" t="s">
        <v>1894</v>
      </c>
      <c r="H64" s="844" t="str">
        <f>项目基本情况!C37</f>
        <v>九级</v>
      </c>
      <c r="I64" s="840">
        <f>SUMIF(修正!A57:A68,H64,修正!G57:G68)</f>
        <v>0.1</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1901</v>
      </c>
      <c r="B65" s="616" t="s">
        <v>22</v>
      </c>
      <c r="C65" s="616" t="s">
        <v>23</v>
      </c>
      <c r="D65" s="616" t="s">
        <v>392</v>
      </c>
      <c r="E65" s="616">
        <f>IF(B46="楼面地价",SUM(E56:E64),'数据-汇总表'!D3)</f>
        <v>36323.870000000003</v>
      </c>
      <c r="F65" s="617">
        <f>IF(B46="楼面地价",SUM(F56:F64),ROUND(C48*E65/10000,0))</f>
        <v>28683</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7"/>
      <c r="Q67" s="2487"/>
      <c r="R67" s="2487"/>
      <c r="S67" s="2487"/>
      <c r="T67" s="2487"/>
      <c r="U67" s="2487"/>
      <c r="V67" s="2487"/>
      <c r="W67" s="2487"/>
      <c r="X67" s="2487"/>
      <c r="Y67" s="2487"/>
      <c r="Z67" s="2487"/>
      <c r="AA67" s="2487"/>
      <c r="AB67" s="2487"/>
      <c r="AC67" s="2487"/>
    </row>
    <row r="68" spans="1:29" ht="21.75" thickBot="1">
      <c r="A68" s="658" t="s">
        <v>1796</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1902</v>
      </c>
      <c r="B69" s="1046"/>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10" t="s">
        <v>3945</v>
      </c>
      <c r="Q69" s="2510"/>
      <c r="R69" s="2510"/>
      <c r="S69" s="2510"/>
      <c r="T69" s="2510"/>
      <c r="U69" s="2510"/>
      <c r="V69" s="2510"/>
      <c r="W69" s="2510"/>
      <c r="X69" s="2510"/>
      <c r="Y69" s="2510"/>
      <c r="Z69" s="2510"/>
      <c r="AA69" s="2510"/>
      <c r="AB69" s="2510"/>
      <c r="AC69" s="2510"/>
    </row>
    <row r="70" spans="1:29" s="102" customFormat="1" ht="30" customHeight="1">
      <c r="A70" s="1836" t="s">
        <v>1903</v>
      </c>
      <c r="B70" s="280" t="str">
        <f>"北京市平均增长率"&amp;TEXT(SUMIF(基准地价修正!N25:N29,A70,基准地价修正!P25:P29),"0.00%")</f>
        <v>北京市平均增长率0.00%</v>
      </c>
      <c r="C70" s="530">
        <v>100</v>
      </c>
      <c r="D70" s="6">
        <f>C70-$C$71</f>
        <v>99.8</v>
      </c>
      <c r="E70" s="6">
        <f t="shared" ref="E70:P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2439"/>
      <c r="R70" s="2439"/>
      <c r="S70" s="2439"/>
      <c r="T70" s="2439"/>
      <c r="U70" s="2439"/>
      <c r="V70" s="2439"/>
      <c r="W70" s="2439"/>
      <c r="X70" s="2439"/>
      <c r="Y70" s="2439"/>
      <c r="Z70" s="2439"/>
      <c r="AA70" s="2439"/>
      <c r="AB70" s="2439"/>
      <c r="AC70" s="2439"/>
    </row>
    <row r="71" spans="1:29" s="102" customFormat="1" ht="15.75" thickBot="1">
      <c r="A71" s="449" t="s">
        <v>1714</v>
      </c>
      <c r="B71" s="450"/>
      <c r="C71" s="451">
        <v>0.2</v>
      </c>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1679</v>
      </c>
      <c r="B72" s="444"/>
      <c r="C72" s="456" t="s">
        <v>1774</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1717</v>
      </c>
      <c r="B74" s="460" t="s">
        <v>1683</v>
      </c>
      <c r="C74" s="3241" t="s">
        <v>3943</v>
      </c>
      <c r="D74" s="3241" t="s">
        <v>3944</v>
      </c>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v>100</v>
      </c>
      <c r="D75" s="467">
        <v>97</v>
      </c>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1686</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1687</v>
      </c>
      <c r="C78" s="478" t="str">
        <f>C79&amp;"（含）"&amp;"-"&amp;D79</f>
        <v>0（含）-1</v>
      </c>
      <c r="D78" s="478" t="str">
        <f t="shared" ref="D78:L78" si="21">D79&amp;"（含）"&amp;"-"&amp;E79</f>
        <v>1（含）-2</v>
      </c>
      <c r="E78" s="478" t="str">
        <f t="shared" si="21"/>
        <v>2（含）-3</v>
      </c>
      <c r="F78" s="478" t="str">
        <f t="shared" si="21"/>
        <v>3（含）-4</v>
      </c>
      <c r="G78" s="478" t="str">
        <f t="shared" si="21"/>
        <v>4（含）-</v>
      </c>
      <c r="H78" s="478" t="str">
        <f t="shared" si="21"/>
        <v>（含）-</v>
      </c>
      <c r="I78" s="478" t="str">
        <f t="shared" si="21"/>
        <v>（含）-</v>
      </c>
      <c r="J78" s="478" t="str">
        <f t="shared" si="21"/>
        <v>（含）-</v>
      </c>
      <c r="K78" s="478" t="str">
        <f t="shared" si="21"/>
        <v>（含）-</v>
      </c>
      <c r="L78" s="478" t="str">
        <f t="shared" si="21"/>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v>4</v>
      </c>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t="str">
        <f>B13</f>
        <v>限价</v>
      </c>
      <c r="C83" s="485">
        <v>44000</v>
      </c>
      <c r="D83" s="485">
        <v>32000</v>
      </c>
      <c r="E83" s="485">
        <v>30000</v>
      </c>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v>100</v>
      </c>
      <c r="D84" s="491">
        <v>99</v>
      </c>
      <c r="E84" s="491">
        <v>98</v>
      </c>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t="str">
        <f>B14</f>
        <v>商业占比</v>
      </c>
      <c r="C85" s="3242">
        <v>0</v>
      </c>
      <c r="D85" s="3242">
        <v>0.05</v>
      </c>
      <c r="E85" s="3242">
        <v>0.1</v>
      </c>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v>100</v>
      </c>
      <c r="D86" s="501">
        <v>98</v>
      </c>
      <c r="E86" s="501">
        <v>96</v>
      </c>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1688</v>
      </c>
      <c r="B87" s="460" t="s">
        <v>1718</v>
      </c>
      <c r="C87" s="504" t="s">
        <v>1719</v>
      </c>
      <c r="D87" s="504" t="s">
        <v>1720</v>
      </c>
      <c r="E87" s="504" t="s">
        <v>1721</v>
      </c>
      <c r="F87" s="504" t="s">
        <v>1722</v>
      </c>
      <c r="G87" s="504" t="s">
        <v>1723</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98</v>
      </c>
      <c r="E88" s="475">
        <f>D88-$K15</f>
        <v>96</v>
      </c>
      <c r="F88" s="475">
        <f>E88-$K15</f>
        <v>94</v>
      </c>
      <c r="G88" s="475">
        <f>F88-$K15</f>
        <v>92</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1904</v>
      </c>
      <c r="C89" s="509" t="s">
        <v>1719</v>
      </c>
      <c r="D89" s="509" t="s">
        <v>1720</v>
      </c>
      <c r="E89" s="509" t="s">
        <v>1721</v>
      </c>
      <c r="F89" s="509" t="s">
        <v>1722</v>
      </c>
      <c r="G89" s="509" t="s">
        <v>1723</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1819</v>
      </c>
      <c r="C91" s="509" t="s">
        <v>1719</v>
      </c>
      <c r="D91" s="509" t="s">
        <v>1720</v>
      </c>
      <c r="E91" s="509" t="s">
        <v>1721</v>
      </c>
      <c r="F91" s="509" t="s">
        <v>1722</v>
      </c>
      <c r="G91" s="509" t="s">
        <v>1723</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1724</v>
      </c>
      <c r="C93" s="509" t="s">
        <v>1719</v>
      </c>
      <c r="D93" s="509" t="s">
        <v>1720</v>
      </c>
      <c r="E93" s="509" t="s">
        <v>1721</v>
      </c>
      <c r="F93" s="509" t="s">
        <v>1722</v>
      </c>
      <c r="G93" s="509" t="s">
        <v>1723</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98</v>
      </c>
      <c r="E94" s="475">
        <f>D94-$K21</f>
        <v>96</v>
      </c>
      <c r="F94" s="475">
        <f>E94-$K21</f>
        <v>94</v>
      </c>
      <c r="G94" s="475">
        <f>F94-$K21</f>
        <v>92</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99</v>
      </c>
      <c r="E96" s="475">
        <f>D96-$K23</f>
        <v>98</v>
      </c>
      <c r="F96" s="475">
        <f>E96-$K23</f>
        <v>97</v>
      </c>
      <c r="G96" s="475">
        <f>F96-$K23</f>
        <v>96</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1813</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1871</v>
      </c>
      <c r="C107" s="3243" t="s">
        <v>3946</v>
      </c>
      <c r="D107" s="3243" t="s">
        <v>3947</v>
      </c>
      <c r="E107" s="3243" t="s">
        <v>3948</v>
      </c>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C108-$K34</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5">
        <f t="shared" si="25"/>
        <v>90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1692</v>
      </c>
      <c r="B115" s="460" t="s">
        <v>1911</v>
      </c>
      <c r="C115" s="461" t="str">
        <f>C116&amp;"(含)"&amp;"-"&amp;D116</f>
        <v>0(含)-30000</v>
      </c>
      <c r="D115" s="461" t="str">
        <f t="shared" ref="D115:M115" si="26">D116&amp;"(含)"&amp;"-"&amp;E116</f>
        <v>30000(含)-60000</v>
      </c>
      <c r="E115" s="461" t="str">
        <f t="shared" si="26"/>
        <v>60000(含)-90000</v>
      </c>
      <c r="F115" s="461" t="str">
        <f t="shared" si="26"/>
        <v>90000(含)-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30000</v>
      </c>
      <c r="E116" s="6">
        <v>60000</v>
      </c>
      <c r="F116" s="6">
        <v>90000</v>
      </c>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100</v>
      </c>
      <c r="D117" s="501">
        <v>101</v>
      </c>
      <c r="E117" s="521">
        <v>102</v>
      </c>
      <c r="F117" s="521">
        <v>103</v>
      </c>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1912</v>
      </c>
      <c r="C118" s="3243" t="s">
        <v>3949</v>
      </c>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1913</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1914</v>
      </c>
      <c r="C122" s="3244" t="s">
        <v>3950</v>
      </c>
      <c r="D122" s="3244" t="s">
        <v>3951</v>
      </c>
      <c r="E122" s="3244" t="s">
        <v>3952</v>
      </c>
      <c r="F122" s="3244" t="s">
        <v>3953</v>
      </c>
      <c r="G122" s="3244" t="s">
        <v>3954</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1915</v>
      </c>
      <c r="C124" s="3245" t="s">
        <v>3955</v>
      </c>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36"/>
  <sheetViews>
    <sheetView workbookViewId="0">
      <selection activeCell="BA40" sqref="BA40"/>
    </sheetView>
  </sheetViews>
  <sheetFormatPr defaultRowHeight="12"/>
  <cols>
    <col min="1" max="1" width="28.125" style="3231" customWidth="1"/>
    <col min="2" max="3" width="20" style="3231" hidden="1" customWidth="1"/>
    <col min="4" max="4" width="6.25" style="3231" customWidth="1"/>
    <col min="5" max="5" width="7.875" style="3231" hidden="1" customWidth="1"/>
    <col min="6" max="6" width="20" style="3231" hidden="1" customWidth="1"/>
    <col min="7" max="7" width="8.875" style="3231" customWidth="1"/>
    <col min="8" max="8" width="20" style="3231" hidden="1" customWidth="1"/>
    <col min="9" max="9" width="11.75" style="3231" customWidth="1"/>
    <col min="10" max="10" width="10.125" style="3231" customWidth="1"/>
    <col min="11" max="14" width="20" style="3231" hidden="1" customWidth="1"/>
    <col min="15" max="15" width="5.875" style="3231" customWidth="1"/>
    <col min="16" max="16" width="7" style="3231" customWidth="1"/>
    <col min="17" max="18" width="20" style="3231" hidden="1" customWidth="1"/>
    <col min="19" max="19" width="10.625" style="3231" customWidth="1"/>
    <col min="20" max="20" width="20" style="3231" hidden="1" customWidth="1"/>
    <col min="21" max="21" width="7.875" style="3231" customWidth="1"/>
    <col min="22" max="26" width="20" style="3231" hidden="1" customWidth="1"/>
    <col min="27" max="27" width="5.75" style="3231" hidden="1" customWidth="1"/>
    <col min="28" max="28" width="7.75" style="3231" hidden="1" customWidth="1"/>
    <col min="29" max="32" width="20" style="3231" hidden="1" customWidth="1"/>
    <col min="33" max="33" width="9.375" style="3231" customWidth="1"/>
    <col min="34" max="35" width="20" style="3231" hidden="1" customWidth="1"/>
    <col min="36" max="36" width="9.625" style="3231" customWidth="1"/>
    <col min="37" max="42" width="20" style="3231" hidden="1" customWidth="1"/>
    <col min="43" max="43" width="8.875" style="3231" customWidth="1"/>
    <col min="44" max="44" width="11.875" style="3231" hidden="1" customWidth="1"/>
    <col min="45" max="45" width="10.375" style="3231" customWidth="1"/>
    <col min="46" max="46" width="20" style="3231" hidden="1" customWidth="1"/>
    <col min="47" max="47" width="12.375" style="3231" customWidth="1"/>
    <col min="48" max="48" width="20" style="3231" hidden="1" customWidth="1"/>
    <col min="49" max="49" width="11.25" style="3231" customWidth="1"/>
    <col min="50" max="51" width="20" style="3231" hidden="1" customWidth="1"/>
    <col min="52" max="52" width="10.125" style="3231" customWidth="1"/>
    <col min="53" max="53" width="14.75" style="3231" customWidth="1"/>
    <col min="54" max="54" width="20" style="3231" hidden="1" customWidth="1"/>
    <col min="55" max="55" width="13.5" style="3231" customWidth="1"/>
    <col min="56" max="56" width="11.75" style="3231" customWidth="1"/>
    <col min="57" max="59" width="20" style="3231" hidden="1" customWidth="1"/>
    <col min="60" max="60" width="10.875" style="3231" customWidth="1"/>
    <col min="61" max="61" width="20" style="3231" customWidth="1"/>
    <col min="62" max="65" width="20" style="3231" hidden="1" customWidth="1"/>
    <col min="66" max="66" width="20" style="3231" customWidth="1"/>
    <col min="67" max="16384" width="9" style="3231"/>
  </cols>
  <sheetData>
    <row r="1" spans="1:65">
      <c r="A1" s="3231" t="s">
        <v>3520</v>
      </c>
      <c r="B1" s="3231" t="s">
        <v>3521</v>
      </c>
      <c r="C1" s="3231" t="s">
        <v>3522</v>
      </c>
      <c r="D1" s="3231" t="s">
        <v>3523</v>
      </c>
      <c r="E1" s="3231" t="s">
        <v>3524</v>
      </c>
      <c r="F1" s="3231" t="s">
        <v>3525</v>
      </c>
      <c r="G1" s="3231" t="s">
        <v>3526</v>
      </c>
      <c r="H1" s="3231" t="s">
        <v>3527</v>
      </c>
      <c r="I1" s="3231" t="s">
        <v>3528</v>
      </c>
      <c r="J1" s="3231" t="s">
        <v>3529</v>
      </c>
      <c r="K1" s="3231" t="s">
        <v>3530</v>
      </c>
      <c r="L1" s="3231" t="s">
        <v>3531</v>
      </c>
      <c r="M1" s="3231" t="s">
        <v>3532</v>
      </c>
      <c r="N1" s="3231" t="s">
        <v>3533</v>
      </c>
      <c r="O1" s="3231" t="s">
        <v>3534</v>
      </c>
      <c r="P1" s="3231" t="s">
        <v>3535</v>
      </c>
      <c r="Q1" s="3231" t="s">
        <v>3536</v>
      </c>
      <c r="R1" s="3231" t="s">
        <v>3537</v>
      </c>
      <c r="S1" s="3231" t="s">
        <v>3538</v>
      </c>
      <c r="T1" s="3231" t="s">
        <v>3539</v>
      </c>
      <c r="U1" s="3231" t="s">
        <v>3540</v>
      </c>
      <c r="V1" s="3231" t="s">
        <v>3541</v>
      </c>
      <c r="W1" s="3231" t="s">
        <v>3542</v>
      </c>
      <c r="X1" s="3231" t="s">
        <v>3543</v>
      </c>
      <c r="Y1" s="3231" t="s">
        <v>3544</v>
      </c>
      <c r="Z1" s="3231" t="s">
        <v>3545</v>
      </c>
      <c r="AA1" s="3231" t="s">
        <v>3546</v>
      </c>
      <c r="AB1" s="3231" t="s">
        <v>3547</v>
      </c>
      <c r="AC1" s="3231" t="s">
        <v>3548</v>
      </c>
      <c r="AD1" s="3231" t="s">
        <v>3549</v>
      </c>
      <c r="AE1" s="3231" t="s">
        <v>3550</v>
      </c>
      <c r="AF1" s="3231" t="s">
        <v>3551</v>
      </c>
      <c r="AG1" s="3231" t="s">
        <v>3552</v>
      </c>
      <c r="AH1" s="3231" t="s">
        <v>3553</v>
      </c>
      <c r="AI1" s="3231" t="s">
        <v>3554</v>
      </c>
      <c r="AJ1" s="3231" t="s">
        <v>3555</v>
      </c>
      <c r="AK1" s="3231" t="s">
        <v>3556</v>
      </c>
      <c r="AL1" s="3231" t="s">
        <v>3557</v>
      </c>
      <c r="AM1" s="3231" t="s">
        <v>3558</v>
      </c>
      <c r="AN1" s="3231" t="s">
        <v>3559</v>
      </c>
      <c r="AO1" s="3231" t="s">
        <v>3560</v>
      </c>
      <c r="AP1" s="3231" t="s">
        <v>3561</v>
      </c>
      <c r="AQ1" s="3231" t="s">
        <v>3562</v>
      </c>
      <c r="AR1" s="3231" t="s">
        <v>3563</v>
      </c>
      <c r="AS1" s="3231" t="s">
        <v>3564</v>
      </c>
      <c r="AT1" s="3231" t="s">
        <v>3565</v>
      </c>
      <c r="AU1" s="3231" t="s">
        <v>3566</v>
      </c>
      <c r="AV1" s="3231" t="s">
        <v>3567</v>
      </c>
      <c r="AW1" s="3231" t="s">
        <v>3568</v>
      </c>
      <c r="AX1" s="3231" t="s">
        <v>3569</v>
      </c>
      <c r="AY1" s="3231" t="s">
        <v>3570</v>
      </c>
      <c r="AZ1" s="3231" t="s">
        <v>3571</v>
      </c>
      <c r="BA1" s="3231" t="s">
        <v>3572</v>
      </c>
      <c r="BB1" s="3231" t="s">
        <v>3573</v>
      </c>
      <c r="BC1" s="3231" t="s">
        <v>3574</v>
      </c>
      <c r="BD1" s="3231" t="s">
        <v>3575</v>
      </c>
      <c r="BE1" s="3231" t="s">
        <v>3576</v>
      </c>
      <c r="BF1" s="3231" t="s">
        <v>3577</v>
      </c>
      <c r="BG1" s="3231" t="s">
        <v>3578</v>
      </c>
      <c r="BH1" s="3231" t="s">
        <v>3579</v>
      </c>
      <c r="BI1" s="3231" t="s">
        <v>3580</v>
      </c>
      <c r="BJ1" s="3231" t="s">
        <v>3581</v>
      </c>
      <c r="BK1" s="3231" t="s">
        <v>3582</v>
      </c>
      <c r="BL1" s="3231" t="s">
        <v>3583</v>
      </c>
      <c r="BM1" s="3231" t="s">
        <v>3584</v>
      </c>
    </row>
    <row r="2" spans="1:65" s="3232" customFormat="1" hidden="1">
      <c r="A2" s="3232" t="s">
        <v>3585</v>
      </c>
      <c r="B2" s="3232" t="s">
        <v>3586</v>
      </c>
      <c r="C2" s="3232" t="s">
        <v>3587</v>
      </c>
      <c r="D2" s="3232" t="s">
        <v>3588</v>
      </c>
      <c r="E2" s="3232" t="s">
        <v>3589</v>
      </c>
      <c r="F2" s="3232" t="s">
        <v>3590</v>
      </c>
      <c r="G2" s="3232" t="s">
        <v>3933</v>
      </c>
      <c r="H2" s="3232" t="s">
        <v>3591</v>
      </c>
      <c r="I2" s="3232">
        <v>134040.01999999999</v>
      </c>
      <c r="J2" s="3232">
        <v>149100</v>
      </c>
      <c r="K2" s="3232" t="s">
        <v>3592</v>
      </c>
      <c r="L2" s="3232" t="s">
        <v>3592</v>
      </c>
      <c r="M2" s="3232">
        <v>0</v>
      </c>
      <c r="N2" s="3232">
        <v>0</v>
      </c>
      <c r="O2" s="3232" t="s">
        <v>3593</v>
      </c>
      <c r="P2" s="3232" t="s">
        <v>3594</v>
      </c>
      <c r="Q2" s="3232" t="s">
        <v>3595</v>
      </c>
      <c r="R2" s="3232" t="s">
        <v>3596</v>
      </c>
      <c r="S2" s="3232" t="s">
        <v>3597</v>
      </c>
      <c r="T2" s="3232">
        <v>1.1100000000000001</v>
      </c>
      <c r="U2" s="3232" t="s">
        <v>3592</v>
      </c>
      <c r="V2" s="3232" t="s">
        <v>3592</v>
      </c>
      <c r="W2" s="3232">
        <v>15</v>
      </c>
      <c r="X2" s="3232" t="s">
        <v>3598</v>
      </c>
      <c r="Y2" s="3232" t="s">
        <v>3599</v>
      </c>
      <c r="Z2" s="3232" t="s">
        <v>3600</v>
      </c>
      <c r="AA2" s="3232" t="s">
        <v>3601</v>
      </c>
      <c r="AB2" s="3232" t="s">
        <v>3592</v>
      </c>
      <c r="AC2" s="3232" t="s">
        <v>3592</v>
      </c>
      <c r="AD2" s="3233">
        <v>45343.000497685185</v>
      </c>
      <c r="AE2" s="3233">
        <v>45363.000497685185</v>
      </c>
      <c r="AF2" s="3233">
        <v>45377.000497685185</v>
      </c>
      <c r="AG2" s="3233">
        <v>45377.000497685185</v>
      </c>
      <c r="AH2" s="3232" t="s">
        <v>3602</v>
      </c>
      <c r="AI2" s="3232" t="s">
        <v>3603</v>
      </c>
      <c r="AJ2" s="3232" t="s">
        <v>3604</v>
      </c>
      <c r="AK2" s="3232" t="s">
        <v>3605</v>
      </c>
      <c r="AL2" s="3232" t="s">
        <v>3606</v>
      </c>
      <c r="AM2" s="3232" t="s">
        <v>3607</v>
      </c>
      <c r="AN2" s="3232">
        <v>205100</v>
      </c>
      <c r="AO2" s="3232">
        <v>42000</v>
      </c>
      <c r="AP2" s="3233">
        <v>45376.708831018521</v>
      </c>
      <c r="AQ2" s="3232">
        <v>205100</v>
      </c>
      <c r="AR2" s="3232">
        <v>15301.4</v>
      </c>
      <c r="AS2" s="3232">
        <v>15301.4</v>
      </c>
      <c r="AT2" s="3232">
        <v>1020.09</v>
      </c>
      <c r="AU2" s="3232">
        <v>1020.09</v>
      </c>
      <c r="AV2" s="3232">
        <v>13756</v>
      </c>
      <c r="AW2" s="3232">
        <v>13756</v>
      </c>
      <c r="AX2" s="3232" t="s">
        <v>3592</v>
      </c>
      <c r="AY2" s="3232" t="s">
        <v>3592</v>
      </c>
      <c r="AZ2" s="3232">
        <v>0</v>
      </c>
      <c r="BA2" s="3232">
        <v>215355</v>
      </c>
      <c r="BB2" s="3232" t="s">
        <v>3608</v>
      </c>
      <c r="BC2" s="3232">
        <v>44000</v>
      </c>
      <c r="BD2" s="3232">
        <v>44000</v>
      </c>
      <c r="BE2" s="3232">
        <v>14444</v>
      </c>
      <c r="BF2" s="3232">
        <v>5</v>
      </c>
      <c r="BG2" s="3232">
        <v>16845</v>
      </c>
      <c r="BH2" s="3232" t="s">
        <v>3609</v>
      </c>
      <c r="BI2" s="3232" t="s">
        <v>3934</v>
      </c>
      <c r="BJ2" s="3232" t="s">
        <v>3610</v>
      </c>
      <c r="BK2" s="3232" t="s">
        <v>3611</v>
      </c>
      <c r="BL2" s="3232" t="s">
        <v>3592</v>
      </c>
      <c r="BM2" s="3232" t="s">
        <v>3592</v>
      </c>
    </row>
    <row r="3" spans="1:65" hidden="1">
      <c r="A3" s="3231" t="s">
        <v>3612</v>
      </c>
      <c r="B3" s="3231" t="s">
        <v>3586</v>
      </c>
      <c r="C3" s="3231" t="s">
        <v>3587</v>
      </c>
      <c r="D3" s="3231" t="s">
        <v>3588</v>
      </c>
      <c r="E3" s="3231" t="s">
        <v>3589</v>
      </c>
      <c r="F3" s="3231" t="s">
        <v>3613</v>
      </c>
      <c r="G3" s="3231" t="s">
        <v>3613</v>
      </c>
      <c r="H3" s="3231" t="s">
        <v>3614</v>
      </c>
      <c r="I3" s="3231">
        <v>133625.32999999999</v>
      </c>
      <c r="J3" s="3231">
        <v>146200</v>
      </c>
      <c r="K3" s="3231" t="s">
        <v>3592</v>
      </c>
      <c r="L3" s="3231" t="s">
        <v>3592</v>
      </c>
      <c r="M3" s="3231">
        <v>0</v>
      </c>
      <c r="N3" s="3231">
        <v>0</v>
      </c>
      <c r="O3" s="3231" t="s">
        <v>3615</v>
      </c>
      <c r="P3" s="3231" t="s">
        <v>3616</v>
      </c>
      <c r="Q3" s="3231" t="s">
        <v>3617</v>
      </c>
      <c r="R3" s="3231" t="s">
        <v>3618</v>
      </c>
      <c r="S3" s="3231" t="s">
        <v>3619</v>
      </c>
      <c r="T3" s="3231">
        <v>1.0900000000000001</v>
      </c>
      <c r="U3" s="3231" t="s">
        <v>3592</v>
      </c>
      <c r="V3" s="3231" t="s">
        <v>3592</v>
      </c>
      <c r="W3" s="3231" t="s">
        <v>3620</v>
      </c>
      <c r="X3" s="3231" t="s">
        <v>3598</v>
      </c>
      <c r="Y3" s="3231" t="s">
        <v>3599</v>
      </c>
      <c r="Z3" s="3231" t="s">
        <v>3592</v>
      </c>
      <c r="AA3" s="3231" t="s">
        <v>3592</v>
      </c>
      <c r="AB3" s="3231" t="s">
        <v>3592</v>
      </c>
      <c r="AC3" s="3231" t="s">
        <v>3592</v>
      </c>
      <c r="AD3" s="3234">
        <v>45197.000497685185</v>
      </c>
      <c r="AE3" s="3234">
        <v>45217.000497685185</v>
      </c>
      <c r="AF3" s="3234">
        <v>45231.000497685185</v>
      </c>
      <c r="AG3" s="3234">
        <v>45231.000497685185</v>
      </c>
      <c r="AH3" s="3231" t="s">
        <v>3602</v>
      </c>
      <c r="AI3" s="3231" t="s">
        <v>3603</v>
      </c>
      <c r="AJ3" s="3231" t="s">
        <v>3621</v>
      </c>
      <c r="AK3" s="3231" t="s">
        <v>3605</v>
      </c>
      <c r="AL3" s="3231" t="s">
        <v>3606</v>
      </c>
      <c r="AM3" s="3231" t="s">
        <v>3607</v>
      </c>
      <c r="AN3" s="3231">
        <v>241000</v>
      </c>
      <c r="AO3" s="3231">
        <v>50000</v>
      </c>
      <c r="AP3" s="3234">
        <v>45231.625497685185</v>
      </c>
      <c r="AQ3" s="3231">
        <v>241000</v>
      </c>
      <c r="AR3" s="3231">
        <v>18035.5</v>
      </c>
      <c r="AS3" s="3231">
        <v>18035.5</v>
      </c>
      <c r="AT3" s="3231">
        <v>1202.3699999999999</v>
      </c>
      <c r="AU3" s="3231">
        <v>1202.3699999999999</v>
      </c>
      <c r="AV3" s="3231">
        <v>16484</v>
      </c>
      <c r="AW3" s="3231">
        <v>16484</v>
      </c>
      <c r="AX3" s="3231" t="s">
        <v>3592</v>
      </c>
      <c r="AY3" s="3231" t="s">
        <v>3592</v>
      </c>
      <c r="AZ3" s="3231">
        <v>0</v>
      </c>
      <c r="BA3" s="3231">
        <v>253050</v>
      </c>
      <c r="BB3" s="3231" t="s">
        <v>3608</v>
      </c>
      <c r="BC3" s="3231">
        <v>42000</v>
      </c>
      <c r="BD3" s="3231">
        <v>42000</v>
      </c>
      <c r="BE3" s="3231">
        <v>17308</v>
      </c>
      <c r="BF3" s="3231">
        <v>5</v>
      </c>
      <c r="BG3" s="3231" t="s">
        <v>3592</v>
      </c>
      <c r="BH3" s="3231" t="s">
        <v>3622</v>
      </c>
      <c r="BI3" s="3231" t="s">
        <v>3623</v>
      </c>
      <c r="BJ3" s="3231" t="s">
        <v>3624</v>
      </c>
      <c r="BK3" s="3231" t="s">
        <v>3625</v>
      </c>
      <c r="BL3" s="3231" t="s">
        <v>3592</v>
      </c>
      <c r="BM3" s="3231" t="s">
        <v>3592</v>
      </c>
    </row>
    <row r="4" spans="1:65" hidden="1">
      <c r="A4" s="3231" t="s">
        <v>3626</v>
      </c>
      <c r="B4" s="3231" t="s">
        <v>3586</v>
      </c>
      <c r="C4" s="3231" t="s">
        <v>3587</v>
      </c>
      <c r="D4" s="3231" t="s">
        <v>3627</v>
      </c>
      <c r="E4" s="3231" t="s">
        <v>3628</v>
      </c>
      <c r="F4" s="3231" t="s">
        <v>3629</v>
      </c>
      <c r="G4" s="3231" t="s">
        <v>3629</v>
      </c>
      <c r="H4" s="3231" t="s">
        <v>3630</v>
      </c>
      <c r="I4" s="3231">
        <v>30880.23</v>
      </c>
      <c r="J4" s="3231">
        <v>55584.41</v>
      </c>
      <c r="K4" s="3231" t="s">
        <v>3592</v>
      </c>
      <c r="L4" s="3231" t="s">
        <v>3592</v>
      </c>
      <c r="M4" s="3231">
        <v>0</v>
      </c>
      <c r="N4" s="3231">
        <v>0</v>
      </c>
      <c r="O4" s="3231" t="s">
        <v>3615</v>
      </c>
      <c r="P4" s="3231" t="s">
        <v>3631</v>
      </c>
      <c r="Q4" s="3231" t="s">
        <v>3617</v>
      </c>
      <c r="R4" s="3231" t="s">
        <v>3632</v>
      </c>
      <c r="S4" s="3231">
        <v>1.8</v>
      </c>
      <c r="T4" s="3231">
        <v>1.8</v>
      </c>
      <c r="U4" s="3231" t="s">
        <v>3592</v>
      </c>
      <c r="V4" s="3231" t="s">
        <v>3592</v>
      </c>
      <c r="W4" s="3231" t="s">
        <v>3633</v>
      </c>
      <c r="X4" s="3231" t="s">
        <v>3598</v>
      </c>
      <c r="Y4" s="3231" t="s">
        <v>3599</v>
      </c>
      <c r="Z4" s="3231" t="s">
        <v>3600</v>
      </c>
      <c r="AA4" s="3231" t="s">
        <v>3592</v>
      </c>
      <c r="AB4" s="3231" t="s">
        <v>3592</v>
      </c>
      <c r="AC4" s="3231" t="s">
        <v>3592</v>
      </c>
      <c r="AD4" s="3234">
        <v>45169.000497685185</v>
      </c>
      <c r="AE4" s="3234">
        <v>45189.000497685185</v>
      </c>
      <c r="AF4" s="3234">
        <v>45209.000497685185</v>
      </c>
      <c r="AG4" s="3234">
        <v>45209.000497685185</v>
      </c>
      <c r="AH4" s="3231" t="s">
        <v>3602</v>
      </c>
      <c r="AI4" s="3231" t="s">
        <v>3603</v>
      </c>
      <c r="AJ4" s="3231" t="s">
        <v>3634</v>
      </c>
      <c r="AK4" s="3231" t="s">
        <v>3635</v>
      </c>
      <c r="AL4" s="3231" t="s">
        <v>3606</v>
      </c>
      <c r="AM4" s="3231" t="s">
        <v>3607</v>
      </c>
      <c r="AN4" s="3231">
        <v>49000</v>
      </c>
      <c r="AO4" s="3231">
        <v>10000</v>
      </c>
      <c r="AP4" s="3234">
        <v>45203.625497685185</v>
      </c>
      <c r="AQ4" s="3231">
        <v>49000</v>
      </c>
      <c r="AR4" s="3231">
        <v>15867.75</v>
      </c>
      <c r="AS4" s="3231">
        <v>15867.75</v>
      </c>
      <c r="AT4" s="3231">
        <v>1057.8499999999999</v>
      </c>
      <c r="AU4" s="3231">
        <v>1057.8499999999999</v>
      </c>
      <c r="AV4" s="3231">
        <v>8815</v>
      </c>
      <c r="AW4" s="3231">
        <v>8815</v>
      </c>
      <c r="AX4" s="3231" t="s">
        <v>3592</v>
      </c>
      <c r="AY4" s="3231" t="s">
        <v>3592</v>
      </c>
      <c r="AZ4" s="3231">
        <v>0</v>
      </c>
      <c r="BA4" s="3231">
        <v>56350</v>
      </c>
      <c r="BB4" s="3231" t="s">
        <v>3608</v>
      </c>
      <c r="BC4" s="3231">
        <v>31000</v>
      </c>
      <c r="BD4" s="3231">
        <v>31000</v>
      </c>
      <c r="BE4" s="3231">
        <v>10138</v>
      </c>
      <c r="BF4" s="3231">
        <v>15</v>
      </c>
      <c r="BG4" s="3231">
        <v>22184</v>
      </c>
      <c r="BH4" s="3231" t="s">
        <v>3609</v>
      </c>
      <c r="BI4" s="3231" t="s">
        <v>3935</v>
      </c>
      <c r="BJ4" s="3231" t="s">
        <v>3624</v>
      </c>
      <c r="BK4" s="3231" t="s">
        <v>3636</v>
      </c>
      <c r="BL4" s="3234">
        <v>45240.000497685185</v>
      </c>
      <c r="BM4" s="3231">
        <v>49000</v>
      </c>
    </row>
    <row r="5" spans="1:65" s="3235" customFormat="1" hidden="1">
      <c r="A5" s="3235" t="s">
        <v>3637</v>
      </c>
      <c r="B5" s="3235" t="s">
        <v>3586</v>
      </c>
      <c r="C5" s="3235" t="s">
        <v>3587</v>
      </c>
      <c r="D5" s="3235" t="s">
        <v>3638</v>
      </c>
      <c r="E5" s="3235" t="s">
        <v>3639</v>
      </c>
      <c r="F5" s="3235" t="s">
        <v>3640</v>
      </c>
      <c r="G5" s="3235" t="s">
        <v>3640</v>
      </c>
      <c r="H5" s="3235" t="s">
        <v>3641</v>
      </c>
      <c r="I5" s="3235">
        <v>25569.01</v>
      </c>
      <c r="J5" s="3235">
        <v>40910.42</v>
      </c>
      <c r="K5" s="3235" t="s">
        <v>3592</v>
      </c>
      <c r="L5" s="3235" t="s">
        <v>3592</v>
      </c>
      <c r="M5" s="3235">
        <v>0</v>
      </c>
      <c r="N5" s="3235">
        <v>0</v>
      </c>
      <c r="O5" s="3235" t="s">
        <v>3615</v>
      </c>
      <c r="P5" s="3235" t="s">
        <v>3631</v>
      </c>
      <c r="Q5" s="3235" t="s">
        <v>3617</v>
      </c>
      <c r="R5" s="3235" t="s">
        <v>3632</v>
      </c>
      <c r="S5" s="3235">
        <v>1.6</v>
      </c>
      <c r="T5" s="3235">
        <v>1.6</v>
      </c>
      <c r="U5" s="3235" t="s">
        <v>3592</v>
      </c>
      <c r="V5" s="3235" t="s">
        <v>3592</v>
      </c>
      <c r="W5" s="3235">
        <v>24</v>
      </c>
      <c r="X5" s="3235" t="s">
        <v>3598</v>
      </c>
      <c r="Y5" s="3235" t="s">
        <v>3599</v>
      </c>
      <c r="Z5" s="3235" t="s">
        <v>3600</v>
      </c>
      <c r="AA5" s="3235" t="s">
        <v>3642</v>
      </c>
      <c r="AB5" s="3235" t="s">
        <v>3592</v>
      </c>
      <c r="AC5" s="3235" t="s">
        <v>3592</v>
      </c>
      <c r="AD5" s="3236">
        <v>45113.000497685185</v>
      </c>
      <c r="AE5" s="3236">
        <v>45133.000497685185</v>
      </c>
      <c r="AF5" s="3236">
        <v>45147.000497685185</v>
      </c>
      <c r="AG5" s="3236">
        <v>45147.000497685185</v>
      </c>
      <c r="AH5" s="3235" t="s">
        <v>3602</v>
      </c>
      <c r="AI5" s="3235" t="s">
        <v>3603</v>
      </c>
      <c r="AJ5" s="3235" t="s">
        <v>3643</v>
      </c>
      <c r="AK5" s="3235" t="s">
        <v>3635</v>
      </c>
      <c r="AL5" s="3235" t="s">
        <v>3606</v>
      </c>
      <c r="AM5" s="3235" t="s">
        <v>3607</v>
      </c>
      <c r="AN5" s="3235">
        <v>52000</v>
      </c>
      <c r="AO5" s="3235">
        <v>11000</v>
      </c>
      <c r="AP5" s="3236">
        <v>45147.625497685185</v>
      </c>
      <c r="AQ5" s="3235">
        <v>52000</v>
      </c>
      <c r="AR5" s="3235">
        <v>20337.12</v>
      </c>
      <c r="AS5" s="3235">
        <v>20337.12</v>
      </c>
      <c r="AT5" s="3235">
        <v>1355.81</v>
      </c>
      <c r="AU5" s="3235">
        <v>1355.81</v>
      </c>
      <c r="AV5" s="3235">
        <v>12711</v>
      </c>
      <c r="AW5" s="3235">
        <v>12711</v>
      </c>
      <c r="AX5" s="3235" t="s">
        <v>3592</v>
      </c>
      <c r="AY5" s="3235" t="s">
        <v>3592</v>
      </c>
      <c r="AZ5" s="3235">
        <v>0</v>
      </c>
      <c r="BA5" s="3235">
        <v>59800</v>
      </c>
      <c r="BB5" s="3235" t="s">
        <v>3608</v>
      </c>
      <c r="BC5" s="3235">
        <v>30000</v>
      </c>
      <c r="BD5" s="3235">
        <v>30000</v>
      </c>
      <c r="BE5" s="3235">
        <v>14617</v>
      </c>
      <c r="BF5" s="3235">
        <v>15</v>
      </c>
      <c r="BG5" s="3235">
        <v>17289</v>
      </c>
      <c r="BH5" s="3235" t="s">
        <v>3609</v>
      </c>
      <c r="BI5" s="3235" t="s">
        <v>3936</v>
      </c>
      <c r="BJ5" s="3235" t="s">
        <v>3624</v>
      </c>
      <c r="BK5" s="3235" t="s">
        <v>3644</v>
      </c>
      <c r="BL5" s="3235" t="s">
        <v>3592</v>
      </c>
      <c r="BM5" s="3235" t="s">
        <v>3592</v>
      </c>
    </row>
    <row r="6" spans="1:65" s="3237" customFormat="1">
      <c r="A6" s="3237" t="s">
        <v>3645</v>
      </c>
      <c r="B6" s="3237" t="s">
        <v>3586</v>
      </c>
      <c r="C6" s="3237" t="s">
        <v>3587</v>
      </c>
      <c r="D6" s="3237" t="s">
        <v>3646</v>
      </c>
      <c r="E6" s="3237" t="s">
        <v>3647</v>
      </c>
      <c r="F6" s="3237" t="s">
        <v>3648</v>
      </c>
      <c r="G6" s="3237" t="s">
        <v>3937</v>
      </c>
      <c r="H6" s="3237" t="s">
        <v>3649</v>
      </c>
      <c r="I6" s="3237">
        <v>39059.79</v>
      </c>
      <c r="J6" s="3237">
        <v>46871.74</v>
      </c>
      <c r="K6" s="3237" t="s">
        <v>3592</v>
      </c>
      <c r="L6" s="3237" t="s">
        <v>3592</v>
      </c>
      <c r="M6" s="3237">
        <v>0</v>
      </c>
      <c r="N6" s="3237">
        <v>0</v>
      </c>
      <c r="O6" s="3237" t="s">
        <v>3615</v>
      </c>
      <c r="P6" s="3237" t="s">
        <v>3631</v>
      </c>
      <c r="Q6" s="3237" t="s">
        <v>3617</v>
      </c>
      <c r="R6" s="3237" t="s">
        <v>3632</v>
      </c>
      <c r="S6" s="3237" t="s">
        <v>3650</v>
      </c>
      <c r="T6" s="3237">
        <v>1.2</v>
      </c>
      <c r="U6" s="3237" t="s">
        <v>3592</v>
      </c>
      <c r="V6" s="3237" t="s">
        <v>3592</v>
      </c>
      <c r="W6" s="3237">
        <v>36</v>
      </c>
      <c r="X6" s="3237" t="s">
        <v>3598</v>
      </c>
      <c r="Y6" s="3237" t="s">
        <v>3599</v>
      </c>
      <c r="Z6" s="3237" t="s">
        <v>3600</v>
      </c>
      <c r="AA6" s="3237" t="s">
        <v>3601</v>
      </c>
      <c r="AB6" s="3237" t="s">
        <v>3592</v>
      </c>
      <c r="AC6" s="3237" t="s">
        <v>3592</v>
      </c>
      <c r="AD6" s="3238">
        <v>45072.000497685185</v>
      </c>
      <c r="AE6" s="3238">
        <v>45092.000497685185</v>
      </c>
      <c r="AF6" s="3238">
        <v>45107.000497685185</v>
      </c>
      <c r="AG6" s="3238">
        <v>45107.000497685185</v>
      </c>
      <c r="AH6" s="3237" t="s">
        <v>3602</v>
      </c>
      <c r="AI6" s="3237" t="s">
        <v>3651</v>
      </c>
      <c r="AJ6" s="3237" t="s">
        <v>3652</v>
      </c>
      <c r="AK6" s="3237" t="s">
        <v>3653</v>
      </c>
      <c r="AL6" s="3237" t="s">
        <v>3654</v>
      </c>
      <c r="AM6" s="3237" t="s">
        <v>3592</v>
      </c>
      <c r="AN6" s="3237">
        <v>49000</v>
      </c>
      <c r="AO6" s="3237">
        <v>10000</v>
      </c>
      <c r="AP6" s="3238">
        <v>45106.708831018521</v>
      </c>
      <c r="AQ6" s="3237">
        <v>49000</v>
      </c>
      <c r="AR6" s="3237">
        <v>12544.87</v>
      </c>
      <c r="AS6" s="3237">
        <v>12544.87</v>
      </c>
      <c r="AT6" s="3237">
        <v>836.32</v>
      </c>
      <c r="AU6" s="3237">
        <v>836.32</v>
      </c>
      <c r="AV6" s="3237">
        <v>10454</v>
      </c>
      <c r="AW6" s="3237">
        <v>10454</v>
      </c>
      <c r="AX6" s="3237" t="s">
        <v>3592</v>
      </c>
      <c r="AY6" s="3237" t="s">
        <v>3592</v>
      </c>
      <c r="AZ6" s="3237">
        <v>0</v>
      </c>
      <c r="BA6" s="3237">
        <v>56350</v>
      </c>
      <c r="BB6" s="3237" t="s">
        <v>3608</v>
      </c>
      <c r="BC6" s="3237">
        <v>32000</v>
      </c>
      <c r="BD6" s="3237">
        <v>32000</v>
      </c>
      <c r="BE6" s="3237">
        <v>12022</v>
      </c>
      <c r="BF6" s="3237">
        <v>15</v>
      </c>
      <c r="BG6" s="3237">
        <v>21545</v>
      </c>
      <c r="BH6" s="3237" t="s">
        <v>3622</v>
      </c>
      <c r="BI6" s="3237" t="s">
        <v>3966</v>
      </c>
      <c r="BJ6" s="3237" t="s">
        <v>3624</v>
      </c>
      <c r="BK6" s="3237" t="s">
        <v>3655</v>
      </c>
      <c r="BL6" s="3238">
        <v>45136.000497685185</v>
      </c>
      <c r="BM6" s="3237">
        <v>49000</v>
      </c>
    </row>
    <row r="7" spans="1:65" s="3237" customFormat="1">
      <c r="A7" s="3237" t="s">
        <v>3656</v>
      </c>
      <c r="B7" s="3237" t="s">
        <v>3586</v>
      </c>
      <c r="C7" s="3237" t="s">
        <v>3587</v>
      </c>
      <c r="D7" s="3237" t="s">
        <v>3627</v>
      </c>
      <c r="E7" s="3237" t="s">
        <v>3657</v>
      </c>
      <c r="F7" s="3237" t="s">
        <v>3658</v>
      </c>
      <c r="G7" s="3237" t="s">
        <v>3938</v>
      </c>
      <c r="H7" s="3237" t="s">
        <v>3659</v>
      </c>
      <c r="I7" s="3237">
        <v>55570.2</v>
      </c>
      <c r="J7" s="3237">
        <v>122254.44</v>
      </c>
      <c r="K7" s="3237" t="s">
        <v>3592</v>
      </c>
      <c r="L7" s="3237" t="s">
        <v>3592</v>
      </c>
      <c r="M7" s="3237">
        <v>0</v>
      </c>
      <c r="N7" s="3237">
        <v>0</v>
      </c>
      <c r="O7" s="3237" t="s">
        <v>3615</v>
      </c>
      <c r="P7" s="3237" t="s">
        <v>3660</v>
      </c>
      <c r="Q7" s="3237" t="s">
        <v>3660</v>
      </c>
      <c r="R7" s="3237" t="s">
        <v>3661</v>
      </c>
      <c r="S7" s="3237">
        <v>2.2000000000000002</v>
      </c>
      <c r="T7" s="3237">
        <v>2.2000000000000002</v>
      </c>
      <c r="U7" s="3237" t="s">
        <v>3592</v>
      </c>
      <c r="V7" s="3237">
        <v>0.3</v>
      </c>
      <c r="W7" s="3237" t="s">
        <v>3662</v>
      </c>
      <c r="X7" s="3237" t="s">
        <v>3598</v>
      </c>
      <c r="Y7" s="3237" t="s">
        <v>3663</v>
      </c>
      <c r="Z7" s="3237" t="s">
        <v>3600</v>
      </c>
      <c r="AA7" s="3237" t="s">
        <v>3601</v>
      </c>
      <c r="AB7" s="3237" t="s">
        <v>3592</v>
      </c>
      <c r="AC7" s="3237" t="s">
        <v>3592</v>
      </c>
      <c r="AD7" s="3238">
        <v>44791.000497685185</v>
      </c>
      <c r="AE7" s="3238">
        <v>44811.000497685185</v>
      </c>
      <c r="AF7" s="3238">
        <v>44826.000497685185</v>
      </c>
      <c r="AG7" s="3238">
        <v>44826.000497685185</v>
      </c>
      <c r="AH7" s="3237" t="s">
        <v>3602</v>
      </c>
      <c r="AI7" s="3237" t="s">
        <v>3651</v>
      </c>
      <c r="AJ7" s="3237" t="s">
        <v>3664</v>
      </c>
      <c r="AK7" s="3237" t="s">
        <v>3665</v>
      </c>
      <c r="AL7" s="3237" t="s">
        <v>3666</v>
      </c>
      <c r="AM7" s="3237" t="s">
        <v>3667</v>
      </c>
      <c r="AN7" s="3237">
        <v>152000</v>
      </c>
      <c r="AO7" s="3237">
        <v>31000</v>
      </c>
      <c r="AP7" s="3238">
        <v>44825.625497685185</v>
      </c>
      <c r="AQ7" s="3237">
        <v>152000</v>
      </c>
      <c r="AR7" s="3237">
        <v>27352.79</v>
      </c>
      <c r="AS7" s="3237">
        <v>27352.79</v>
      </c>
      <c r="AT7" s="3237">
        <v>1823.52</v>
      </c>
      <c r="AU7" s="3237">
        <v>1823.52</v>
      </c>
      <c r="AV7" s="3237">
        <v>12433</v>
      </c>
      <c r="AW7" s="3237">
        <v>12433</v>
      </c>
      <c r="AX7" s="3237" t="s">
        <v>3592</v>
      </c>
      <c r="AY7" s="3237" t="s">
        <v>3592</v>
      </c>
      <c r="AZ7" s="3237">
        <v>0</v>
      </c>
      <c r="BA7" s="3237">
        <v>174800</v>
      </c>
      <c r="BB7" s="3237" t="s">
        <v>3608</v>
      </c>
      <c r="BC7" s="3237">
        <v>30000</v>
      </c>
      <c r="BD7" s="3237">
        <v>30000</v>
      </c>
      <c r="BE7" s="3237">
        <v>14298</v>
      </c>
      <c r="BF7" s="3237">
        <v>15</v>
      </c>
      <c r="BG7" s="3237">
        <v>17474</v>
      </c>
      <c r="BH7" s="3237" t="s">
        <v>3622</v>
      </c>
      <c r="BI7" s="3237" t="s">
        <v>3968</v>
      </c>
      <c r="BJ7" s="3237" t="s">
        <v>3610</v>
      </c>
      <c r="BK7" s="3237" t="s">
        <v>3611</v>
      </c>
      <c r="BL7" s="3238">
        <v>44827.000497685185</v>
      </c>
      <c r="BM7" s="3237">
        <v>152000</v>
      </c>
    </row>
    <row r="8" spans="1:65" hidden="1">
      <c r="A8" s="3231" t="s">
        <v>3668</v>
      </c>
      <c r="B8" s="3231" t="s">
        <v>3586</v>
      </c>
      <c r="C8" s="3231" t="s">
        <v>3587</v>
      </c>
      <c r="D8" s="3231" t="s">
        <v>3627</v>
      </c>
      <c r="E8" s="3231" t="s">
        <v>3628</v>
      </c>
      <c r="F8" s="3231" t="s">
        <v>3669</v>
      </c>
      <c r="G8" s="3231" t="s">
        <v>3669</v>
      </c>
      <c r="H8" s="3231" t="s">
        <v>3630</v>
      </c>
      <c r="I8" s="3231">
        <v>9953.99</v>
      </c>
      <c r="J8" s="3231">
        <v>19907.98</v>
      </c>
      <c r="K8" s="3231" t="s">
        <v>3592</v>
      </c>
      <c r="L8" s="3231" t="s">
        <v>3592</v>
      </c>
      <c r="M8" s="3231">
        <v>0</v>
      </c>
      <c r="N8" s="3231">
        <v>0</v>
      </c>
      <c r="O8" s="3231" t="s">
        <v>3615</v>
      </c>
      <c r="P8" s="3231" t="s">
        <v>3660</v>
      </c>
      <c r="Q8" s="3231" t="s">
        <v>3660</v>
      </c>
      <c r="R8" s="3231" t="s">
        <v>3661</v>
      </c>
      <c r="S8" s="3231">
        <v>2</v>
      </c>
      <c r="T8" s="3231">
        <v>2</v>
      </c>
      <c r="U8" s="3231" t="s">
        <v>3592</v>
      </c>
      <c r="V8" s="3231" t="s">
        <v>3592</v>
      </c>
      <c r="W8" s="3231">
        <v>30</v>
      </c>
      <c r="X8" s="3231" t="s">
        <v>3598</v>
      </c>
      <c r="Y8" s="3231" t="s">
        <v>3663</v>
      </c>
      <c r="Z8" s="3231" t="s">
        <v>3600</v>
      </c>
      <c r="AA8" s="3231" t="s">
        <v>3601</v>
      </c>
      <c r="AB8" s="3231" t="s">
        <v>3592</v>
      </c>
      <c r="AC8" s="3231" t="s">
        <v>3592</v>
      </c>
      <c r="AD8" s="3234">
        <v>44791.000497685185</v>
      </c>
      <c r="AE8" s="3234">
        <v>44811.000497685185</v>
      </c>
      <c r="AF8" s="3234">
        <v>44826.000497685185</v>
      </c>
      <c r="AG8" s="3234">
        <v>44826.000497685185</v>
      </c>
      <c r="AH8" s="3231" t="s">
        <v>3602</v>
      </c>
      <c r="AI8" s="3231" t="s">
        <v>3651</v>
      </c>
      <c r="AJ8" s="3231" t="s">
        <v>3670</v>
      </c>
      <c r="AK8" s="3231" t="s">
        <v>3671</v>
      </c>
      <c r="AL8" s="3231" t="s">
        <v>3606</v>
      </c>
      <c r="AM8" s="3231" t="s">
        <v>3592</v>
      </c>
      <c r="AN8" s="3231">
        <v>18000</v>
      </c>
      <c r="AO8" s="3231">
        <v>4000</v>
      </c>
      <c r="AP8" s="3234">
        <v>44825.625497685185</v>
      </c>
      <c r="AQ8" s="3231">
        <v>18000</v>
      </c>
      <c r="AR8" s="3231">
        <v>18083.2</v>
      </c>
      <c r="AS8" s="3231">
        <v>18083.2</v>
      </c>
      <c r="AT8" s="3231">
        <v>1205.55</v>
      </c>
      <c r="AU8" s="3231">
        <v>1205.55</v>
      </c>
      <c r="AV8" s="3231">
        <v>9042</v>
      </c>
      <c r="AW8" s="3231">
        <v>9042</v>
      </c>
      <c r="AX8" s="3231" t="s">
        <v>3592</v>
      </c>
      <c r="AY8" s="3231" t="s">
        <v>3592</v>
      </c>
      <c r="AZ8" s="3231">
        <v>0</v>
      </c>
      <c r="BA8" s="3231">
        <v>20700</v>
      </c>
      <c r="BB8" s="3231" t="s">
        <v>3608</v>
      </c>
      <c r="BC8" s="3231">
        <v>31000</v>
      </c>
      <c r="BD8" s="3231">
        <v>31000</v>
      </c>
      <c r="BE8" s="3231">
        <v>10398</v>
      </c>
      <c r="BF8" s="3231">
        <v>15</v>
      </c>
      <c r="BG8" s="3231">
        <v>21958</v>
      </c>
      <c r="BH8" s="3231" t="s">
        <v>3609</v>
      </c>
      <c r="BI8" s="3231" t="s">
        <v>3672</v>
      </c>
      <c r="BJ8" s="3231" t="s">
        <v>3610</v>
      </c>
      <c r="BK8" s="3231" t="s">
        <v>3611</v>
      </c>
      <c r="BL8" s="3234">
        <v>44827.000497685185</v>
      </c>
      <c r="BM8" s="3231">
        <v>18000</v>
      </c>
    </row>
    <row r="9" spans="1:65" s="3239" customFormat="1" hidden="1">
      <c r="A9" s="3239" t="s">
        <v>3939</v>
      </c>
      <c r="B9" s="3239" t="s">
        <v>3586</v>
      </c>
      <c r="C9" s="3239" t="s">
        <v>3587</v>
      </c>
      <c r="D9" s="3239" t="s">
        <v>3646</v>
      </c>
      <c r="E9" s="3239" t="s">
        <v>3673</v>
      </c>
      <c r="F9" s="3239" t="s">
        <v>3674</v>
      </c>
      <c r="G9" s="3239" t="s">
        <v>3983</v>
      </c>
      <c r="H9" s="3239" t="s">
        <v>3675</v>
      </c>
      <c r="I9" s="3239">
        <v>31793.74</v>
      </c>
      <c r="J9" s="3239">
        <v>76581.429999999993</v>
      </c>
      <c r="K9" s="3239" t="s">
        <v>3592</v>
      </c>
      <c r="L9" s="3239" t="s">
        <v>3592</v>
      </c>
      <c r="M9" s="3239">
        <v>0</v>
      </c>
      <c r="N9" s="3239">
        <v>0</v>
      </c>
      <c r="O9" s="3239" t="s">
        <v>3593</v>
      </c>
      <c r="P9" s="3239" t="s">
        <v>3676</v>
      </c>
      <c r="Q9" s="3239" t="s">
        <v>3660</v>
      </c>
      <c r="R9" s="3239" t="s">
        <v>3618</v>
      </c>
      <c r="S9" s="3239" t="s">
        <v>3677</v>
      </c>
      <c r="T9" s="3239">
        <v>2.5</v>
      </c>
      <c r="U9" s="3239">
        <v>7.52</v>
      </c>
      <c r="V9" s="3239">
        <v>60</v>
      </c>
      <c r="W9" s="3239">
        <v>45</v>
      </c>
      <c r="X9" s="3239" t="s">
        <v>3598</v>
      </c>
      <c r="Y9" s="3239" t="s">
        <v>3678</v>
      </c>
      <c r="Z9" s="3239" t="s">
        <v>3679</v>
      </c>
      <c r="AA9" s="3239" t="s">
        <v>3680</v>
      </c>
      <c r="AB9" s="3239" t="s">
        <v>3592</v>
      </c>
      <c r="AC9" s="3239" t="s">
        <v>3592</v>
      </c>
      <c r="AD9" s="3240">
        <v>44670.000497685185</v>
      </c>
      <c r="AE9" s="3240">
        <v>44691.000497685185</v>
      </c>
      <c r="AF9" s="3240">
        <v>44712.000497685185</v>
      </c>
      <c r="AG9" s="3240">
        <v>44712.000497685185</v>
      </c>
      <c r="AH9" s="3239" t="s">
        <v>3602</v>
      </c>
      <c r="AI9" s="3239" t="s">
        <v>3651</v>
      </c>
      <c r="AJ9" s="3239" t="s">
        <v>3681</v>
      </c>
      <c r="AK9" s="3239" t="s">
        <v>3682</v>
      </c>
      <c r="AL9" s="3239" t="s">
        <v>3683</v>
      </c>
      <c r="AM9" s="3239" t="s">
        <v>3684</v>
      </c>
      <c r="AN9" s="3239">
        <v>80000</v>
      </c>
      <c r="AO9" s="3239">
        <v>16000</v>
      </c>
      <c r="AP9" s="3240">
        <v>44712.625497685185</v>
      </c>
      <c r="AQ9" s="3239">
        <v>80000</v>
      </c>
      <c r="AR9" s="3239">
        <v>25162.18</v>
      </c>
      <c r="AS9" s="3239">
        <v>25162.18</v>
      </c>
      <c r="AT9" s="3239">
        <v>1677.48</v>
      </c>
      <c r="AU9" s="3239">
        <v>1677.48</v>
      </c>
      <c r="AV9" s="3239">
        <v>10446</v>
      </c>
      <c r="AW9" s="3239">
        <v>10446</v>
      </c>
      <c r="AX9" s="3239" t="s">
        <v>3592</v>
      </c>
      <c r="AY9" s="3239" t="s">
        <v>3592</v>
      </c>
      <c r="AZ9" s="3239">
        <v>0</v>
      </c>
      <c r="BA9" s="3239">
        <v>92000</v>
      </c>
      <c r="BB9" s="3239" t="s">
        <v>3608</v>
      </c>
      <c r="BC9" s="3239">
        <v>32000</v>
      </c>
      <c r="BD9" s="3239">
        <v>32000</v>
      </c>
      <c r="BE9" s="3239">
        <v>12013</v>
      </c>
      <c r="BF9" s="3239">
        <v>15</v>
      </c>
      <c r="BG9" s="3239">
        <v>20517</v>
      </c>
      <c r="BH9" s="3239" t="s">
        <v>3622</v>
      </c>
      <c r="BI9" s="3239" t="s">
        <v>3940</v>
      </c>
      <c r="BJ9" s="3239" t="s">
        <v>3610</v>
      </c>
      <c r="BK9" s="3239" t="s">
        <v>3611</v>
      </c>
      <c r="BL9" s="3239" t="s">
        <v>3592</v>
      </c>
      <c r="BM9" s="3239" t="s">
        <v>3592</v>
      </c>
    </row>
    <row r="10" spans="1:65" hidden="1">
      <c r="A10" s="3231" t="s">
        <v>3685</v>
      </c>
      <c r="B10" s="3231" t="s">
        <v>3586</v>
      </c>
      <c r="C10" s="3231" t="s">
        <v>3587</v>
      </c>
      <c r="D10" s="3231" t="s">
        <v>3588</v>
      </c>
      <c r="E10" s="3231" t="s">
        <v>3589</v>
      </c>
      <c r="F10" s="3231" t="s">
        <v>3686</v>
      </c>
      <c r="G10" s="3231" t="s">
        <v>3686</v>
      </c>
      <c r="H10" s="3231" t="s">
        <v>3591</v>
      </c>
      <c r="I10" s="3231">
        <v>81740.06</v>
      </c>
      <c r="J10" s="3231">
        <v>112700</v>
      </c>
      <c r="K10" s="3231" t="s">
        <v>3592</v>
      </c>
      <c r="L10" s="3231" t="s">
        <v>3592</v>
      </c>
      <c r="M10" s="3231">
        <v>0</v>
      </c>
      <c r="N10" s="3231">
        <v>0</v>
      </c>
      <c r="O10" s="3231" t="s">
        <v>3593</v>
      </c>
      <c r="P10" s="3231" t="s">
        <v>3687</v>
      </c>
      <c r="Q10" s="3231" t="s">
        <v>3617</v>
      </c>
      <c r="R10" s="3231" t="s">
        <v>3688</v>
      </c>
      <c r="S10" s="3231" t="s">
        <v>3689</v>
      </c>
      <c r="T10" s="3231">
        <v>2</v>
      </c>
      <c r="U10" s="3231" t="s">
        <v>3592</v>
      </c>
      <c r="V10" s="3231" t="s">
        <v>3592</v>
      </c>
      <c r="W10" s="3231" t="s">
        <v>3690</v>
      </c>
      <c r="X10" s="3231" t="s">
        <v>3598</v>
      </c>
      <c r="Y10" s="3231" t="s">
        <v>3691</v>
      </c>
      <c r="Z10" s="3231" t="s">
        <v>3692</v>
      </c>
      <c r="AA10" s="3231" t="s">
        <v>3680</v>
      </c>
      <c r="AB10" s="3231" t="s">
        <v>3592</v>
      </c>
      <c r="AC10" s="3231" t="s">
        <v>3592</v>
      </c>
      <c r="AD10" s="3234">
        <v>44568.000497685185</v>
      </c>
      <c r="AE10" s="3234">
        <v>44589.000497685185</v>
      </c>
      <c r="AF10" s="3234">
        <v>44608.000497685185</v>
      </c>
      <c r="AG10" s="3234">
        <v>44608.000497685185</v>
      </c>
      <c r="AH10" s="3231" t="s">
        <v>3602</v>
      </c>
      <c r="AI10" s="3231" t="s">
        <v>3693</v>
      </c>
      <c r="AJ10" s="3231" t="s">
        <v>3694</v>
      </c>
      <c r="AK10" s="3231" t="s">
        <v>3605</v>
      </c>
      <c r="AL10" s="3231" t="s">
        <v>3606</v>
      </c>
      <c r="AM10" s="3231" t="s">
        <v>3607</v>
      </c>
      <c r="AN10" s="3231">
        <v>121000</v>
      </c>
      <c r="AO10" s="3231">
        <v>25000</v>
      </c>
      <c r="AP10" s="3234">
        <v>44607.625497685185</v>
      </c>
      <c r="AQ10" s="3231">
        <v>121000</v>
      </c>
      <c r="AR10" s="3231">
        <v>14803.02</v>
      </c>
      <c r="AS10" s="3231">
        <v>14803.02</v>
      </c>
      <c r="AT10" s="3231">
        <v>986.87</v>
      </c>
      <c r="AU10" s="3231">
        <v>986.87</v>
      </c>
      <c r="AV10" s="3231">
        <v>10736</v>
      </c>
      <c r="AW10" s="3231">
        <v>10736</v>
      </c>
      <c r="AX10" s="3231" t="s">
        <v>3592</v>
      </c>
      <c r="AY10" s="3231" t="s">
        <v>3592</v>
      </c>
      <c r="AZ10" s="3231">
        <v>0</v>
      </c>
      <c r="BA10" s="3231">
        <v>139150</v>
      </c>
      <c r="BB10" s="3231" t="s">
        <v>3608</v>
      </c>
      <c r="BC10" s="3231">
        <v>37000</v>
      </c>
      <c r="BD10" s="3231">
        <v>37000</v>
      </c>
      <c r="BE10" s="3231">
        <v>12347</v>
      </c>
      <c r="BF10" s="3231">
        <v>15</v>
      </c>
      <c r="BG10" s="3231">
        <v>-3658</v>
      </c>
      <c r="BH10" s="3231" t="s">
        <v>3622</v>
      </c>
      <c r="BI10" s="3231" t="s">
        <v>3623</v>
      </c>
      <c r="BJ10" s="3231" t="s">
        <v>3610</v>
      </c>
      <c r="BK10" s="3231" t="s">
        <v>3611</v>
      </c>
      <c r="BL10" s="3234">
        <v>44710.000497685185</v>
      </c>
      <c r="BM10" s="3231">
        <v>121000</v>
      </c>
    </row>
    <row r="11" spans="1:65" hidden="1">
      <c r="A11" s="3231" t="s">
        <v>3695</v>
      </c>
      <c r="B11" s="3231" t="s">
        <v>3586</v>
      </c>
      <c r="C11" s="3231" t="s">
        <v>3587</v>
      </c>
      <c r="D11" s="3231" t="s">
        <v>3638</v>
      </c>
      <c r="E11" s="3231" t="s">
        <v>3639</v>
      </c>
      <c r="F11" s="3231" t="s">
        <v>3696</v>
      </c>
      <c r="G11" s="3231" t="s">
        <v>3696</v>
      </c>
      <c r="H11" s="3231" t="s">
        <v>3697</v>
      </c>
      <c r="I11" s="3231">
        <v>13180.14</v>
      </c>
      <c r="J11" s="3231">
        <v>23720</v>
      </c>
      <c r="K11" s="3231" t="s">
        <v>3592</v>
      </c>
      <c r="L11" s="3231" t="s">
        <v>3592</v>
      </c>
      <c r="M11" s="3231">
        <v>0</v>
      </c>
      <c r="N11" s="3231">
        <v>0</v>
      </c>
      <c r="O11" s="3231" t="s">
        <v>3615</v>
      </c>
      <c r="P11" s="3231" t="s">
        <v>3660</v>
      </c>
      <c r="Q11" s="3231" t="s">
        <v>3660</v>
      </c>
      <c r="R11" s="3231" t="s">
        <v>3698</v>
      </c>
      <c r="S11" s="3231">
        <v>1.8</v>
      </c>
      <c r="T11" s="3231">
        <v>1.8</v>
      </c>
      <c r="U11" s="3231" t="s">
        <v>3592</v>
      </c>
      <c r="V11" s="3231" t="s">
        <v>3592</v>
      </c>
      <c r="W11" s="3231">
        <v>18</v>
      </c>
      <c r="X11" s="3231" t="s">
        <v>3598</v>
      </c>
      <c r="Y11" s="3231" t="s">
        <v>3699</v>
      </c>
      <c r="Z11" s="3231" t="s">
        <v>3692</v>
      </c>
      <c r="AA11" s="3231" t="s">
        <v>3680</v>
      </c>
      <c r="AB11" s="3231" t="s">
        <v>3592</v>
      </c>
      <c r="AC11" s="3231" t="s">
        <v>3592</v>
      </c>
      <c r="AD11" s="3234">
        <v>44519.000497685185</v>
      </c>
      <c r="AE11" s="3234">
        <v>44540.000497685185</v>
      </c>
      <c r="AF11" s="3234">
        <v>44554.000497685185</v>
      </c>
      <c r="AG11" s="3234">
        <v>44554.000497685185</v>
      </c>
      <c r="AH11" s="3231" t="s">
        <v>3602</v>
      </c>
      <c r="AI11" s="3231" t="s">
        <v>3651</v>
      </c>
      <c r="AJ11" s="3231" t="s">
        <v>3700</v>
      </c>
      <c r="AK11" s="3231" t="s">
        <v>3701</v>
      </c>
      <c r="AL11" s="3231" t="s">
        <v>3702</v>
      </c>
      <c r="AM11" s="3231" t="s">
        <v>3592</v>
      </c>
      <c r="AN11" s="3231">
        <v>39000</v>
      </c>
      <c r="AO11" s="3231">
        <v>8000</v>
      </c>
      <c r="AP11" s="3234">
        <v>44553.625497685185</v>
      </c>
      <c r="AQ11" s="3231">
        <v>39000</v>
      </c>
      <c r="AR11" s="3231">
        <v>29589.97</v>
      </c>
      <c r="AS11" s="3231">
        <v>29589.97</v>
      </c>
      <c r="AT11" s="3231">
        <v>1972.66</v>
      </c>
      <c r="AU11" s="3231">
        <v>1972.66</v>
      </c>
      <c r="AV11" s="3231">
        <v>16442</v>
      </c>
      <c r="AW11" s="3231">
        <v>16442</v>
      </c>
      <c r="AX11" s="3231" t="s">
        <v>3592</v>
      </c>
      <c r="AY11" s="3231" t="s">
        <v>3592</v>
      </c>
      <c r="AZ11" s="3231">
        <v>0</v>
      </c>
      <c r="BA11" s="3231">
        <v>44850</v>
      </c>
      <c r="BB11" s="3231" t="s">
        <v>3608</v>
      </c>
      <c r="BC11" s="3231">
        <v>35000</v>
      </c>
      <c r="BD11" s="3231">
        <v>35000</v>
      </c>
      <c r="BE11" s="3231">
        <v>18908</v>
      </c>
      <c r="BF11" s="3231">
        <v>15</v>
      </c>
      <c r="BG11" s="3231">
        <v>18558</v>
      </c>
      <c r="BH11" s="3231" t="s">
        <v>3703</v>
      </c>
      <c r="BI11" s="3231" t="s">
        <v>3704</v>
      </c>
      <c r="BJ11" s="3231" t="s">
        <v>3610</v>
      </c>
      <c r="BK11" s="3231" t="s">
        <v>3611</v>
      </c>
      <c r="BL11" s="3234">
        <v>44558.000497685185</v>
      </c>
      <c r="BM11" s="3231">
        <v>39000</v>
      </c>
    </row>
    <row r="12" spans="1:65" s="3237" customFormat="1">
      <c r="A12" s="3237" t="s">
        <v>3705</v>
      </c>
      <c r="B12" s="3237" t="s">
        <v>3586</v>
      </c>
      <c r="C12" s="3237" t="s">
        <v>3587</v>
      </c>
      <c r="D12" s="3237" t="s">
        <v>3627</v>
      </c>
      <c r="E12" s="3237" t="s">
        <v>3628</v>
      </c>
      <c r="F12" s="3237" t="s">
        <v>3706</v>
      </c>
      <c r="G12" s="3237" t="s">
        <v>3706</v>
      </c>
      <c r="H12" s="3237" t="s">
        <v>3630</v>
      </c>
      <c r="I12" s="3237">
        <v>103325.51</v>
      </c>
      <c r="J12" s="3237">
        <v>200222.03</v>
      </c>
      <c r="K12" s="3237" t="s">
        <v>3592</v>
      </c>
      <c r="L12" s="3237" t="s">
        <v>3592</v>
      </c>
      <c r="M12" s="3237">
        <v>0</v>
      </c>
      <c r="N12" s="3237">
        <v>0</v>
      </c>
      <c r="O12" s="3237" t="s">
        <v>3615</v>
      </c>
      <c r="P12" s="3237" t="s">
        <v>3660</v>
      </c>
      <c r="Q12" s="3237" t="s">
        <v>3660</v>
      </c>
      <c r="R12" s="3237" t="s">
        <v>3707</v>
      </c>
      <c r="S12" s="3237">
        <v>2</v>
      </c>
      <c r="T12" s="3237">
        <v>2</v>
      </c>
      <c r="U12" s="3237" t="s">
        <v>3592</v>
      </c>
      <c r="V12" s="3237" t="s">
        <v>3592</v>
      </c>
      <c r="W12" s="3237">
        <v>30</v>
      </c>
      <c r="X12" s="3237" t="s">
        <v>3598</v>
      </c>
      <c r="Y12" s="3237" t="s">
        <v>3699</v>
      </c>
      <c r="Z12" s="3237" t="s">
        <v>3708</v>
      </c>
      <c r="AA12" s="3237" t="s">
        <v>3680</v>
      </c>
      <c r="AB12" s="3237" t="s">
        <v>3592</v>
      </c>
      <c r="AC12" s="3237" t="s">
        <v>3592</v>
      </c>
      <c r="AD12" s="3238">
        <v>44519.000497685185</v>
      </c>
      <c r="AE12" s="3238">
        <v>44540.000497685185</v>
      </c>
      <c r="AF12" s="3238">
        <v>44554.000497685185</v>
      </c>
      <c r="AG12" s="3238">
        <v>44554.000497685185</v>
      </c>
      <c r="AH12" s="3237" t="s">
        <v>3602</v>
      </c>
      <c r="AI12" s="3237" t="s">
        <v>3651</v>
      </c>
      <c r="AJ12" s="3237" t="s">
        <v>3709</v>
      </c>
      <c r="AK12" s="3237" t="s">
        <v>3710</v>
      </c>
      <c r="AL12" s="3237" t="s">
        <v>3711</v>
      </c>
      <c r="AM12" s="3237" t="s">
        <v>3712</v>
      </c>
      <c r="AN12" s="3237">
        <v>207000</v>
      </c>
      <c r="AO12" s="3237">
        <v>42000</v>
      </c>
      <c r="AP12" s="3238">
        <v>44553.625497685185</v>
      </c>
      <c r="AQ12" s="3237">
        <v>207000</v>
      </c>
      <c r="AR12" s="3237">
        <v>20033.77</v>
      </c>
      <c r="AS12" s="3237">
        <v>20033.77</v>
      </c>
      <c r="AT12" s="3237">
        <v>1335.58</v>
      </c>
      <c r="AU12" s="3237">
        <v>1335.58</v>
      </c>
      <c r="AV12" s="3237">
        <v>10339</v>
      </c>
      <c r="AW12" s="3237">
        <v>10339</v>
      </c>
      <c r="AX12" s="3237" t="s">
        <v>3592</v>
      </c>
      <c r="AY12" s="3237" t="s">
        <v>3592</v>
      </c>
      <c r="AZ12" s="3237">
        <v>0</v>
      </c>
      <c r="BA12" s="3237">
        <v>238050</v>
      </c>
      <c r="BB12" s="3237" t="s">
        <v>3608</v>
      </c>
      <c r="BC12" s="3237">
        <v>30000</v>
      </c>
      <c r="BD12" s="3237">
        <v>30000</v>
      </c>
      <c r="BE12" s="3237">
        <v>11889</v>
      </c>
      <c r="BF12" s="3237">
        <v>15</v>
      </c>
      <c r="BG12" s="3237">
        <v>19661</v>
      </c>
      <c r="BH12" s="3237" t="s">
        <v>3609</v>
      </c>
      <c r="BI12" s="3237" t="s">
        <v>3984</v>
      </c>
      <c r="BJ12" s="3237" t="s">
        <v>3610</v>
      </c>
      <c r="BK12" s="3237" t="s">
        <v>3611</v>
      </c>
      <c r="BL12" s="3237" t="s">
        <v>3592</v>
      </c>
      <c r="BM12" s="3237" t="s">
        <v>3592</v>
      </c>
    </row>
    <row r="13" spans="1:65" hidden="1">
      <c r="A13" s="3231" t="s">
        <v>3713</v>
      </c>
      <c r="B13" s="3231" t="s">
        <v>3586</v>
      </c>
      <c r="C13" s="3231" t="s">
        <v>3587</v>
      </c>
      <c r="D13" s="3231" t="s">
        <v>3646</v>
      </c>
      <c r="E13" s="3231" t="s">
        <v>3714</v>
      </c>
      <c r="F13" s="3231" t="s">
        <v>3715</v>
      </c>
      <c r="G13" s="3231" t="s">
        <v>3715</v>
      </c>
      <c r="H13" s="3231" t="s">
        <v>3716</v>
      </c>
      <c r="I13" s="3231">
        <v>30675.919999999998</v>
      </c>
      <c r="J13" s="3231">
        <v>76689.8</v>
      </c>
      <c r="K13" s="3231" t="s">
        <v>3592</v>
      </c>
      <c r="L13" s="3231" t="s">
        <v>3592</v>
      </c>
      <c r="M13" s="3231">
        <v>76689.8</v>
      </c>
      <c r="N13" s="3231">
        <v>76689.8</v>
      </c>
      <c r="O13" s="3231" t="s">
        <v>3615</v>
      </c>
      <c r="P13" s="3231" t="s">
        <v>3717</v>
      </c>
      <c r="Q13" s="3231" t="s">
        <v>3718</v>
      </c>
      <c r="R13" s="3231" t="s">
        <v>3632</v>
      </c>
      <c r="S13" s="3231" t="s">
        <v>3719</v>
      </c>
      <c r="T13" s="3231">
        <v>2.5</v>
      </c>
      <c r="U13" s="3231" t="s">
        <v>3592</v>
      </c>
      <c r="V13" s="3231">
        <v>0.35</v>
      </c>
      <c r="W13" s="3231" t="s">
        <v>3720</v>
      </c>
      <c r="X13" s="3231" t="s">
        <v>3721</v>
      </c>
      <c r="Y13" s="3231" t="s">
        <v>3722</v>
      </c>
      <c r="Z13" s="3231" t="s">
        <v>3723</v>
      </c>
      <c r="AA13" s="3231" t="s">
        <v>3723</v>
      </c>
      <c r="AB13" s="3231" t="s">
        <v>3724</v>
      </c>
      <c r="AC13" s="3231" t="s">
        <v>3592</v>
      </c>
      <c r="AD13" s="3234">
        <v>44438.000497685185</v>
      </c>
      <c r="AE13" s="3234">
        <v>44463.000497685185</v>
      </c>
      <c r="AF13" s="3234">
        <v>44463.000497685185</v>
      </c>
      <c r="AG13" s="3234">
        <v>44465.000497685185</v>
      </c>
      <c r="AH13" s="3231" t="s">
        <v>3602</v>
      </c>
      <c r="AI13" s="3231" t="s">
        <v>3651</v>
      </c>
      <c r="AJ13" s="3231" t="s">
        <v>3725</v>
      </c>
      <c r="AK13" s="3231" t="s">
        <v>3726</v>
      </c>
      <c r="AL13" s="3231" t="s">
        <v>3606</v>
      </c>
      <c r="AM13" s="3231" t="s">
        <v>3607</v>
      </c>
      <c r="AN13" s="3231">
        <v>34710</v>
      </c>
      <c r="AO13" s="3231">
        <v>7000</v>
      </c>
      <c r="AP13" s="3234">
        <v>44461.646331018521</v>
      </c>
      <c r="AQ13" s="3231">
        <v>34710</v>
      </c>
      <c r="AR13" s="3231">
        <v>11315.06</v>
      </c>
      <c r="AS13" s="3231">
        <v>11315.06</v>
      </c>
      <c r="AT13" s="3231">
        <v>754.34</v>
      </c>
      <c r="AU13" s="3231">
        <v>754.34</v>
      </c>
      <c r="AV13" s="3231">
        <v>4526</v>
      </c>
      <c r="AW13" s="3231">
        <v>4526</v>
      </c>
      <c r="AX13" s="3231" t="s">
        <v>3592</v>
      </c>
      <c r="AY13" s="3231" t="s">
        <v>3592</v>
      </c>
      <c r="AZ13" s="3231">
        <v>0</v>
      </c>
      <c r="BA13" s="3231" t="s">
        <v>3592</v>
      </c>
      <c r="BB13" s="3231" t="s">
        <v>3592</v>
      </c>
      <c r="BC13" s="3231">
        <v>16500</v>
      </c>
      <c r="BD13" s="3231">
        <v>16500</v>
      </c>
      <c r="BE13" s="3231" t="s">
        <v>3592</v>
      </c>
      <c r="BF13" s="3231" t="s">
        <v>3592</v>
      </c>
      <c r="BG13" s="3231">
        <v>11973</v>
      </c>
      <c r="BH13" s="3231" t="s">
        <v>3622</v>
      </c>
      <c r="BI13" s="3231" t="s">
        <v>3727</v>
      </c>
      <c r="BJ13" s="3231" t="s">
        <v>3610</v>
      </c>
      <c r="BK13" s="3231" t="s">
        <v>3611</v>
      </c>
      <c r="BL13" s="3234">
        <v>44465.000497685185</v>
      </c>
      <c r="BM13" s="3231">
        <v>27335.72</v>
      </c>
    </row>
    <row r="14" spans="1:65" hidden="1">
      <c r="A14" s="3231" t="s">
        <v>3728</v>
      </c>
      <c r="B14" s="3231" t="s">
        <v>3586</v>
      </c>
      <c r="C14" s="3231" t="s">
        <v>3587</v>
      </c>
      <c r="D14" s="3231" t="s">
        <v>3627</v>
      </c>
      <c r="E14" s="3231" t="s">
        <v>3729</v>
      </c>
      <c r="F14" s="3231" t="s">
        <v>3730</v>
      </c>
      <c r="G14" s="3231" t="s">
        <v>3730</v>
      </c>
      <c r="H14" s="3231" t="s">
        <v>3731</v>
      </c>
      <c r="I14" s="3231">
        <v>58351.58</v>
      </c>
      <c r="J14" s="3231">
        <v>116703</v>
      </c>
      <c r="K14" s="3231" t="s">
        <v>3592</v>
      </c>
      <c r="L14" s="3231" t="s">
        <v>3592</v>
      </c>
      <c r="M14" s="3231">
        <v>0</v>
      </c>
      <c r="N14" s="3231">
        <v>0</v>
      </c>
      <c r="O14" s="3231" t="s">
        <v>3615</v>
      </c>
      <c r="P14" s="3231" t="s">
        <v>3660</v>
      </c>
      <c r="Q14" s="3231" t="s">
        <v>3660</v>
      </c>
      <c r="R14" s="3231" t="s">
        <v>3732</v>
      </c>
      <c r="S14" s="3231" t="s">
        <v>3733</v>
      </c>
      <c r="T14" s="3231">
        <v>2</v>
      </c>
      <c r="U14" s="3231" t="s">
        <v>3592</v>
      </c>
      <c r="V14" s="3231" t="s">
        <v>3734</v>
      </c>
      <c r="W14" s="3231" t="s">
        <v>3735</v>
      </c>
      <c r="X14" s="3231" t="s">
        <v>3598</v>
      </c>
      <c r="Y14" s="3231" t="s">
        <v>3736</v>
      </c>
      <c r="Z14" s="3231" t="s">
        <v>3737</v>
      </c>
      <c r="AA14" s="3231" t="s">
        <v>3737</v>
      </c>
      <c r="AB14" s="3231" t="s">
        <v>3592</v>
      </c>
      <c r="AC14" s="3231" t="s">
        <v>3592</v>
      </c>
      <c r="AD14" s="3234">
        <v>44286.000497685185</v>
      </c>
      <c r="AE14" s="3234">
        <v>44308.000497685185</v>
      </c>
      <c r="AF14" s="3234">
        <v>44324.000497685185</v>
      </c>
      <c r="AG14" s="3234">
        <v>44341.000497685185</v>
      </c>
      <c r="AH14" s="3231" t="s">
        <v>3602</v>
      </c>
      <c r="AI14" s="3231" t="s">
        <v>3651</v>
      </c>
      <c r="AJ14" s="3231" t="s">
        <v>3738</v>
      </c>
      <c r="AK14" s="3231" t="s">
        <v>3739</v>
      </c>
      <c r="AL14" s="3231" t="s">
        <v>3740</v>
      </c>
      <c r="AM14" s="3231" t="s">
        <v>3741</v>
      </c>
      <c r="AN14" s="3231">
        <v>151200</v>
      </c>
      <c r="AO14" s="3231">
        <v>31000</v>
      </c>
      <c r="AP14" s="3234">
        <v>44323.625497685185</v>
      </c>
      <c r="AQ14" s="3231">
        <v>173800</v>
      </c>
      <c r="AR14" s="3231">
        <v>25911.89</v>
      </c>
      <c r="AS14" s="3231">
        <v>29784.959999999999</v>
      </c>
      <c r="AT14" s="3231">
        <v>1727.46</v>
      </c>
      <c r="AU14" s="3231">
        <v>1985.66</v>
      </c>
      <c r="AV14" s="3231">
        <v>12956</v>
      </c>
      <c r="AW14" s="3231">
        <v>14893</v>
      </c>
      <c r="AX14" s="3231" t="s">
        <v>3592</v>
      </c>
      <c r="AY14" s="3231" t="s">
        <v>3592</v>
      </c>
      <c r="AZ14" s="3231">
        <v>14.95</v>
      </c>
      <c r="BA14" s="3231">
        <v>173800</v>
      </c>
      <c r="BB14" s="3231" t="s">
        <v>3742</v>
      </c>
      <c r="BC14" s="3231" t="s">
        <v>3592</v>
      </c>
      <c r="BD14" s="3231" t="s">
        <v>3592</v>
      </c>
      <c r="BE14" s="3231">
        <v>14893</v>
      </c>
      <c r="BF14" s="3231">
        <v>14.95</v>
      </c>
      <c r="BG14" s="3231" t="s">
        <v>3592</v>
      </c>
      <c r="BH14" s="3231" t="s">
        <v>3609</v>
      </c>
      <c r="BI14" s="3231" t="s">
        <v>3743</v>
      </c>
      <c r="BJ14" s="3231" t="s">
        <v>3610</v>
      </c>
      <c r="BK14" s="3231" t="s">
        <v>3611</v>
      </c>
      <c r="BL14" s="3234">
        <v>44369.000497685185</v>
      </c>
      <c r="BM14" s="3231">
        <v>173800</v>
      </c>
    </row>
    <row r="15" spans="1:65" hidden="1">
      <c r="A15" s="3231" t="s">
        <v>3744</v>
      </c>
      <c r="B15" s="3231" t="s">
        <v>3586</v>
      </c>
      <c r="C15" s="3231" t="s">
        <v>3587</v>
      </c>
      <c r="D15" s="3231" t="s">
        <v>3588</v>
      </c>
      <c r="E15" s="3231" t="s">
        <v>3745</v>
      </c>
      <c r="F15" s="3231" t="s">
        <v>3746</v>
      </c>
      <c r="G15" s="3231" t="s">
        <v>3746</v>
      </c>
      <c r="H15" s="3231" t="s">
        <v>3747</v>
      </c>
      <c r="I15" s="3231">
        <v>115536.75</v>
      </c>
      <c r="J15" s="3231">
        <v>211725</v>
      </c>
      <c r="K15" s="3231" t="s">
        <v>3592</v>
      </c>
      <c r="L15" s="3231" t="s">
        <v>3592</v>
      </c>
      <c r="M15" s="3231">
        <v>0</v>
      </c>
      <c r="N15" s="3231">
        <v>0</v>
      </c>
      <c r="O15" s="3231" t="s">
        <v>3593</v>
      </c>
      <c r="P15" s="3231" t="s">
        <v>3748</v>
      </c>
      <c r="Q15" s="3231" t="s">
        <v>3749</v>
      </c>
      <c r="R15" s="3231" t="s">
        <v>3732</v>
      </c>
      <c r="S15" s="3231" t="s">
        <v>3750</v>
      </c>
      <c r="T15" s="3231">
        <v>1.83</v>
      </c>
      <c r="U15" s="3231" t="s">
        <v>3592</v>
      </c>
      <c r="V15" s="3231" t="s">
        <v>3592</v>
      </c>
      <c r="W15" s="3231" t="s">
        <v>3592</v>
      </c>
      <c r="X15" s="3231" t="s">
        <v>3598</v>
      </c>
      <c r="Y15" s="3231" t="s">
        <v>3736</v>
      </c>
      <c r="Z15" s="3231" t="s">
        <v>3737</v>
      </c>
      <c r="AA15" s="3231" t="s">
        <v>3601</v>
      </c>
      <c r="AB15" s="3231" t="s">
        <v>3592</v>
      </c>
      <c r="AC15" s="3231" t="s">
        <v>3592</v>
      </c>
      <c r="AD15" s="3234">
        <v>44286.000497685185</v>
      </c>
      <c r="AE15" s="3234">
        <v>44308.000497685185</v>
      </c>
      <c r="AF15" s="3234">
        <v>44324.000497685185</v>
      </c>
      <c r="AG15" s="3234">
        <v>44324.000497685185</v>
      </c>
      <c r="AH15" s="3231" t="s">
        <v>3602</v>
      </c>
      <c r="AI15" s="3231" t="s">
        <v>3693</v>
      </c>
      <c r="AJ15" s="3231" t="s">
        <v>3751</v>
      </c>
      <c r="AK15" s="3231" t="s">
        <v>3752</v>
      </c>
      <c r="AL15" s="3231" t="s">
        <v>3753</v>
      </c>
      <c r="AM15" s="3231" t="s">
        <v>3754</v>
      </c>
      <c r="AN15" s="3231">
        <v>457000</v>
      </c>
      <c r="AO15" s="3231">
        <v>92000</v>
      </c>
      <c r="AP15" s="3234">
        <v>44323.625497685185</v>
      </c>
      <c r="AQ15" s="3231">
        <v>457000</v>
      </c>
      <c r="AR15" s="3231">
        <v>39554.51</v>
      </c>
      <c r="AS15" s="3231">
        <v>39554.51</v>
      </c>
      <c r="AT15" s="3231">
        <v>2636.97</v>
      </c>
      <c r="AU15" s="3231">
        <v>2636.97</v>
      </c>
      <c r="AV15" s="3231">
        <v>21585</v>
      </c>
      <c r="AW15" s="3231">
        <v>21585</v>
      </c>
      <c r="AX15" s="3231" t="s">
        <v>3592</v>
      </c>
      <c r="AY15" s="3231" t="s">
        <v>3592</v>
      </c>
      <c r="AZ15" s="3231">
        <v>0</v>
      </c>
      <c r="BA15" s="3231">
        <v>502700</v>
      </c>
      <c r="BB15" s="3231" t="s">
        <v>3608</v>
      </c>
      <c r="BC15" s="3231" t="s">
        <v>3592</v>
      </c>
      <c r="BD15" s="3231" t="s">
        <v>3592</v>
      </c>
      <c r="BE15" s="3231">
        <v>23743</v>
      </c>
      <c r="BF15" s="3231">
        <v>10</v>
      </c>
      <c r="BG15" s="3231" t="s">
        <v>3592</v>
      </c>
      <c r="BH15" s="3231" t="s">
        <v>3609</v>
      </c>
      <c r="BI15" s="3231" t="s">
        <v>3755</v>
      </c>
      <c r="BJ15" s="3231" t="s">
        <v>3610</v>
      </c>
      <c r="BK15" s="3231" t="s">
        <v>3611</v>
      </c>
      <c r="BL15" s="3231" t="s">
        <v>3592</v>
      </c>
      <c r="BM15" s="3231" t="s">
        <v>3592</v>
      </c>
    </row>
    <row r="16" spans="1:65" hidden="1">
      <c r="A16" s="3231" t="s">
        <v>3756</v>
      </c>
      <c r="B16" s="3231" t="s">
        <v>3586</v>
      </c>
      <c r="C16" s="3231" t="s">
        <v>3587</v>
      </c>
      <c r="D16" s="3231" t="s">
        <v>3638</v>
      </c>
      <c r="E16" s="3231" t="s">
        <v>3639</v>
      </c>
      <c r="F16" s="3231" t="s">
        <v>3757</v>
      </c>
      <c r="G16" s="3231" t="s">
        <v>3757</v>
      </c>
      <c r="H16" s="3231" t="s">
        <v>3758</v>
      </c>
      <c r="I16" s="3231">
        <v>16867.490000000002</v>
      </c>
      <c r="J16" s="3231">
        <v>32048.23</v>
      </c>
      <c r="K16" s="3231" t="s">
        <v>3592</v>
      </c>
      <c r="L16" s="3231" t="s">
        <v>3592</v>
      </c>
      <c r="M16" s="3231">
        <v>0</v>
      </c>
      <c r="N16" s="3231">
        <v>0</v>
      </c>
      <c r="O16" s="3231" t="s">
        <v>3615</v>
      </c>
      <c r="P16" s="3231" t="s">
        <v>3660</v>
      </c>
      <c r="Q16" s="3231" t="s">
        <v>3660</v>
      </c>
      <c r="R16" s="3231" t="s">
        <v>3732</v>
      </c>
      <c r="S16" s="3231" t="s">
        <v>3759</v>
      </c>
      <c r="T16" s="3231">
        <v>1.9</v>
      </c>
      <c r="U16" s="3231">
        <v>0</v>
      </c>
      <c r="V16" s="3231" t="s">
        <v>3592</v>
      </c>
      <c r="W16" s="3231" t="s">
        <v>3760</v>
      </c>
      <c r="X16" s="3231" t="s">
        <v>3598</v>
      </c>
      <c r="Y16" s="3231" t="s">
        <v>3736</v>
      </c>
      <c r="Z16" s="3231" t="s">
        <v>3737</v>
      </c>
      <c r="AA16" s="3231" t="s">
        <v>3737</v>
      </c>
      <c r="AB16" s="3231" t="s">
        <v>3592</v>
      </c>
      <c r="AC16" s="3231" t="s">
        <v>3592</v>
      </c>
      <c r="AD16" s="3234">
        <v>44286.000497685185</v>
      </c>
      <c r="AE16" s="3234">
        <v>44308.000497685185</v>
      </c>
      <c r="AF16" s="3234">
        <v>44324.000497685185</v>
      </c>
      <c r="AG16" s="3234">
        <v>44342.000497685185</v>
      </c>
      <c r="AH16" s="3231" t="s">
        <v>3602</v>
      </c>
      <c r="AI16" s="3231" t="s">
        <v>3651</v>
      </c>
      <c r="AJ16" s="3231" t="s">
        <v>3643</v>
      </c>
      <c r="AK16" s="3231" t="s">
        <v>3635</v>
      </c>
      <c r="AL16" s="3231" t="s">
        <v>3606</v>
      </c>
      <c r="AM16" s="3231" t="s">
        <v>3607</v>
      </c>
      <c r="AN16" s="3231">
        <v>38100</v>
      </c>
      <c r="AO16" s="3231">
        <v>7700</v>
      </c>
      <c r="AP16" s="3234">
        <v>44323.625497685185</v>
      </c>
      <c r="AQ16" s="3231">
        <v>41900</v>
      </c>
      <c r="AR16" s="3231">
        <v>22587.83</v>
      </c>
      <c r="AS16" s="3231">
        <v>24840.68</v>
      </c>
      <c r="AT16" s="3231">
        <v>1505.86</v>
      </c>
      <c r="AU16" s="3231">
        <v>1656.05</v>
      </c>
      <c r="AV16" s="3231">
        <v>11888</v>
      </c>
      <c r="AW16" s="3231">
        <v>13074</v>
      </c>
      <c r="AX16" s="3231" t="s">
        <v>3592</v>
      </c>
      <c r="AY16" s="3231" t="s">
        <v>3592</v>
      </c>
      <c r="AZ16" s="3231">
        <v>9.9700000000000006</v>
      </c>
      <c r="BA16" s="3231">
        <v>41900</v>
      </c>
      <c r="BB16" s="3231" t="s">
        <v>3742</v>
      </c>
      <c r="BC16" s="3231" t="s">
        <v>3592</v>
      </c>
      <c r="BD16" s="3231" t="s">
        <v>3592</v>
      </c>
      <c r="BE16" s="3231">
        <v>13074</v>
      </c>
      <c r="BF16" s="3231">
        <v>9.9700000000000006</v>
      </c>
      <c r="BG16" s="3231" t="s">
        <v>3592</v>
      </c>
      <c r="BH16" s="3231" t="s">
        <v>3609</v>
      </c>
      <c r="BI16" s="3231" t="s">
        <v>3761</v>
      </c>
      <c r="BJ16" s="3231" t="s">
        <v>3610</v>
      </c>
      <c r="BK16" s="3231" t="s">
        <v>3611</v>
      </c>
      <c r="BL16" s="3231" t="s">
        <v>3592</v>
      </c>
      <c r="BM16" s="3231" t="s">
        <v>3592</v>
      </c>
    </row>
    <row r="17" spans="1:65" hidden="1">
      <c r="A17" s="3231" t="s">
        <v>3762</v>
      </c>
      <c r="B17" s="3231" t="s">
        <v>3586</v>
      </c>
      <c r="C17" s="3231" t="s">
        <v>3587</v>
      </c>
      <c r="D17" s="3231" t="s">
        <v>3588</v>
      </c>
      <c r="E17" s="3231" t="s">
        <v>3763</v>
      </c>
      <c r="F17" s="3231" t="s">
        <v>3764</v>
      </c>
      <c r="G17" s="3231" t="s">
        <v>3764</v>
      </c>
      <c r="H17" s="3231" t="s">
        <v>3765</v>
      </c>
      <c r="I17" s="3231">
        <v>212724.14</v>
      </c>
      <c r="J17" s="3231">
        <v>519225</v>
      </c>
      <c r="K17" s="3231" t="s">
        <v>3592</v>
      </c>
      <c r="L17" s="3231" t="s">
        <v>3592</v>
      </c>
      <c r="M17" s="3231">
        <v>0</v>
      </c>
      <c r="N17" s="3231">
        <v>0</v>
      </c>
      <c r="O17" s="3231" t="s">
        <v>3593</v>
      </c>
      <c r="P17" s="3231" t="s">
        <v>3766</v>
      </c>
      <c r="Q17" s="3231" t="s">
        <v>3767</v>
      </c>
      <c r="R17" s="3231" t="s">
        <v>3732</v>
      </c>
      <c r="S17" s="3231" t="s">
        <v>3768</v>
      </c>
      <c r="T17" s="3231">
        <v>0</v>
      </c>
      <c r="U17" s="3231">
        <v>61.09</v>
      </c>
      <c r="V17" s="3231" t="s">
        <v>3769</v>
      </c>
      <c r="W17" s="3231" t="s">
        <v>3770</v>
      </c>
      <c r="X17" s="3231" t="s">
        <v>3598</v>
      </c>
      <c r="Y17" s="3231" t="s">
        <v>3599</v>
      </c>
      <c r="Z17" s="3231" t="s">
        <v>3771</v>
      </c>
      <c r="AA17" s="3231" t="s">
        <v>3601</v>
      </c>
      <c r="AB17" s="3231" t="s">
        <v>3592</v>
      </c>
      <c r="AC17" s="3231" t="s">
        <v>3592</v>
      </c>
      <c r="AD17" s="3234">
        <v>44133.000497685185</v>
      </c>
      <c r="AE17" s="3234">
        <v>44153.000497685185</v>
      </c>
      <c r="AF17" s="3234">
        <v>44167.000497685185</v>
      </c>
      <c r="AG17" s="3234">
        <v>44167.000497685185</v>
      </c>
      <c r="AH17" s="3231" t="s">
        <v>3602</v>
      </c>
      <c r="AI17" s="3231" t="s">
        <v>3651</v>
      </c>
      <c r="AJ17" s="3231" t="s">
        <v>3772</v>
      </c>
      <c r="AK17" s="3231" t="s">
        <v>3726</v>
      </c>
      <c r="AL17" s="3231" t="s">
        <v>3606</v>
      </c>
      <c r="AM17" s="3231" t="s">
        <v>3607</v>
      </c>
      <c r="AN17" s="3231">
        <v>449900</v>
      </c>
      <c r="AO17" s="3231">
        <v>90000</v>
      </c>
      <c r="AP17" s="3234">
        <v>44166.625497685185</v>
      </c>
      <c r="AQ17" s="3231">
        <v>449900</v>
      </c>
      <c r="AR17" s="3231">
        <v>21149.45</v>
      </c>
      <c r="AS17" s="3231">
        <v>21149.45</v>
      </c>
      <c r="AT17" s="3231">
        <v>1409.96</v>
      </c>
      <c r="AU17" s="3231">
        <v>1409.96</v>
      </c>
      <c r="AV17" s="3231">
        <v>8665</v>
      </c>
      <c r="AW17" s="3231">
        <v>8665</v>
      </c>
      <c r="AX17" s="3231" t="s">
        <v>3592</v>
      </c>
      <c r="AY17" s="3231" t="s">
        <v>3592</v>
      </c>
      <c r="AZ17" s="3231">
        <v>0</v>
      </c>
      <c r="BA17" s="3231" t="s">
        <v>3592</v>
      </c>
      <c r="BB17" s="3231" t="s">
        <v>3592</v>
      </c>
      <c r="BC17" s="3231" t="s">
        <v>3592</v>
      </c>
      <c r="BD17" s="3231" t="s">
        <v>3592</v>
      </c>
      <c r="BE17" s="3231" t="s">
        <v>3592</v>
      </c>
      <c r="BF17" s="3231" t="s">
        <v>3592</v>
      </c>
      <c r="BG17" s="3231" t="s">
        <v>3592</v>
      </c>
      <c r="BH17" s="3231" t="s">
        <v>3609</v>
      </c>
      <c r="BI17" s="3231" t="s">
        <v>3773</v>
      </c>
      <c r="BJ17" s="3231" t="s">
        <v>3610</v>
      </c>
      <c r="BK17" s="3231" t="s">
        <v>3611</v>
      </c>
      <c r="BL17" s="3231" t="s">
        <v>3592</v>
      </c>
      <c r="BM17" s="3231" t="s">
        <v>3592</v>
      </c>
    </row>
    <row r="18" spans="1:65" hidden="1">
      <c r="A18" s="3231" t="s">
        <v>3774</v>
      </c>
      <c r="B18" s="3231" t="s">
        <v>3586</v>
      </c>
      <c r="C18" s="3231" t="s">
        <v>3587</v>
      </c>
      <c r="D18" s="3231" t="s">
        <v>3646</v>
      </c>
      <c r="E18" s="3231" t="s">
        <v>3775</v>
      </c>
      <c r="F18" s="3231" t="s">
        <v>3776</v>
      </c>
      <c r="G18" s="3231" t="s">
        <v>3776</v>
      </c>
      <c r="H18" s="3231" t="s">
        <v>3777</v>
      </c>
      <c r="I18" s="3231">
        <v>36460.699999999997</v>
      </c>
      <c r="J18" s="3231">
        <v>85682.64</v>
      </c>
      <c r="K18" s="3231" t="s">
        <v>3592</v>
      </c>
      <c r="L18" s="3231" t="s">
        <v>3592</v>
      </c>
      <c r="M18" s="3231">
        <v>0</v>
      </c>
      <c r="N18" s="3231">
        <v>0</v>
      </c>
      <c r="O18" s="3231" t="s">
        <v>3615</v>
      </c>
      <c r="P18" s="3231" t="s">
        <v>3660</v>
      </c>
      <c r="Q18" s="3231" t="s">
        <v>3660</v>
      </c>
      <c r="R18" s="3231" t="s">
        <v>3732</v>
      </c>
      <c r="S18" s="3231" t="s">
        <v>3778</v>
      </c>
      <c r="T18" s="3231">
        <v>2.35</v>
      </c>
      <c r="U18" s="3231" t="s">
        <v>3592</v>
      </c>
      <c r="V18" s="3231" t="s">
        <v>3734</v>
      </c>
      <c r="W18" s="3231" t="s">
        <v>3779</v>
      </c>
      <c r="X18" s="3231" t="s">
        <v>3598</v>
      </c>
      <c r="Y18" s="3231" t="s">
        <v>3599</v>
      </c>
      <c r="Z18" s="3231" t="s">
        <v>3771</v>
      </c>
      <c r="AA18" s="3231" t="s">
        <v>3601</v>
      </c>
      <c r="AB18" s="3231" t="s">
        <v>3592</v>
      </c>
      <c r="AC18" s="3231" t="s">
        <v>3592</v>
      </c>
      <c r="AD18" s="3234">
        <v>44041.000497685185</v>
      </c>
      <c r="AE18" s="3234">
        <v>44062.000497685185</v>
      </c>
      <c r="AF18" s="3234">
        <v>44076.000497685185</v>
      </c>
      <c r="AG18" s="3234">
        <v>44076.000497685185</v>
      </c>
      <c r="AH18" s="3231" t="s">
        <v>3602</v>
      </c>
      <c r="AI18" s="3231" t="s">
        <v>3651</v>
      </c>
      <c r="AJ18" s="3231" t="s">
        <v>3780</v>
      </c>
      <c r="AK18" s="3231" t="s">
        <v>3781</v>
      </c>
      <c r="AL18" s="3231" t="s">
        <v>3606</v>
      </c>
      <c r="AM18" s="3231" t="s">
        <v>3607</v>
      </c>
      <c r="AN18" s="3231">
        <v>132800</v>
      </c>
      <c r="AO18" s="3231">
        <v>26600</v>
      </c>
      <c r="AP18" s="3234">
        <v>44075.625497685185</v>
      </c>
      <c r="AQ18" s="3231">
        <v>132800</v>
      </c>
      <c r="AR18" s="3231">
        <v>36422.769999999997</v>
      </c>
      <c r="AS18" s="3231">
        <v>36422.769999999997</v>
      </c>
      <c r="AT18" s="3231">
        <v>2428.19</v>
      </c>
      <c r="AU18" s="3231">
        <v>2428.19</v>
      </c>
      <c r="AV18" s="3231">
        <v>15499</v>
      </c>
      <c r="AW18" s="3231">
        <v>15499</v>
      </c>
      <c r="AX18" s="3231" t="s">
        <v>3592</v>
      </c>
      <c r="AY18" s="3231" t="s">
        <v>3592</v>
      </c>
      <c r="AZ18" s="3231">
        <v>0</v>
      </c>
      <c r="BA18" s="3231" t="s">
        <v>3592</v>
      </c>
      <c r="BB18" s="3231" t="s">
        <v>3592</v>
      </c>
      <c r="BC18" s="3231" t="s">
        <v>3592</v>
      </c>
      <c r="BD18" s="3231" t="s">
        <v>3592</v>
      </c>
      <c r="BE18" s="3231" t="s">
        <v>3592</v>
      </c>
      <c r="BF18" s="3231" t="s">
        <v>3592</v>
      </c>
      <c r="BG18" s="3231" t="s">
        <v>3592</v>
      </c>
      <c r="BH18" s="3231" t="s">
        <v>3622</v>
      </c>
      <c r="BI18" s="3231" t="s">
        <v>3782</v>
      </c>
      <c r="BJ18" s="3231" t="s">
        <v>3610</v>
      </c>
      <c r="BK18" s="3231" t="s">
        <v>3611</v>
      </c>
      <c r="BL18" s="3231" t="s">
        <v>3592</v>
      </c>
      <c r="BM18" s="3231" t="s">
        <v>3592</v>
      </c>
    </row>
    <row r="19" spans="1:65" hidden="1">
      <c r="A19" s="3231" t="s">
        <v>3783</v>
      </c>
      <c r="B19" s="3231" t="s">
        <v>3586</v>
      </c>
      <c r="C19" s="3231" t="s">
        <v>3587</v>
      </c>
      <c r="D19" s="3231" t="s">
        <v>3588</v>
      </c>
      <c r="E19" s="3231" t="s">
        <v>3589</v>
      </c>
      <c r="F19" s="3231" t="s">
        <v>3784</v>
      </c>
      <c r="G19" s="3231" t="s">
        <v>3784</v>
      </c>
      <c r="H19" s="3231" t="s">
        <v>3785</v>
      </c>
      <c r="I19" s="3231">
        <v>42031.040000000001</v>
      </c>
      <c r="J19" s="3231">
        <v>84062</v>
      </c>
      <c r="K19" s="3231" t="s">
        <v>3592</v>
      </c>
      <c r="L19" s="3231" t="s">
        <v>3592</v>
      </c>
      <c r="M19" s="3231">
        <v>0</v>
      </c>
      <c r="N19" s="3231">
        <v>0</v>
      </c>
      <c r="O19" s="3231" t="s">
        <v>3615</v>
      </c>
      <c r="P19" s="3231" t="s">
        <v>3660</v>
      </c>
      <c r="Q19" s="3231" t="s">
        <v>3660</v>
      </c>
      <c r="R19" s="3231" t="s">
        <v>3732</v>
      </c>
      <c r="S19" s="3231" t="s">
        <v>3733</v>
      </c>
      <c r="T19" s="3231">
        <v>2</v>
      </c>
      <c r="U19" s="3231" t="s">
        <v>3592</v>
      </c>
      <c r="V19" s="3231" t="s">
        <v>3734</v>
      </c>
      <c r="W19" s="3231" t="s">
        <v>3760</v>
      </c>
      <c r="X19" s="3231" t="s">
        <v>3598</v>
      </c>
      <c r="Y19" s="3231" t="s">
        <v>3599</v>
      </c>
      <c r="Z19" s="3231" t="s">
        <v>3771</v>
      </c>
      <c r="AA19" s="3231" t="s">
        <v>3601</v>
      </c>
      <c r="AB19" s="3231" t="s">
        <v>3592</v>
      </c>
      <c r="AC19" s="3231" t="s">
        <v>3592</v>
      </c>
      <c r="AD19" s="3234">
        <v>44025.000497685185</v>
      </c>
      <c r="AE19" s="3234">
        <v>44046.000497685185</v>
      </c>
      <c r="AF19" s="3234">
        <v>44060.000497685185</v>
      </c>
      <c r="AG19" s="3234">
        <v>44060.000497685185</v>
      </c>
      <c r="AH19" s="3231" t="s">
        <v>3602</v>
      </c>
      <c r="AI19" s="3231" t="s">
        <v>3651</v>
      </c>
      <c r="AJ19" s="3231" t="s">
        <v>3786</v>
      </c>
      <c r="AK19" s="3231" t="s">
        <v>3787</v>
      </c>
      <c r="AL19" s="3231" t="s">
        <v>3683</v>
      </c>
      <c r="AM19" s="3231" t="s">
        <v>3684</v>
      </c>
      <c r="AN19" s="3231">
        <v>197100</v>
      </c>
      <c r="AO19" s="3231">
        <v>39500</v>
      </c>
      <c r="AP19" s="3234">
        <v>44057.625497685185</v>
      </c>
      <c r="AQ19" s="3231">
        <v>197100</v>
      </c>
      <c r="AR19" s="3231">
        <v>46893.91</v>
      </c>
      <c r="AS19" s="3231">
        <v>46893.91</v>
      </c>
      <c r="AT19" s="3231">
        <v>3126.26</v>
      </c>
      <c r="AU19" s="3231">
        <v>3126.26</v>
      </c>
      <c r="AV19" s="3231">
        <v>23447</v>
      </c>
      <c r="AW19" s="3231">
        <v>23447</v>
      </c>
      <c r="AX19" s="3231" t="s">
        <v>3592</v>
      </c>
      <c r="AY19" s="3231" t="s">
        <v>3592</v>
      </c>
      <c r="AZ19" s="3231">
        <v>0</v>
      </c>
      <c r="BA19" s="3231" t="s">
        <v>3592</v>
      </c>
      <c r="BB19" s="3231" t="s">
        <v>3592</v>
      </c>
      <c r="BC19" s="3231" t="s">
        <v>3592</v>
      </c>
      <c r="BD19" s="3231" t="s">
        <v>3592</v>
      </c>
      <c r="BE19" s="3231" t="s">
        <v>3592</v>
      </c>
      <c r="BF19" s="3231" t="s">
        <v>3592</v>
      </c>
      <c r="BG19" s="3231" t="s">
        <v>3592</v>
      </c>
      <c r="BH19" s="3231" t="s">
        <v>3609</v>
      </c>
      <c r="BI19" s="3231" t="s">
        <v>3623</v>
      </c>
      <c r="BJ19" s="3231" t="s">
        <v>3610</v>
      </c>
      <c r="BK19" s="3231" t="s">
        <v>3611</v>
      </c>
      <c r="BL19" s="3231" t="s">
        <v>3592</v>
      </c>
      <c r="BM19" s="3231" t="s">
        <v>3592</v>
      </c>
    </row>
    <row r="20" spans="1:65" hidden="1">
      <c r="A20" s="3231" t="s">
        <v>3788</v>
      </c>
      <c r="B20" s="3231" t="s">
        <v>3586</v>
      </c>
      <c r="C20" s="3231" t="s">
        <v>3587</v>
      </c>
      <c r="D20" s="3231" t="s">
        <v>3646</v>
      </c>
      <c r="E20" s="3231" t="s">
        <v>3673</v>
      </c>
      <c r="F20" s="3231" t="s">
        <v>3789</v>
      </c>
      <c r="G20" s="3231" t="s">
        <v>3789</v>
      </c>
      <c r="H20" s="3231" t="s">
        <v>3790</v>
      </c>
      <c r="I20" s="3231">
        <v>35468.480000000003</v>
      </c>
      <c r="J20" s="3231">
        <v>51985.91</v>
      </c>
      <c r="K20" s="3231" t="s">
        <v>3592</v>
      </c>
      <c r="L20" s="3231" t="s">
        <v>3592</v>
      </c>
      <c r="M20" s="3231">
        <v>0</v>
      </c>
      <c r="N20" s="3231">
        <v>0</v>
      </c>
      <c r="O20" s="3231" t="s">
        <v>3593</v>
      </c>
      <c r="P20" s="3231" t="s">
        <v>3791</v>
      </c>
      <c r="Q20" s="3231" t="s">
        <v>3792</v>
      </c>
      <c r="R20" s="3231" t="s">
        <v>3793</v>
      </c>
      <c r="S20" s="3231" t="s">
        <v>3794</v>
      </c>
      <c r="T20" s="3231">
        <v>1.47</v>
      </c>
      <c r="U20" s="3231" t="s">
        <v>3592</v>
      </c>
      <c r="V20" s="3231" t="s">
        <v>3592</v>
      </c>
      <c r="W20" s="3231" t="s">
        <v>3592</v>
      </c>
      <c r="X20" s="3231" t="s">
        <v>3721</v>
      </c>
      <c r="Y20" s="3231" t="s">
        <v>3599</v>
      </c>
      <c r="Z20" s="3231" t="s">
        <v>3592</v>
      </c>
      <c r="AA20" s="3231" t="s">
        <v>3592</v>
      </c>
      <c r="AB20" s="3231" t="s">
        <v>3592</v>
      </c>
      <c r="AC20" s="3231" t="s">
        <v>3795</v>
      </c>
      <c r="AD20" s="3234">
        <v>43921.000497685185</v>
      </c>
      <c r="AE20" s="3234">
        <v>43941.000497685185</v>
      </c>
      <c r="AF20" s="3234">
        <v>43941.000497685185</v>
      </c>
      <c r="AG20" s="3234">
        <v>43941.000497685185</v>
      </c>
      <c r="AH20" s="3231" t="s">
        <v>3602</v>
      </c>
      <c r="AI20" s="3231" t="s">
        <v>3693</v>
      </c>
      <c r="AJ20" s="3231" t="s">
        <v>3796</v>
      </c>
      <c r="AK20" s="3231" t="s">
        <v>3592</v>
      </c>
      <c r="AL20" s="3231" t="s">
        <v>3592</v>
      </c>
      <c r="AM20" s="3231" t="s">
        <v>3592</v>
      </c>
      <c r="AN20" s="3231" t="s">
        <v>3592</v>
      </c>
      <c r="AO20" s="3231">
        <v>500</v>
      </c>
      <c r="AP20" s="3234">
        <v>43936.646331018521</v>
      </c>
      <c r="AQ20" s="3231" t="s">
        <v>3592</v>
      </c>
      <c r="AR20" s="3231" t="s">
        <v>3592</v>
      </c>
      <c r="AS20" s="3231" t="s">
        <v>3592</v>
      </c>
      <c r="AT20" s="3231" t="s">
        <v>3592</v>
      </c>
      <c r="AU20" s="3231" t="s">
        <v>3592</v>
      </c>
      <c r="AV20" s="3231" t="s">
        <v>3592</v>
      </c>
      <c r="AW20" s="3231" t="s">
        <v>3592</v>
      </c>
      <c r="AX20" s="3231" t="s">
        <v>3592</v>
      </c>
      <c r="AY20" s="3231" t="s">
        <v>3592</v>
      </c>
      <c r="AZ20" s="3231">
        <v>0</v>
      </c>
      <c r="BA20" s="3231" t="s">
        <v>3592</v>
      </c>
      <c r="BB20" s="3231" t="s">
        <v>3592</v>
      </c>
      <c r="BC20" s="3231" t="s">
        <v>3592</v>
      </c>
      <c r="BD20" s="3231" t="s">
        <v>3592</v>
      </c>
      <c r="BE20" s="3231" t="s">
        <v>3592</v>
      </c>
      <c r="BF20" s="3231" t="s">
        <v>3592</v>
      </c>
      <c r="BG20" s="3231" t="s">
        <v>3592</v>
      </c>
      <c r="BH20" s="3231" t="s">
        <v>3622</v>
      </c>
      <c r="BI20" s="3231" t="s">
        <v>3623</v>
      </c>
      <c r="BJ20" s="3231" t="s">
        <v>3610</v>
      </c>
      <c r="BK20" s="3231" t="s">
        <v>3611</v>
      </c>
      <c r="BL20" s="3231" t="s">
        <v>3592</v>
      </c>
      <c r="BM20" s="3231" t="s">
        <v>3592</v>
      </c>
    </row>
    <row r="21" spans="1:65" hidden="1">
      <c r="A21" s="3231" t="s">
        <v>3797</v>
      </c>
      <c r="B21" s="3231" t="s">
        <v>3586</v>
      </c>
      <c r="C21" s="3231" t="s">
        <v>3587</v>
      </c>
      <c r="D21" s="3231" t="s">
        <v>3627</v>
      </c>
      <c r="E21" s="3231" t="s">
        <v>3798</v>
      </c>
      <c r="F21" s="3231" t="s">
        <v>3799</v>
      </c>
      <c r="G21" s="3231" t="s">
        <v>3799</v>
      </c>
      <c r="H21" s="3231" t="s">
        <v>3800</v>
      </c>
      <c r="I21" s="3231">
        <v>121639.58</v>
      </c>
      <c r="J21" s="3231">
        <v>192922</v>
      </c>
      <c r="K21" s="3231" t="s">
        <v>3592</v>
      </c>
      <c r="L21" s="3231" t="s">
        <v>3592</v>
      </c>
      <c r="M21" s="3231">
        <v>0</v>
      </c>
      <c r="N21" s="3231">
        <v>0</v>
      </c>
      <c r="O21" s="3231" t="s">
        <v>3593</v>
      </c>
      <c r="P21" s="3231" t="s">
        <v>3791</v>
      </c>
      <c r="Q21" s="3231" t="s">
        <v>3792</v>
      </c>
      <c r="R21" s="3231" t="s">
        <v>3732</v>
      </c>
      <c r="S21" s="3231" t="s">
        <v>3801</v>
      </c>
      <c r="T21" s="3231">
        <v>1.62</v>
      </c>
      <c r="U21" s="3231" t="s">
        <v>3592</v>
      </c>
      <c r="V21" s="3231" t="s">
        <v>3734</v>
      </c>
      <c r="W21" s="3231" t="s">
        <v>3802</v>
      </c>
      <c r="X21" s="3231" t="s">
        <v>3598</v>
      </c>
      <c r="Y21" s="3231" t="s">
        <v>3599</v>
      </c>
      <c r="Z21" s="3231" t="s">
        <v>3771</v>
      </c>
      <c r="AA21" s="3231" t="s">
        <v>3601</v>
      </c>
      <c r="AB21" s="3231" t="s">
        <v>3592</v>
      </c>
      <c r="AC21" s="3231" t="s">
        <v>3592</v>
      </c>
      <c r="AD21" s="3234">
        <v>43902.000497685185</v>
      </c>
      <c r="AE21" s="3234">
        <v>43922.000497685185</v>
      </c>
      <c r="AF21" s="3234">
        <v>43937.000497685185</v>
      </c>
      <c r="AG21" s="3234">
        <v>43937.000497685185</v>
      </c>
      <c r="AH21" s="3231" t="s">
        <v>3602</v>
      </c>
      <c r="AI21" s="3231" t="s">
        <v>3651</v>
      </c>
      <c r="AJ21" s="3231" t="s">
        <v>3803</v>
      </c>
      <c r="AK21" s="3231" t="s">
        <v>3804</v>
      </c>
      <c r="AL21" s="3231" t="s">
        <v>3654</v>
      </c>
      <c r="AM21" s="3231" t="s">
        <v>3592</v>
      </c>
      <c r="AN21" s="3231">
        <v>185000</v>
      </c>
      <c r="AO21" s="3231">
        <v>37000</v>
      </c>
      <c r="AP21" s="3234">
        <v>43936.625497685185</v>
      </c>
      <c r="AQ21" s="3231">
        <v>214000</v>
      </c>
      <c r="AR21" s="3231">
        <v>15208.86</v>
      </c>
      <c r="AS21" s="3231">
        <v>17592.95</v>
      </c>
      <c r="AT21" s="3231">
        <v>1013.92</v>
      </c>
      <c r="AU21" s="3231">
        <v>1172.8599999999999</v>
      </c>
      <c r="AV21" s="3231">
        <v>9589</v>
      </c>
      <c r="AW21" s="3231">
        <v>11093</v>
      </c>
      <c r="AX21" s="3231" t="s">
        <v>3592</v>
      </c>
      <c r="AY21" s="3231" t="s">
        <v>3592</v>
      </c>
      <c r="AZ21" s="3231">
        <v>15.68</v>
      </c>
      <c r="BA21" s="3231" t="s">
        <v>3592</v>
      </c>
      <c r="BB21" s="3231" t="s">
        <v>3592</v>
      </c>
      <c r="BC21" s="3231" t="s">
        <v>3592</v>
      </c>
      <c r="BD21" s="3231" t="s">
        <v>3592</v>
      </c>
      <c r="BE21" s="3231" t="s">
        <v>3592</v>
      </c>
      <c r="BF21" s="3231" t="s">
        <v>3592</v>
      </c>
      <c r="BG21" s="3231" t="s">
        <v>3592</v>
      </c>
      <c r="BH21" s="3231" t="s">
        <v>3609</v>
      </c>
      <c r="BI21" s="3231" t="s">
        <v>3805</v>
      </c>
      <c r="BJ21" s="3231" t="s">
        <v>3610</v>
      </c>
      <c r="BK21" s="3231" t="s">
        <v>3611</v>
      </c>
      <c r="BL21" s="3231" t="s">
        <v>3592</v>
      </c>
      <c r="BM21" s="3231" t="s">
        <v>3592</v>
      </c>
    </row>
    <row r="22" spans="1:65" hidden="1">
      <c r="A22" s="3231" t="s">
        <v>3806</v>
      </c>
      <c r="B22" s="3231" t="s">
        <v>3586</v>
      </c>
      <c r="C22" s="3231" t="s">
        <v>3587</v>
      </c>
      <c r="D22" s="3231" t="s">
        <v>3627</v>
      </c>
      <c r="E22" s="3231" t="s">
        <v>3729</v>
      </c>
      <c r="F22" s="3231" t="s">
        <v>3807</v>
      </c>
      <c r="G22" s="3231" t="s">
        <v>3807</v>
      </c>
      <c r="H22" s="3231" t="s">
        <v>3731</v>
      </c>
      <c r="I22" s="3231">
        <v>64531.28</v>
      </c>
      <c r="J22" s="3231">
        <v>124382</v>
      </c>
      <c r="K22" s="3231" t="s">
        <v>3592</v>
      </c>
      <c r="L22" s="3231" t="s">
        <v>3592</v>
      </c>
      <c r="M22" s="3231">
        <v>0</v>
      </c>
      <c r="N22" s="3231">
        <v>0</v>
      </c>
      <c r="O22" s="3231" t="s">
        <v>3593</v>
      </c>
      <c r="P22" s="3231" t="s">
        <v>3791</v>
      </c>
      <c r="Q22" s="3231" t="s">
        <v>3792</v>
      </c>
      <c r="R22" s="3231" t="s">
        <v>3808</v>
      </c>
      <c r="S22" s="3231" t="s">
        <v>3809</v>
      </c>
      <c r="T22" s="3231">
        <v>2</v>
      </c>
      <c r="U22" s="3231" t="s">
        <v>3592</v>
      </c>
      <c r="V22" s="3231" t="s">
        <v>3810</v>
      </c>
      <c r="W22" s="3231" t="s">
        <v>3811</v>
      </c>
      <c r="X22" s="3231" t="s">
        <v>3598</v>
      </c>
      <c r="Y22" s="3231" t="s">
        <v>3599</v>
      </c>
      <c r="Z22" s="3231" t="s">
        <v>3771</v>
      </c>
      <c r="AA22" s="3231" t="s">
        <v>3601</v>
      </c>
      <c r="AB22" s="3231" t="s">
        <v>3592</v>
      </c>
      <c r="AC22" s="3231" t="s">
        <v>3592</v>
      </c>
      <c r="AD22" s="3234">
        <v>43902.000497685185</v>
      </c>
      <c r="AE22" s="3234">
        <v>43922.000497685185</v>
      </c>
      <c r="AF22" s="3234">
        <v>43937.000497685185</v>
      </c>
      <c r="AG22" s="3234">
        <v>43937.000497685185</v>
      </c>
      <c r="AH22" s="3231" t="s">
        <v>3602</v>
      </c>
      <c r="AI22" s="3231" t="s">
        <v>3651</v>
      </c>
      <c r="AJ22" s="3231" t="s">
        <v>3812</v>
      </c>
      <c r="AK22" s="3231" t="s">
        <v>3813</v>
      </c>
      <c r="AL22" s="3231" t="s">
        <v>3814</v>
      </c>
      <c r="AM22" s="3231" t="s">
        <v>3741</v>
      </c>
      <c r="AN22" s="3231">
        <v>149600</v>
      </c>
      <c r="AO22" s="3231">
        <v>30000</v>
      </c>
      <c r="AP22" s="3234">
        <v>43936.625497685185</v>
      </c>
      <c r="AQ22" s="3231">
        <v>149600</v>
      </c>
      <c r="AR22" s="3231">
        <v>23182.55</v>
      </c>
      <c r="AS22" s="3231">
        <v>23182.55</v>
      </c>
      <c r="AT22" s="3231">
        <v>1545.5</v>
      </c>
      <c r="AU22" s="3231">
        <v>1545.5</v>
      </c>
      <c r="AV22" s="3231">
        <v>12027</v>
      </c>
      <c r="AW22" s="3231">
        <v>12027</v>
      </c>
      <c r="AX22" s="3231" t="s">
        <v>3592</v>
      </c>
      <c r="AY22" s="3231" t="s">
        <v>3592</v>
      </c>
      <c r="AZ22" s="3231">
        <v>0</v>
      </c>
      <c r="BA22" s="3231" t="s">
        <v>3592</v>
      </c>
      <c r="BB22" s="3231" t="s">
        <v>3592</v>
      </c>
      <c r="BC22" s="3231" t="s">
        <v>3592</v>
      </c>
      <c r="BD22" s="3231" t="s">
        <v>3592</v>
      </c>
      <c r="BE22" s="3231" t="s">
        <v>3592</v>
      </c>
      <c r="BF22" s="3231" t="s">
        <v>3592</v>
      </c>
      <c r="BG22" s="3231" t="s">
        <v>3592</v>
      </c>
      <c r="BH22" s="3231" t="s">
        <v>3609</v>
      </c>
      <c r="BI22" s="3231" t="s">
        <v>3815</v>
      </c>
      <c r="BJ22" s="3231" t="s">
        <v>3610</v>
      </c>
      <c r="BK22" s="3231" t="s">
        <v>3611</v>
      </c>
      <c r="BL22" s="3234">
        <v>43975.000497685185</v>
      </c>
      <c r="BM22" s="3231">
        <v>149600</v>
      </c>
    </row>
    <row r="23" spans="1:65" hidden="1">
      <c r="A23" s="3231" t="s">
        <v>3816</v>
      </c>
      <c r="B23" s="3231" t="s">
        <v>3586</v>
      </c>
      <c r="C23" s="3231" t="s">
        <v>3587</v>
      </c>
      <c r="D23" s="3231" t="s">
        <v>3588</v>
      </c>
      <c r="E23" s="3231" t="s">
        <v>3589</v>
      </c>
      <c r="F23" s="3231" t="s">
        <v>3817</v>
      </c>
      <c r="G23" s="3231" t="s">
        <v>3817</v>
      </c>
      <c r="H23" s="3231" t="s">
        <v>3785</v>
      </c>
      <c r="I23" s="3231">
        <v>54523.08</v>
      </c>
      <c r="J23" s="3231">
        <v>68836</v>
      </c>
      <c r="K23" s="3231">
        <v>0</v>
      </c>
      <c r="L23" s="3231">
        <v>0</v>
      </c>
      <c r="M23" s="3231">
        <v>0</v>
      </c>
      <c r="N23" s="3231">
        <v>0</v>
      </c>
      <c r="O23" s="3231" t="s">
        <v>3593</v>
      </c>
      <c r="P23" s="3231" t="s">
        <v>3818</v>
      </c>
      <c r="Q23" s="3231" t="s">
        <v>3819</v>
      </c>
      <c r="R23" s="3231" t="s">
        <v>3732</v>
      </c>
      <c r="S23" s="3231" t="s">
        <v>3820</v>
      </c>
      <c r="T23" s="3231">
        <v>1.55</v>
      </c>
      <c r="U23" s="3231" t="s">
        <v>3592</v>
      </c>
      <c r="V23" s="3231" t="s">
        <v>3821</v>
      </c>
      <c r="W23" s="3231" t="s">
        <v>3822</v>
      </c>
      <c r="X23" s="3231" t="s">
        <v>3598</v>
      </c>
      <c r="Y23" s="3231" t="s">
        <v>3599</v>
      </c>
      <c r="Z23" s="3231" t="s">
        <v>3771</v>
      </c>
      <c r="AA23" s="3231" t="s">
        <v>3601</v>
      </c>
      <c r="AB23" s="3231" t="s">
        <v>3592</v>
      </c>
      <c r="AC23" s="3231" t="s">
        <v>3592</v>
      </c>
      <c r="AD23" s="3234">
        <v>43784.000497685185</v>
      </c>
      <c r="AE23" s="3234">
        <v>43804.000497685185</v>
      </c>
      <c r="AF23" s="3234">
        <v>43818.000497685185</v>
      </c>
      <c r="AG23" s="3234">
        <v>43818.000497685185</v>
      </c>
      <c r="AH23" s="3231" t="s">
        <v>3602</v>
      </c>
      <c r="AI23" s="3231" t="s">
        <v>3651</v>
      </c>
      <c r="AJ23" s="3231" t="s">
        <v>3823</v>
      </c>
      <c r="AK23" s="3231" t="s">
        <v>3824</v>
      </c>
      <c r="AL23" s="3231" t="s">
        <v>3683</v>
      </c>
      <c r="AM23" s="3231" t="s">
        <v>3825</v>
      </c>
      <c r="AN23" s="3231">
        <v>161000</v>
      </c>
      <c r="AO23" s="3231">
        <v>32200</v>
      </c>
      <c r="AP23" s="3234">
        <v>43817.625497685185</v>
      </c>
      <c r="AQ23" s="3231">
        <v>161000</v>
      </c>
      <c r="AR23" s="3231">
        <v>29528.78</v>
      </c>
      <c r="AS23" s="3231">
        <v>29528.78</v>
      </c>
      <c r="AT23" s="3231">
        <v>1968.59</v>
      </c>
      <c r="AU23" s="3231">
        <v>1968.59</v>
      </c>
      <c r="AV23" s="3231">
        <v>23389</v>
      </c>
      <c r="AW23" s="3231">
        <v>23389</v>
      </c>
      <c r="AX23" s="3231" t="s">
        <v>3592</v>
      </c>
      <c r="AY23" s="3231" t="s">
        <v>3592</v>
      </c>
      <c r="AZ23" s="3231">
        <v>0</v>
      </c>
      <c r="BA23" s="3231" t="s">
        <v>3592</v>
      </c>
      <c r="BB23" s="3231" t="s">
        <v>3592</v>
      </c>
      <c r="BC23" s="3231" t="s">
        <v>3592</v>
      </c>
      <c r="BD23" s="3231" t="s">
        <v>3592</v>
      </c>
      <c r="BE23" s="3231" t="s">
        <v>3592</v>
      </c>
      <c r="BF23" s="3231" t="s">
        <v>3592</v>
      </c>
      <c r="BG23" s="3231" t="s">
        <v>3592</v>
      </c>
      <c r="BH23" s="3231" t="s">
        <v>3609</v>
      </c>
      <c r="BI23" s="3231" t="s">
        <v>3826</v>
      </c>
      <c r="BJ23" s="3231" t="s">
        <v>3610</v>
      </c>
      <c r="BK23" s="3231" t="s">
        <v>3611</v>
      </c>
      <c r="BL23" s="3231" t="s">
        <v>3592</v>
      </c>
      <c r="BM23" s="3231" t="s">
        <v>3592</v>
      </c>
    </row>
    <row r="24" spans="1:65" hidden="1">
      <c r="A24" s="3231" t="s">
        <v>3827</v>
      </c>
      <c r="B24" s="3231" t="s">
        <v>3586</v>
      </c>
      <c r="C24" s="3231" t="s">
        <v>3587</v>
      </c>
      <c r="D24" s="3231" t="s">
        <v>3588</v>
      </c>
      <c r="E24" s="3231" t="s">
        <v>3763</v>
      </c>
      <c r="F24" s="3231" t="s">
        <v>3828</v>
      </c>
      <c r="G24" s="3231" t="s">
        <v>3828</v>
      </c>
      <c r="H24" s="3231" t="s">
        <v>3829</v>
      </c>
      <c r="I24" s="3231">
        <v>37817.29</v>
      </c>
      <c r="J24" s="3231">
        <v>83198</v>
      </c>
      <c r="K24" s="3231">
        <v>0</v>
      </c>
      <c r="L24" s="3231">
        <v>0</v>
      </c>
      <c r="M24" s="3231">
        <v>83198</v>
      </c>
      <c r="N24" s="3231">
        <v>83198</v>
      </c>
      <c r="O24" s="3231" t="s">
        <v>3615</v>
      </c>
      <c r="P24" s="3231" t="s">
        <v>3660</v>
      </c>
      <c r="Q24" s="3231" t="s">
        <v>3660</v>
      </c>
      <c r="R24" s="3231" t="s">
        <v>3732</v>
      </c>
      <c r="S24" s="3231" t="s">
        <v>3830</v>
      </c>
      <c r="T24" s="3231">
        <v>2.2000000000000002</v>
      </c>
      <c r="U24" s="3231" t="s">
        <v>3592</v>
      </c>
      <c r="V24" s="3231" t="s">
        <v>3734</v>
      </c>
      <c r="W24" s="3231" t="s">
        <v>3831</v>
      </c>
      <c r="X24" s="3231" t="s">
        <v>3721</v>
      </c>
      <c r="Y24" s="3231" t="s">
        <v>3599</v>
      </c>
      <c r="Z24" s="3231" t="s">
        <v>3723</v>
      </c>
      <c r="AA24" s="3231" t="s">
        <v>3723</v>
      </c>
      <c r="AB24" s="3231" t="s">
        <v>3724</v>
      </c>
      <c r="AC24" s="3231" t="s">
        <v>3832</v>
      </c>
      <c r="AD24" s="3234">
        <v>43707.000497685185</v>
      </c>
      <c r="AE24" s="3234">
        <v>43728.000497685185</v>
      </c>
      <c r="AF24" s="3234">
        <v>43731.000497685185</v>
      </c>
      <c r="AG24" s="3234">
        <v>43731.000497685185</v>
      </c>
      <c r="AH24" s="3231" t="s">
        <v>3602</v>
      </c>
      <c r="AI24" s="3231" t="s">
        <v>3651</v>
      </c>
      <c r="AJ24" s="3231" t="s">
        <v>3833</v>
      </c>
      <c r="AK24" s="3231" t="s">
        <v>3834</v>
      </c>
      <c r="AL24" s="3231" t="s">
        <v>3606</v>
      </c>
      <c r="AM24" s="3231" t="s">
        <v>3607</v>
      </c>
      <c r="AN24" s="3231" t="s">
        <v>3592</v>
      </c>
      <c r="AO24" s="3231">
        <v>17500</v>
      </c>
      <c r="AP24" s="3234">
        <v>43724.625497685185</v>
      </c>
      <c r="AQ24" s="3231">
        <v>85861.18</v>
      </c>
      <c r="AR24" s="3231" t="s">
        <v>3592</v>
      </c>
      <c r="AS24" s="3231">
        <v>22704.21</v>
      </c>
      <c r="AT24" s="3231" t="s">
        <v>3592</v>
      </c>
      <c r="AU24" s="3231">
        <v>1513.61</v>
      </c>
      <c r="AV24" s="3231" t="s">
        <v>3592</v>
      </c>
      <c r="AW24" s="3231">
        <v>10320</v>
      </c>
      <c r="AX24" s="3231" t="s">
        <v>3592</v>
      </c>
      <c r="AY24" s="3231" t="s">
        <v>3592</v>
      </c>
      <c r="AZ24" s="3231">
        <v>0</v>
      </c>
      <c r="BA24" s="3231" t="s">
        <v>3592</v>
      </c>
      <c r="BB24" s="3231" t="s">
        <v>3592</v>
      </c>
      <c r="BC24" s="3231" t="s">
        <v>3592</v>
      </c>
      <c r="BD24" s="3231">
        <v>22700</v>
      </c>
      <c r="BE24" s="3231" t="s">
        <v>3592</v>
      </c>
      <c r="BF24" s="3231" t="s">
        <v>3592</v>
      </c>
      <c r="BG24" s="3231">
        <v>12380</v>
      </c>
      <c r="BH24" s="3231" t="s">
        <v>3609</v>
      </c>
      <c r="BI24" s="3231" t="s">
        <v>3623</v>
      </c>
      <c r="BJ24" s="3231" t="s">
        <v>3610</v>
      </c>
      <c r="BK24" s="3231" t="s">
        <v>3611</v>
      </c>
      <c r="BL24" s="3231" t="s">
        <v>3592</v>
      </c>
      <c r="BM24" s="3231" t="s">
        <v>3592</v>
      </c>
    </row>
    <row r="25" spans="1:65" hidden="1">
      <c r="A25" s="3231" t="s">
        <v>3835</v>
      </c>
      <c r="B25" s="3231" t="s">
        <v>3586</v>
      </c>
      <c r="C25" s="3231" t="s">
        <v>3587</v>
      </c>
      <c r="D25" s="3231" t="s">
        <v>3646</v>
      </c>
      <c r="E25" s="3231" t="s">
        <v>3836</v>
      </c>
      <c r="F25" s="3231" t="s">
        <v>3837</v>
      </c>
      <c r="G25" s="3231" t="s">
        <v>3837</v>
      </c>
      <c r="H25" s="3231" t="s">
        <v>3838</v>
      </c>
      <c r="I25" s="3231">
        <v>58643.15</v>
      </c>
      <c r="J25" s="3231">
        <v>59230</v>
      </c>
      <c r="K25" s="3231">
        <v>0</v>
      </c>
      <c r="L25" s="3231">
        <v>0</v>
      </c>
      <c r="M25" s="3231">
        <v>0</v>
      </c>
      <c r="N25" s="3231">
        <v>0</v>
      </c>
      <c r="O25" s="3231" t="s">
        <v>3615</v>
      </c>
      <c r="P25" s="3231" t="s">
        <v>3660</v>
      </c>
      <c r="Q25" s="3231" t="s">
        <v>3660</v>
      </c>
      <c r="R25" s="3231" t="s">
        <v>3732</v>
      </c>
      <c r="S25" s="3231" t="s">
        <v>3839</v>
      </c>
      <c r="T25" s="3231">
        <v>1.01</v>
      </c>
      <c r="U25" s="3231" t="s">
        <v>3592</v>
      </c>
      <c r="V25" s="3231" t="s">
        <v>3734</v>
      </c>
      <c r="W25" s="3231" t="s">
        <v>3840</v>
      </c>
      <c r="X25" s="3231" t="s">
        <v>3598</v>
      </c>
      <c r="Y25" s="3231" t="s">
        <v>3599</v>
      </c>
      <c r="Z25" s="3231" t="s">
        <v>3771</v>
      </c>
      <c r="AA25" s="3231" t="s">
        <v>3601</v>
      </c>
      <c r="AB25" s="3231" t="s">
        <v>3592</v>
      </c>
      <c r="AC25" s="3231" t="s">
        <v>3592</v>
      </c>
      <c r="AD25" s="3234">
        <v>43609.000497685185</v>
      </c>
      <c r="AE25" s="3234">
        <v>43629.000497685185</v>
      </c>
      <c r="AF25" s="3234">
        <v>43643.000497685185</v>
      </c>
      <c r="AG25" s="3234">
        <v>43643.000497685185</v>
      </c>
      <c r="AH25" s="3231" t="s">
        <v>3602</v>
      </c>
      <c r="AI25" s="3231" t="s">
        <v>3651</v>
      </c>
      <c r="AJ25" s="3231" t="s">
        <v>3841</v>
      </c>
      <c r="AK25" s="3231" t="s">
        <v>3842</v>
      </c>
      <c r="AL25" s="3231" t="s">
        <v>3683</v>
      </c>
      <c r="AM25" s="3231" t="s">
        <v>3843</v>
      </c>
      <c r="AN25" s="3231">
        <v>59300</v>
      </c>
      <c r="AO25" s="3231">
        <v>12000</v>
      </c>
      <c r="AP25" s="3234">
        <v>43642.625497685185</v>
      </c>
      <c r="AQ25" s="3231">
        <v>59300</v>
      </c>
      <c r="AR25" s="3231">
        <v>10112</v>
      </c>
      <c r="AS25" s="3231">
        <v>10112</v>
      </c>
      <c r="AT25" s="3231">
        <v>674.13</v>
      </c>
      <c r="AU25" s="3231">
        <v>674.13</v>
      </c>
      <c r="AV25" s="3231">
        <v>10012</v>
      </c>
      <c r="AW25" s="3231">
        <v>10012</v>
      </c>
      <c r="AX25" s="3231" t="s">
        <v>3592</v>
      </c>
      <c r="AY25" s="3231" t="s">
        <v>3592</v>
      </c>
      <c r="AZ25" s="3231">
        <v>0</v>
      </c>
      <c r="BA25" s="3231" t="s">
        <v>3592</v>
      </c>
      <c r="BB25" s="3231" t="s">
        <v>3592</v>
      </c>
      <c r="BC25" s="3231" t="s">
        <v>3592</v>
      </c>
      <c r="BD25" s="3231" t="s">
        <v>3592</v>
      </c>
      <c r="BE25" s="3231" t="s">
        <v>3592</v>
      </c>
      <c r="BF25" s="3231" t="s">
        <v>3592</v>
      </c>
      <c r="BG25" s="3231" t="s">
        <v>3592</v>
      </c>
      <c r="BH25" s="3231" t="s">
        <v>3844</v>
      </c>
      <c r="BI25" s="3231" t="s">
        <v>3845</v>
      </c>
      <c r="BJ25" s="3231" t="s">
        <v>3610</v>
      </c>
      <c r="BK25" s="3231" t="s">
        <v>3611</v>
      </c>
      <c r="BL25" s="3231" t="s">
        <v>3592</v>
      </c>
      <c r="BM25" s="3231" t="s">
        <v>3592</v>
      </c>
    </row>
    <row r="26" spans="1:65" hidden="1">
      <c r="A26" s="3231" t="s">
        <v>3846</v>
      </c>
      <c r="B26" s="3231" t="s">
        <v>3586</v>
      </c>
      <c r="C26" s="3231" t="s">
        <v>3587</v>
      </c>
      <c r="D26" s="3231" t="s">
        <v>3588</v>
      </c>
      <c r="E26" s="3231" t="s">
        <v>3745</v>
      </c>
      <c r="F26" s="3231" t="s">
        <v>3847</v>
      </c>
      <c r="G26" s="3231" t="s">
        <v>3847</v>
      </c>
      <c r="H26" s="3231" t="s">
        <v>3848</v>
      </c>
      <c r="I26" s="3231">
        <v>81565.039999999994</v>
      </c>
      <c r="J26" s="3231">
        <v>166468</v>
      </c>
      <c r="K26" s="3231">
        <v>0</v>
      </c>
      <c r="L26" s="3231">
        <v>0</v>
      </c>
      <c r="M26" s="3231">
        <v>0</v>
      </c>
      <c r="N26" s="3231">
        <v>0</v>
      </c>
      <c r="O26" s="3231" t="s">
        <v>3593</v>
      </c>
      <c r="P26" s="3231" t="s">
        <v>3849</v>
      </c>
      <c r="Q26" s="3231" t="s">
        <v>3792</v>
      </c>
      <c r="R26" s="3231" t="s">
        <v>3732</v>
      </c>
      <c r="S26" s="3231" t="s">
        <v>3850</v>
      </c>
      <c r="T26" s="3231">
        <v>2.0499999999999998</v>
      </c>
      <c r="U26" s="3231">
        <v>21.24</v>
      </c>
      <c r="V26" s="3231" t="s">
        <v>3851</v>
      </c>
      <c r="W26" s="3231" t="s">
        <v>3592</v>
      </c>
      <c r="X26" s="3231" t="s">
        <v>3598</v>
      </c>
      <c r="Y26" s="3231" t="s">
        <v>3599</v>
      </c>
      <c r="Z26" s="3231" t="s">
        <v>3771</v>
      </c>
      <c r="AA26" s="3231" t="s">
        <v>3601</v>
      </c>
      <c r="AB26" s="3231" t="s">
        <v>3592</v>
      </c>
      <c r="AC26" s="3231" t="s">
        <v>3592</v>
      </c>
      <c r="AD26" s="3234">
        <v>43602.000497685185</v>
      </c>
      <c r="AE26" s="3234">
        <v>43622.000497685185</v>
      </c>
      <c r="AF26" s="3234">
        <v>43637.000497685185</v>
      </c>
      <c r="AG26" s="3234">
        <v>43637.000497685185</v>
      </c>
      <c r="AH26" s="3231" t="s">
        <v>3602</v>
      </c>
      <c r="AI26" s="3231" t="s">
        <v>3651</v>
      </c>
      <c r="AJ26" s="3231" t="s">
        <v>3852</v>
      </c>
      <c r="AK26" s="3231" t="s">
        <v>3853</v>
      </c>
      <c r="AL26" s="3231" t="s">
        <v>3606</v>
      </c>
      <c r="AM26" s="3231" t="s">
        <v>3607</v>
      </c>
      <c r="AN26" s="3231">
        <v>363600</v>
      </c>
      <c r="AO26" s="3231">
        <v>73000</v>
      </c>
      <c r="AP26" s="3234">
        <v>43636.625497685185</v>
      </c>
      <c r="AQ26" s="3231">
        <v>363600</v>
      </c>
      <c r="AR26" s="3231">
        <v>44577.919999999998</v>
      </c>
      <c r="AS26" s="3231">
        <v>44577.919999999998</v>
      </c>
      <c r="AT26" s="3231">
        <v>2971.86</v>
      </c>
      <c r="AU26" s="3231">
        <v>2971.86</v>
      </c>
      <c r="AV26" s="3231">
        <v>21842</v>
      </c>
      <c r="AW26" s="3231">
        <v>21842</v>
      </c>
      <c r="AX26" s="3231" t="s">
        <v>3592</v>
      </c>
      <c r="AY26" s="3231" t="s">
        <v>3592</v>
      </c>
      <c r="AZ26" s="3231">
        <v>0</v>
      </c>
      <c r="BA26" s="3231" t="s">
        <v>3592</v>
      </c>
      <c r="BB26" s="3231" t="s">
        <v>3592</v>
      </c>
      <c r="BC26" s="3231" t="s">
        <v>3592</v>
      </c>
      <c r="BD26" s="3231" t="s">
        <v>3592</v>
      </c>
      <c r="BE26" s="3231" t="s">
        <v>3592</v>
      </c>
      <c r="BF26" s="3231" t="s">
        <v>3592</v>
      </c>
      <c r="BG26" s="3231" t="s">
        <v>3592</v>
      </c>
      <c r="BH26" s="3231" t="s">
        <v>3703</v>
      </c>
      <c r="BI26" s="3231" t="s">
        <v>3854</v>
      </c>
      <c r="BJ26" s="3231" t="s">
        <v>3610</v>
      </c>
      <c r="BK26" s="3231" t="s">
        <v>3611</v>
      </c>
      <c r="BL26" s="3231" t="s">
        <v>3592</v>
      </c>
      <c r="BM26" s="3231" t="s">
        <v>3592</v>
      </c>
    </row>
    <row r="27" spans="1:65" hidden="1">
      <c r="A27" s="3231" t="s">
        <v>3855</v>
      </c>
      <c r="B27" s="3231" t="s">
        <v>3586</v>
      </c>
      <c r="C27" s="3231" t="s">
        <v>3587</v>
      </c>
      <c r="D27" s="3231" t="s">
        <v>3646</v>
      </c>
      <c r="E27" s="3231" t="s">
        <v>3836</v>
      </c>
      <c r="F27" s="3231" t="s">
        <v>3856</v>
      </c>
      <c r="G27" s="3231" t="s">
        <v>3856</v>
      </c>
      <c r="H27" s="3231" t="s">
        <v>3838</v>
      </c>
      <c r="I27" s="3231">
        <v>133408.20000000001</v>
      </c>
      <c r="J27" s="3231">
        <v>133671</v>
      </c>
      <c r="K27" s="3231">
        <v>0</v>
      </c>
      <c r="L27" s="3231">
        <v>0</v>
      </c>
      <c r="M27" s="3231">
        <v>0</v>
      </c>
      <c r="N27" s="3231">
        <v>0</v>
      </c>
      <c r="O27" s="3231" t="s">
        <v>3593</v>
      </c>
      <c r="P27" s="3231" t="s">
        <v>3857</v>
      </c>
      <c r="Q27" s="3231" t="s">
        <v>3858</v>
      </c>
      <c r="R27" s="3231" t="s">
        <v>3732</v>
      </c>
      <c r="S27" s="3231" t="s">
        <v>3859</v>
      </c>
      <c r="T27" s="3231">
        <v>0</v>
      </c>
      <c r="U27" s="3231">
        <v>7.42</v>
      </c>
      <c r="V27" s="3231" t="s">
        <v>3860</v>
      </c>
      <c r="W27" s="3231" t="s">
        <v>3861</v>
      </c>
      <c r="X27" s="3231" t="s">
        <v>3598</v>
      </c>
      <c r="Y27" s="3231" t="s">
        <v>3599</v>
      </c>
      <c r="Z27" s="3231" t="s">
        <v>3771</v>
      </c>
      <c r="AA27" s="3231" t="s">
        <v>3601</v>
      </c>
      <c r="AB27" s="3231" t="s">
        <v>3592</v>
      </c>
      <c r="AC27" s="3231" t="s">
        <v>3592</v>
      </c>
      <c r="AD27" s="3234">
        <v>43489.000497685185</v>
      </c>
      <c r="AE27" s="3234">
        <v>43509.000497685185</v>
      </c>
      <c r="AF27" s="3234">
        <v>43523.000497685185</v>
      </c>
      <c r="AG27" s="3234">
        <v>43523.000497685185</v>
      </c>
      <c r="AH27" s="3231" t="s">
        <v>3602</v>
      </c>
      <c r="AI27" s="3231" t="s">
        <v>3651</v>
      </c>
      <c r="AJ27" s="3231" t="s">
        <v>3862</v>
      </c>
      <c r="AK27" s="3231" t="s">
        <v>3863</v>
      </c>
      <c r="AL27" s="3231" t="s">
        <v>3864</v>
      </c>
      <c r="AM27" s="3231" t="s">
        <v>3865</v>
      </c>
      <c r="AN27" s="3231">
        <v>119000</v>
      </c>
      <c r="AO27" s="3231">
        <v>23800</v>
      </c>
      <c r="AP27" s="3234">
        <v>43522.625497685185</v>
      </c>
      <c r="AQ27" s="3231">
        <v>119000</v>
      </c>
      <c r="AR27" s="3231">
        <v>8919.99</v>
      </c>
      <c r="AS27" s="3231">
        <v>8919.99</v>
      </c>
      <c r="AT27" s="3231">
        <v>594.66999999999996</v>
      </c>
      <c r="AU27" s="3231">
        <v>594.66999999999996</v>
      </c>
      <c r="AV27" s="3231">
        <v>8902</v>
      </c>
      <c r="AW27" s="3231">
        <v>8902</v>
      </c>
      <c r="AX27" s="3231" t="s">
        <v>3592</v>
      </c>
      <c r="AY27" s="3231" t="s">
        <v>3592</v>
      </c>
      <c r="AZ27" s="3231">
        <v>0</v>
      </c>
      <c r="BA27" s="3231" t="s">
        <v>3592</v>
      </c>
      <c r="BB27" s="3231" t="s">
        <v>3592</v>
      </c>
      <c r="BC27" s="3231" t="s">
        <v>3592</v>
      </c>
      <c r="BD27" s="3231" t="s">
        <v>3592</v>
      </c>
      <c r="BE27" s="3231" t="s">
        <v>3592</v>
      </c>
      <c r="BF27" s="3231" t="s">
        <v>3592</v>
      </c>
      <c r="BG27" s="3231" t="s">
        <v>3592</v>
      </c>
      <c r="BH27" s="3231" t="s">
        <v>3844</v>
      </c>
      <c r="BI27" s="3231" t="s">
        <v>3866</v>
      </c>
      <c r="BJ27" s="3231" t="s">
        <v>3610</v>
      </c>
      <c r="BK27" s="3231" t="s">
        <v>3611</v>
      </c>
      <c r="BL27" s="3231" t="s">
        <v>3592</v>
      </c>
      <c r="BM27" s="3231" t="s">
        <v>3592</v>
      </c>
    </row>
    <row r="28" spans="1:65" hidden="1">
      <c r="A28" s="3231" t="s">
        <v>3867</v>
      </c>
      <c r="B28" s="3231" t="s">
        <v>3586</v>
      </c>
      <c r="C28" s="3231" t="s">
        <v>3587</v>
      </c>
      <c r="D28" s="3231" t="s">
        <v>3627</v>
      </c>
      <c r="E28" s="3231" t="s">
        <v>3868</v>
      </c>
      <c r="F28" s="3231" t="s">
        <v>3869</v>
      </c>
      <c r="G28" s="3231" t="s">
        <v>3869</v>
      </c>
      <c r="H28" s="3231" t="s">
        <v>3870</v>
      </c>
      <c r="I28" s="3231">
        <v>130729</v>
      </c>
      <c r="J28" s="3231">
        <v>152953</v>
      </c>
      <c r="K28" s="3231">
        <v>0</v>
      </c>
      <c r="L28" s="3231">
        <v>0</v>
      </c>
      <c r="M28" s="3231">
        <v>0</v>
      </c>
      <c r="N28" s="3231">
        <v>0</v>
      </c>
      <c r="O28" s="3231" t="s">
        <v>3615</v>
      </c>
      <c r="P28" s="3231" t="s">
        <v>3660</v>
      </c>
      <c r="Q28" s="3231" t="s">
        <v>3660</v>
      </c>
      <c r="R28" s="3231" t="s">
        <v>3618</v>
      </c>
      <c r="S28" s="3231">
        <v>1.17</v>
      </c>
      <c r="T28" s="3231">
        <v>1.17</v>
      </c>
      <c r="U28" s="3231" t="s">
        <v>3592</v>
      </c>
      <c r="V28" s="3231" t="s">
        <v>3734</v>
      </c>
      <c r="W28" s="3231" t="s">
        <v>3760</v>
      </c>
      <c r="X28" s="3231" t="s">
        <v>3598</v>
      </c>
      <c r="Y28" s="3231" t="s">
        <v>3599</v>
      </c>
      <c r="Z28" s="3231" t="s">
        <v>3771</v>
      </c>
      <c r="AA28" s="3231" t="s">
        <v>3601</v>
      </c>
      <c r="AB28" s="3231" t="s">
        <v>3592</v>
      </c>
      <c r="AC28" s="3231" t="s">
        <v>3592</v>
      </c>
      <c r="AD28" s="3234">
        <v>43463.000497685185</v>
      </c>
      <c r="AE28" s="3234">
        <v>43483.000497685185</v>
      </c>
      <c r="AF28" s="3234">
        <v>43497.000497685185</v>
      </c>
      <c r="AG28" s="3234">
        <v>43497.000497685185</v>
      </c>
      <c r="AH28" s="3231" t="s">
        <v>3602</v>
      </c>
      <c r="AI28" s="3231" t="s">
        <v>3693</v>
      </c>
      <c r="AJ28" s="3231" t="s">
        <v>3871</v>
      </c>
      <c r="AK28" s="3231" t="s">
        <v>3872</v>
      </c>
      <c r="AL28" s="3231" t="s">
        <v>3654</v>
      </c>
      <c r="AM28" s="3231" t="s">
        <v>3592</v>
      </c>
      <c r="AN28" s="3231">
        <v>168000</v>
      </c>
      <c r="AO28" s="3231">
        <v>33600</v>
      </c>
      <c r="AP28" s="3234">
        <v>43497.625497685185</v>
      </c>
      <c r="AQ28" s="3231">
        <v>189000</v>
      </c>
      <c r="AR28" s="3231">
        <v>12851.01</v>
      </c>
      <c r="AS28" s="3231">
        <v>14457.38</v>
      </c>
      <c r="AT28" s="3231">
        <v>856.73</v>
      </c>
      <c r="AU28" s="3231">
        <v>963.83</v>
      </c>
      <c r="AV28" s="3231">
        <v>10984</v>
      </c>
      <c r="AW28" s="3231">
        <v>12357</v>
      </c>
      <c r="AX28" s="3231" t="s">
        <v>3592</v>
      </c>
      <c r="AY28" s="3231" t="s">
        <v>3592</v>
      </c>
      <c r="AZ28" s="3231">
        <v>12.5</v>
      </c>
      <c r="BA28" s="3231" t="s">
        <v>3592</v>
      </c>
      <c r="BB28" s="3231" t="s">
        <v>3592</v>
      </c>
      <c r="BC28" s="3231" t="s">
        <v>3592</v>
      </c>
      <c r="BD28" s="3231" t="s">
        <v>3592</v>
      </c>
      <c r="BE28" s="3231" t="s">
        <v>3592</v>
      </c>
      <c r="BF28" s="3231" t="s">
        <v>3592</v>
      </c>
      <c r="BG28" s="3231" t="s">
        <v>3592</v>
      </c>
      <c r="BH28" s="3231" t="s">
        <v>3622</v>
      </c>
      <c r="BI28" s="3231" t="s">
        <v>3873</v>
      </c>
      <c r="BJ28" s="3231" t="s">
        <v>3610</v>
      </c>
      <c r="BK28" s="3231" t="s">
        <v>3611</v>
      </c>
      <c r="BL28" s="3231" t="s">
        <v>3592</v>
      </c>
      <c r="BM28" s="3231" t="s">
        <v>3592</v>
      </c>
    </row>
    <row r="29" spans="1:65" hidden="1">
      <c r="A29" s="3231" t="s">
        <v>3874</v>
      </c>
      <c r="B29" s="3231" t="s">
        <v>3586</v>
      </c>
      <c r="C29" s="3231" t="s">
        <v>3587</v>
      </c>
      <c r="D29" s="3231" t="s">
        <v>3588</v>
      </c>
      <c r="E29" s="3231" t="s">
        <v>3589</v>
      </c>
      <c r="F29" s="3231" t="s">
        <v>3875</v>
      </c>
      <c r="G29" s="3231" t="s">
        <v>3875</v>
      </c>
      <c r="H29" s="3231" t="s">
        <v>3785</v>
      </c>
      <c r="I29" s="3231">
        <v>36338.199999999997</v>
      </c>
      <c r="J29" s="3231">
        <v>67633</v>
      </c>
      <c r="K29" s="3231">
        <v>0</v>
      </c>
      <c r="L29" s="3231">
        <v>0</v>
      </c>
      <c r="M29" s="3231">
        <v>64271</v>
      </c>
      <c r="N29" s="3231">
        <v>64271</v>
      </c>
      <c r="O29" s="3231" t="s">
        <v>3593</v>
      </c>
      <c r="P29" s="3231" t="s">
        <v>3791</v>
      </c>
      <c r="Q29" s="3231" t="s">
        <v>3792</v>
      </c>
      <c r="R29" s="3231" t="s">
        <v>3732</v>
      </c>
      <c r="S29" s="3231">
        <v>1.86</v>
      </c>
      <c r="T29" s="3231">
        <v>1.86</v>
      </c>
      <c r="U29" s="3231" t="s">
        <v>3592</v>
      </c>
      <c r="V29" s="3231" t="s">
        <v>3734</v>
      </c>
      <c r="W29" s="3231" t="s">
        <v>3876</v>
      </c>
      <c r="X29" s="3231" t="s">
        <v>3598</v>
      </c>
      <c r="Y29" s="3231" t="s">
        <v>3599</v>
      </c>
      <c r="Z29" s="3231" t="s">
        <v>3723</v>
      </c>
      <c r="AA29" s="3231" t="s">
        <v>3723</v>
      </c>
      <c r="AB29" s="3231" t="s">
        <v>3724</v>
      </c>
      <c r="AC29" s="3231" t="s">
        <v>3832</v>
      </c>
      <c r="AD29" s="3234">
        <v>43459.000497685185</v>
      </c>
      <c r="AE29" s="3234">
        <v>43479.000497685185</v>
      </c>
      <c r="AF29" s="3234">
        <v>43493.000497685185</v>
      </c>
      <c r="AG29" s="3234">
        <v>43493.000497685185</v>
      </c>
      <c r="AH29" s="3231" t="s">
        <v>3602</v>
      </c>
      <c r="AI29" s="3231" t="s">
        <v>3651</v>
      </c>
      <c r="AJ29" s="3231" t="s">
        <v>3694</v>
      </c>
      <c r="AK29" s="3231" t="s">
        <v>3605</v>
      </c>
      <c r="AL29" s="3231" t="s">
        <v>3606</v>
      </c>
      <c r="AM29" s="3231" t="s">
        <v>3607</v>
      </c>
      <c r="AN29" s="3231">
        <v>79200</v>
      </c>
      <c r="AO29" s="3231">
        <v>16000</v>
      </c>
      <c r="AP29" s="3234">
        <v>43490.625497685185</v>
      </c>
      <c r="AQ29" s="3231">
        <v>79200</v>
      </c>
      <c r="AR29" s="3231">
        <v>21795.24</v>
      </c>
      <c r="AS29" s="3231">
        <v>21795.24</v>
      </c>
      <c r="AT29" s="3231">
        <v>1453.02</v>
      </c>
      <c r="AU29" s="3231">
        <v>1453.02</v>
      </c>
      <c r="AV29" s="3231">
        <v>11710</v>
      </c>
      <c r="AW29" s="3231">
        <v>11710</v>
      </c>
      <c r="AX29" s="3231" t="s">
        <v>3592</v>
      </c>
      <c r="AY29" s="3231" t="s">
        <v>3592</v>
      </c>
      <c r="AZ29" s="3231">
        <v>0</v>
      </c>
      <c r="BA29" s="3231" t="s">
        <v>3592</v>
      </c>
      <c r="BB29" s="3231" t="s">
        <v>3592</v>
      </c>
      <c r="BC29" s="3231" t="s">
        <v>3592</v>
      </c>
      <c r="BD29" s="3231">
        <v>25600</v>
      </c>
      <c r="BE29" s="3231" t="s">
        <v>3592</v>
      </c>
      <c r="BF29" s="3231" t="s">
        <v>3592</v>
      </c>
      <c r="BG29" s="3231">
        <v>13278</v>
      </c>
      <c r="BH29" s="3231" t="s">
        <v>3609</v>
      </c>
      <c r="BI29" s="3231" t="s">
        <v>3623</v>
      </c>
      <c r="BJ29" s="3231" t="s">
        <v>3610</v>
      </c>
      <c r="BK29" s="3231" t="s">
        <v>3611</v>
      </c>
      <c r="BL29" s="3231" t="s">
        <v>3592</v>
      </c>
      <c r="BM29" s="3231" t="s">
        <v>3592</v>
      </c>
    </row>
    <row r="30" spans="1:65" hidden="1">
      <c r="A30" s="3231" t="s">
        <v>3877</v>
      </c>
      <c r="B30" s="3231" t="s">
        <v>3586</v>
      </c>
      <c r="C30" s="3231" t="s">
        <v>3587</v>
      </c>
      <c r="D30" s="3231" t="s">
        <v>3627</v>
      </c>
      <c r="E30" s="3231" t="s">
        <v>3878</v>
      </c>
      <c r="F30" s="3231" t="s">
        <v>3879</v>
      </c>
      <c r="G30" s="3231" t="s">
        <v>3879</v>
      </c>
      <c r="H30" s="3231" t="s">
        <v>3880</v>
      </c>
      <c r="I30" s="3231">
        <v>33062.870000000003</v>
      </c>
      <c r="J30" s="3231">
        <v>61047</v>
      </c>
      <c r="K30" s="3231">
        <v>0</v>
      </c>
      <c r="L30" s="3231">
        <v>0</v>
      </c>
      <c r="M30" s="3231">
        <v>57661</v>
      </c>
      <c r="N30" s="3231">
        <v>57661</v>
      </c>
      <c r="O30" s="3231" t="s">
        <v>3593</v>
      </c>
      <c r="P30" s="3231" t="s">
        <v>3791</v>
      </c>
      <c r="Q30" s="3231" t="s">
        <v>3792</v>
      </c>
      <c r="R30" s="3231" t="s">
        <v>3732</v>
      </c>
      <c r="S30" s="3231">
        <v>1.85</v>
      </c>
      <c r="T30" s="3231">
        <v>1.85</v>
      </c>
      <c r="U30" s="3231" t="s">
        <v>3592</v>
      </c>
      <c r="V30" s="3231" t="s">
        <v>3734</v>
      </c>
      <c r="W30" s="3231" t="s">
        <v>3881</v>
      </c>
      <c r="X30" s="3231" t="s">
        <v>3598</v>
      </c>
      <c r="Y30" s="3231" t="s">
        <v>3599</v>
      </c>
      <c r="Z30" s="3231" t="s">
        <v>3723</v>
      </c>
      <c r="AA30" s="3231" t="s">
        <v>3723</v>
      </c>
      <c r="AB30" s="3231" t="s">
        <v>3724</v>
      </c>
      <c r="AC30" s="3231" t="s">
        <v>3832</v>
      </c>
      <c r="AD30" s="3234">
        <v>43448.000497685185</v>
      </c>
      <c r="AE30" s="3234">
        <v>43468.000497685185</v>
      </c>
      <c r="AF30" s="3234">
        <v>43482.000497685185</v>
      </c>
      <c r="AG30" s="3234">
        <v>43482.000497685185</v>
      </c>
      <c r="AH30" s="3231" t="s">
        <v>3602</v>
      </c>
      <c r="AI30" s="3231" t="s">
        <v>3693</v>
      </c>
      <c r="AJ30" s="3231" t="s">
        <v>3882</v>
      </c>
      <c r="AK30" s="3231" t="s">
        <v>3883</v>
      </c>
      <c r="AL30" s="3231" t="s">
        <v>3654</v>
      </c>
      <c r="AM30" s="3231" t="s">
        <v>3592</v>
      </c>
      <c r="AN30" s="3231">
        <v>32510</v>
      </c>
      <c r="AO30" s="3231">
        <v>6600</v>
      </c>
      <c r="AP30" s="3234">
        <v>43481.625497685185</v>
      </c>
      <c r="AQ30" s="3231">
        <v>40800</v>
      </c>
      <c r="AR30" s="3231">
        <v>9832.7800000000007</v>
      </c>
      <c r="AS30" s="3231">
        <v>12340.12</v>
      </c>
      <c r="AT30" s="3231">
        <v>655.52</v>
      </c>
      <c r="AU30" s="3231">
        <v>822.68</v>
      </c>
      <c r="AV30" s="3231">
        <v>5325</v>
      </c>
      <c r="AW30" s="3231">
        <v>6683</v>
      </c>
      <c r="AX30" s="3231" t="s">
        <v>3592</v>
      </c>
      <c r="AY30" s="3231" t="s">
        <v>3592</v>
      </c>
      <c r="AZ30" s="3231">
        <v>25.5</v>
      </c>
      <c r="BA30" s="3231" t="s">
        <v>3592</v>
      </c>
      <c r="BB30" s="3231" t="s">
        <v>3592</v>
      </c>
      <c r="BC30" s="3231" t="s">
        <v>3592</v>
      </c>
      <c r="BD30" s="3231">
        <v>18000</v>
      </c>
      <c r="BE30" s="3231" t="s">
        <v>3592</v>
      </c>
      <c r="BF30" s="3231" t="s">
        <v>3592</v>
      </c>
      <c r="BG30" s="3231">
        <v>10925</v>
      </c>
      <c r="BH30" s="3231" t="s">
        <v>3609</v>
      </c>
      <c r="BI30" s="3231" t="s">
        <v>3623</v>
      </c>
      <c r="BJ30" s="3231" t="s">
        <v>3610</v>
      </c>
      <c r="BK30" s="3231" t="s">
        <v>3611</v>
      </c>
      <c r="BL30" s="3231" t="s">
        <v>3592</v>
      </c>
      <c r="BM30" s="3231" t="s">
        <v>3592</v>
      </c>
    </row>
    <row r="31" spans="1:65" hidden="1">
      <c r="A31" s="3231" t="s">
        <v>3884</v>
      </c>
      <c r="B31" s="3231" t="s">
        <v>3586</v>
      </c>
      <c r="C31" s="3231" t="s">
        <v>3587</v>
      </c>
      <c r="D31" s="3231" t="s">
        <v>3588</v>
      </c>
      <c r="E31" s="3231" t="s">
        <v>3885</v>
      </c>
      <c r="F31" s="3231" t="s">
        <v>3886</v>
      </c>
      <c r="G31" s="3231" t="s">
        <v>3886</v>
      </c>
      <c r="H31" s="3231" t="s">
        <v>3887</v>
      </c>
      <c r="I31" s="3231">
        <v>115895.2</v>
      </c>
      <c r="J31" s="3231">
        <v>176111</v>
      </c>
      <c r="K31" s="3231">
        <v>0</v>
      </c>
      <c r="L31" s="3231">
        <v>0</v>
      </c>
      <c r="M31" s="3231">
        <v>0</v>
      </c>
      <c r="N31" s="3231">
        <v>0</v>
      </c>
      <c r="O31" s="3231" t="s">
        <v>3593</v>
      </c>
      <c r="P31" s="3231" t="s">
        <v>3888</v>
      </c>
      <c r="Q31" s="3231" t="s">
        <v>3889</v>
      </c>
      <c r="R31" s="3231" t="s">
        <v>3732</v>
      </c>
      <c r="S31" s="3231">
        <v>1.52</v>
      </c>
      <c r="T31" s="3231">
        <v>1.52</v>
      </c>
      <c r="U31" s="3231">
        <v>30.39</v>
      </c>
      <c r="V31" s="3231" t="s">
        <v>3592</v>
      </c>
      <c r="W31" s="3231" t="s">
        <v>3592</v>
      </c>
      <c r="X31" s="3231" t="s">
        <v>3598</v>
      </c>
      <c r="Y31" s="3231" t="s">
        <v>3599</v>
      </c>
      <c r="Z31" s="3231" t="s">
        <v>3890</v>
      </c>
      <c r="AA31" s="3231" t="s">
        <v>3891</v>
      </c>
      <c r="AB31" s="3231" t="s">
        <v>3592</v>
      </c>
      <c r="AC31" s="3231" t="s">
        <v>3592</v>
      </c>
      <c r="AD31" s="3234">
        <v>43423.000497685185</v>
      </c>
      <c r="AE31" s="3234">
        <v>43444.000497685185</v>
      </c>
      <c r="AF31" s="3234">
        <v>43458.000497685185</v>
      </c>
      <c r="AG31" s="3234">
        <v>43458.000497685185</v>
      </c>
      <c r="AH31" s="3231" t="s">
        <v>3602</v>
      </c>
      <c r="AI31" s="3231" t="s">
        <v>3651</v>
      </c>
      <c r="AJ31" s="3231" t="s">
        <v>3892</v>
      </c>
      <c r="AK31" s="3231" t="s">
        <v>3893</v>
      </c>
      <c r="AL31" s="3231" t="s">
        <v>3683</v>
      </c>
      <c r="AM31" s="3231" t="s">
        <v>3894</v>
      </c>
      <c r="AN31" s="3231">
        <v>255500</v>
      </c>
      <c r="AO31" s="3231">
        <v>51100</v>
      </c>
      <c r="AP31" s="3234">
        <v>43455.625497685185</v>
      </c>
      <c r="AQ31" s="3231">
        <v>255500</v>
      </c>
      <c r="AR31" s="3231">
        <v>22045.78</v>
      </c>
      <c r="AS31" s="3231">
        <v>22045.78</v>
      </c>
      <c r="AT31" s="3231">
        <v>1469.72</v>
      </c>
      <c r="AU31" s="3231">
        <v>1469.72</v>
      </c>
      <c r="AV31" s="3231">
        <v>14508</v>
      </c>
      <c r="AW31" s="3231">
        <v>14508</v>
      </c>
      <c r="AX31" s="3231" t="s">
        <v>3592</v>
      </c>
      <c r="AY31" s="3231" t="s">
        <v>3592</v>
      </c>
      <c r="AZ31" s="3231">
        <v>0</v>
      </c>
      <c r="BA31" s="3231" t="s">
        <v>3592</v>
      </c>
      <c r="BB31" s="3231" t="s">
        <v>3592</v>
      </c>
      <c r="BC31" s="3231" t="s">
        <v>3592</v>
      </c>
      <c r="BD31" s="3231">
        <v>34058</v>
      </c>
      <c r="BE31" s="3231" t="s">
        <v>3592</v>
      </c>
      <c r="BF31" s="3231" t="s">
        <v>3592</v>
      </c>
      <c r="BG31" s="3231">
        <v>19101</v>
      </c>
      <c r="BH31" s="3231" t="s">
        <v>3609</v>
      </c>
      <c r="BI31" s="3231" t="s">
        <v>3895</v>
      </c>
      <c r="BJ31" s="3231" t="s">
        <v>3610</v>
      </c>
      <c r="BK31" s="3231" t="s">
        <v>3611</v>
      </c>
      <c r="BL31" s="3231" t="s">
        <v>3592</v>
      </c>
      <c r="BM31" s="3231" t="s">
        <v>3592</v>
      </c>
    </row>
    <row r="33" spans="1:21">
      <c r="U33" s="3231">
        <f>J9*7.52%</f>
        <v>5758.9235359999984</v>
      </c>
    </row>
    <row r="36" spans="1:21" ht="13.5">
      <c r="A36" s="3222" t="s">
        <v>3941</v>
      </c>
    </row>
  </sheetData>
  <phoneticPr fontId="134" type="noConversion"/>
  <hyperlinks>
    <hyperlink ref="A36"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6" sqref="C6"/>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09"/>
      <c r="D1" s="1108"/>
      <c r="E1" s="2567"/>
      <c r="F1" s="2567"/>
      <c r="G1" s="2448"/>
      <c r="H1" s="2567"/>
      <c r="I1" s="2567"/>
      <c r="J1" s="2567"/>
      <c r="K1" s="2568">
        <f>MATCH(C1,'数据-取费表'!A6:A16,0)+5</f>
        <v>9</v>
      </c>
    </row>
    <row r="2" spans="1:33" ht="18" customHeight="1">
      <c r="A2" s="193" t="s">
        <v>1460</v>
      </c>
      <c r="B2" s="196">
        <f ca="1">C32</f>
        <v>48130</v>
      </c>
      <c r="C2" s="268" t="s">
        <v>1593</v>
      </c>
      <c r="D2" s="268"/>
      <c r="E2" s="2567"/>
      <c r="F2" s="2567"/>
      <c r="G2" s="2567"/>
      <c r="H2" s="2567"/>
      <c r="I2" s="2567"/>
      <c r="J2" s="2567"/>
      <c r="K2" s="2567"/>
    </row>
    <row r="3" spans="1:33" ht="18" customHeight="1" thickBot="1">
      <c r="A3" s="195" t="s">
        <v>1462</v>
      </c>
      <c r="B3" s="196">
        <f ca="1">ROUND(B2*10000/IF(C1="",'数据-汇总表'!E3,INDIRECT("'数据-取费表'!K"&amp;$K$1)),0)</f>
        <v>13250</v>
      </c>
      <c r="C3" s="268" t="s">
        <v>1594</v>
      </c>
      <c r="D3" s="268"/>
      <c r="E3" s="2567"/>
      <c r="F3" s="2567"/>
      <c r="G3" s="2567"/>
      <c r="H3" s="2567"/>
      <c r="I3" s="2567"/>
      <c r="J3" s="2567"/>
      <c r="K3" s="2567"/>
    </row>
    <row r="4" spans="1:33" s="739" customFormat="1" ht="16.5" customHeight="1">
      <c r="A4" s="736" t="s">
        <v>1595</v>
      </c>
      <c r="B4" s="737"/>
      <c r="C4" s="775">
        <f>SUM(C8:K8)</f>
        <v>73881</v>
      </c>
      <c r="D4" s="737"/>
      <c r="E4" s="737"/>
      <c r="F4" s="737"/>
      <c r="G4" s="737"/>
      <c r="H4" s="737"/>
      <c r="I4" s="737"/>
      <c r="J4" s="737"/>
      <c r="K4" s="738"/>
      <c r="L4" s="3251" t="s">
        <v>3973</v>
      </c>
    </row>
    <row r="5" spans="1:33" s="743" customFormat="1" ht="15">
      <c r="A5" s="740" t="s">
        <v>1596</v>
      </c>
      <c r="B5" s="741" t="s">
        <v>1597</v>
      </c>
      <c r="C5" s="1717" t="s">
        <v>3511</v>
      </c>
      <c r="D5" s="1717" t="s">
        <v>3513</v>
      </c>
      <c r="E5" s="1717" t="s">
        <v>3515</v>
      </c>
      <c r="F5" s="1717"/>
      <c r="G5" s="1717"/>
      <c r="H5" s="1717"/>
      <c r="I5" s="1717"/>
      <c r="J5" s="1717"/>
      <c r="K5" s="1717"/>
      <c r="L5" s="3249" t="s">
        <v>3943</v>
      </c>
      <c r="M5" s="3249" t="s">
        <v>3971</v>
      </c>
      <c r="N5" s="3249" t="s">
        <v>3972</v>
      </c>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v>28000</v>
      </c>
      <c r="D6" s="745">
        <v>5500</v>
      </c>
      <c r="E6" s="745">
        <v>6000</v>
      </c>
      <c r="F6" s="745"/>
      <c r="G6" s="745"/>
      <c r="H6" s="745"/>
      <c r="I6" s="745"/>
      <c r="J6" s="745"/>
      <c r="K6" s="746"/>
      <c r="L6" s="3250">
        <v>27632</v>
      </c>
      <c r="M6" s="3250">
        <v>5671</v>
      </c>
      <c r="N6" s="3250">
        <v>6185</v>
      </c>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23729.450000000004</v>
      </c>
      <c r="D7" s="269">
        <f>SUMIF('数据-汇总表'!$C19:$C33,假设开发法!D5,'数据-汇总表'!$E19:$E33)</f>
        <v>2354.37</v>
      </c>
      <c r="E7" s="269">
        <f>SUMIF('数据-汇总表'!$C19:$C33,假设开发法!E5,'数据-汇总表'!$E19:$E33)</f>
        <v>10240.049999999999</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1601</v>
      </c>
      <c r="B8" s="156" t="s">
        <v>1602</v>
      </c>
      <c r="C8" s="776">
        <f>ROUND(C6*C7/10000,0)</f>
        <v>66442</v>
      </c>
      <c r="D8" s="776">
        <f t="shared" ref="D8:E8" si="0">ROUND(D6*D7/10000,0)</f>
        <v>1295</v>
      </c>
      <c r="E8" s="776">
        <f t="shared" si="0"/>
        <v>6144</v>
      </c>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9979</v>
      </c>
      <c r="D11" s="754"/>
      <c r="E11" s="138"/>
      <c r="F11" s="764">
        <f ca="1">1-IF('数据-取费表'!B24=0,1,IF(C1="",'数据-取费表'!N16,INDIRECT("'数据-取费表'!n"&amp;$K$1)))</f>
        <v>0.47299999999999998</v>
      </c>
      <c r="G11" s="5"/>
      <c r="H11" s="749"/>
      <c r="I11" s="749"/>
      <c r="J11" s="749"/>
      <c r="K11" s="750"/>
    </row>
    <row r="12" spans="1:33" s="755" customFormat="1" ht="13.5" customHeight="1">
      <c r="A12" s="752" t="s">
        <v>636</v>
      </c>
      <c r="B12" s="753" t="s">
        <v>1611</v>
      </c>
      <c r="C12" s="21">
        <f ca="1">ROUND(C11*F12,0)</f>
        <v>499</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617</v>
      </c>
      <c r="D13" s="796"/>
      <c r="E13" s="138"/>
      <c r="F13" s="764">
        <f>'数据-取费表'!B34</f>
        <v>0.08</v>
      </c>
      <c r="G13" s="5" t="s">
        <v>1614</v>
      </c>
      <c r="H13" s="749"/>
      <c r="I13" s="749"/>
      <c r="J13" s="749"/>
      <c r="K13" s="750"/>
    </row>
    <row r="14" spans="1:33" s="757" customFormat="1" ht="13.5" customHeight="1">
      <c r="A14" s="752" t="s">
        <v>638</v>
      </c>
      <c r="B14" s="753" t="s">
        <v>1615</v>
      </c>
      <c r="C14" s="21">
        <f ca="1">ROUND(D14*E14*F11/10000,0)</f>
        <v>344</v>
      </c>
      <c r="D14" s="796">
        <f ca="1">IF(C1="",'数据-汇总表'!E3,INDIRECT("'数据-取费表'!K"&amp;$K$1)+INDIRECT("'数据-取费表'!S"&amp;$K$1))</f>
        <v>36323.870000000003</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150</v>
      </c>
      <c r="D15" s="758"/>
      <c r="E15" s="763"/>
      <c r="F15" s="764">
        <f>'数据-取费表'!B36</f>
        <v>1.4999999999999999E-2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11589</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254</v>
      </c>
      <c r="D17" s="796">
        <f ca="1">D14</f>
        <v>36323.870000000003</v>
      </c>
      <c r="E17" s="21">
        <f>'数据-取费表'!B32</f>
        <v>70</v>
      </c>
      <c r="F17" s="758"/>
      <c r="G17" s="123" t="s">
        <v>1621</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426</v>
      </c>
      <c r="D18" s="796"/>
      <c r="E18" s="21"/>
      <c r="F18" s="756"/>
      <c r="G18" s="1719"/>
      <c r="H18" s="1105"/>
      <c r="I18" s="1720" t="s">
        <v>1623</v>
      </c>
      <c r="J18" s="759"/>
      <c r="K18" s="760"/>
    </row>
    <row r="19" spans="1:33" s="755" customFormat="1" ht="13.5" customHeight="1">
      <c r="A19" s="752" t="s">
        <v>360</v>
      </c>
      <c r="B19" s="753" t="s">
        <v>1624</v>
      </c>
      <c r="C19" s="21">
        <f ca="1">ROUND(D19*E19/10000,0)</f>
        <v>237</v>
      </c>
      <c r="D19" s="796">
        <f ca="1">IF(C1="",'数据-汇总表'!E5,IF(INDIRECT("'数据-取费表'!c"&amp;$K$1)="住宅",INDIRECT("'数据-取费表'!k"&amp;$K$1),0))</f>
        <v>23729.450000000004</v>
      </c>
      <c r="E19" s="21">
        <f>'数据-取费表'!B27</f>
        <v>100</v>
      </c>
      <c r="F19" s="756"/>
      <c r="G19" s="12"/>
      <c r="H19" s="1107"/>
      <c r="I19" s="761"/>
      <c r="J19" s="761"/>
      <c r="K19" s="762"/>
    </row>
    <row r="20" spans="1:33" s="755" customFormat="1" ht="13.5" customHeight="1">
      <c r="A20" s="752" t="s">
        <v>361</v>
      </c>
      <c r="B20" s="753" t="s">
        <v>1625</v>
      </c>
      <c r="C20" s="21">
        <f ca="1">ROUND(D20*E20/10000,0)</f>
        <v>189</v>
      </c>
      <c r="D20" s="796">
        <f ca="1">IF(C1="",'数据-汇总表'!E6,IF(INDIRECT("'数据-取费表'!c"&amp;$K$1)="住宅",INDIRECT("'数据-取费表'!s"&amp;$K$1),INDIRECT("'数据-取费表'!k"&amp;$K$1)+INDIRECT("'数据-取费表'!s"&amp;$K$1)))</f>
        <v>12594.419999999998</v>
      </c>
      <c r="E20" s="21">
        <f>'数据-取费表'!B28</f>
        <v>150</v>
      </c>
      <c r="F20" s="756"/>
      <c r="G20" s="12"/>
      <c r="H20" s="761"/>
      <c r="I20" s="761"/>
      <c r="J20" s="761"/>
      <c r="K20" s="762"/>
    </row>
    <row r="21" spans="1:33" s="755" customFormat="1" ht="13.5" customHeight="1">
      <c r="A21" s="744" t="s">
        <v>357</v>
      </c>
      <c r="B21" s="765" t="s">
        <v>1626</v>
      </c>
      <c r="C21" s="766">
        <f ca="1">C16+C17+C18</f>
        <v>12269</v>
      </c>
      <c r="D21" s="767"/>
      <c r="E21" s="273"/>
      <c r="F21" s="273"/>
      <c r="G21" s="123" t="s">
        <v>1627</v>
      </c>
      <c r="H21" s="759"/>
      <c r="I21" s="759"/>
      <c r="J21" s="759"/>
      <c r="K21" s="760"/>
    </row>
    <row r="22" spans="1:33" s="755" customFormat="1" ht="13.5" customHeight="1">
      <c r="A22" s="744" t="s">
        <v>1599</v>
      </c>
      <c r="B22" s="765" t="s">
        <v>1628</v>
      </c>
      <c r="C22" s="766">
        <f ca="1">ROUND(C21*F22,0)</f>
        <v>245</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699</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208</v>
      </c>
      <c r="D25" s="272">
        <f ca="1">C26</f>
        <v>3.2599999999999997E-2</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3.2599999999999997E-2</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208</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1639</v>
      </c>
      <c r="B28" s="1722" t="s">
        <v>1640</v>
      </c>
      <c r="C28" s="279">
        <f ca="1">C30</f>
        <v>1982</v>
      </c>
      <c r="D28" s="272">
        <f ca="1">C29</f>
        <v>7.2999999999999995E-2</v>
      </c>
      <c r="E28" s="274" t="s">
        <v>12</v>
      </c>
      <c r="F28" s="280">
        <f ca="1">IF(C1="",'数据-取费表'!Q16,INDIRECT("'数据-取费表'!q"&amp;$K$1))</f>
        <v>0.15</v>
      </c>
      <c r="G28" s="769"/>
      <c r="H28" s="770"/>
      <c r="I28" s="770"/>
      <c r="J28" s="770"/>
      <c r="K28" s="55"/>
    </row>
    <row r="29" spans="1:33" s="283" customFormat="1" ht="13.5" customHeight="1">
      <c r="A29" s="752" t="s">
        <v>358</v>
      </c>
      <c r="B29" s="773" t="s">
        <v>1641</v>
      </c>
      <c r="C29" s="276">
        <f ca="1">ROUND((1+C24)*F28*'数据-取费表'!B24/'数据-取费表'!B20,4)</f>
        <v>7.2999999999999995E-2</v>
      </c>
      <c r="D29" s="276"/>
      <c r="E29" s="277"/>
      <c r="F29" s="282"/>
      <c r="G29" s="123" t="s">
        <v>1642</v>
      </c>
      <c r="H29" s="759"/>
      <c r="I29" s="759"/>
      <c r="J29" s="759"/>
      <c r="K29" s="760"/>
    </row>
    <row r="30" spans="1:33" s="283" customFormat="1" ht="13.5" customHeight="1">
      <c r="A30" s="752" t="s">
        <v>359</v>
      </c>
      <c r="B30" s="773" t="s">
        <v>1643</v>
      </c>
      <c r="C30" s="284">
        <f ca="1">ROUND((C21+C22+C23)*F28,0)</f>
        <v>1982</v>
      </c>
      <c r="D30" s="276"/>
      <c r="E30" s="277"/>
      <c r="F30" s="282"/>
      <c r="G30" s="123"/>
      <c r="H30" s="759"/>
      <c r="I30" s="759"/>
      <c r="J30" s="759"/>
      <c r="K30" s="760"/>
    </row>
    <row r="31" spans="1:33" s="755" customFormat="1" ht="13.5" customHeight="1" thickBot="1">
      <c r="A31" s="1723" t="s">
        <v>1644</v>
      </c>
      <c r="B31" s="783" t="s">
        <v>1645</v>
      </c>
      <c r="C31" s="784">
        <f>ROUND(C4*F31/(1+'数据-取费表'!C42),0)</f>
        <v>3870</v>
      </c>
      <c r="D31" s="785"/>
      <c r="E31" s="786"/>
      <c r="F31" s="787">
        <f>'数据-取费表'!B41</f>
        <v>5.5000000000000007E-2</v>
      </c>
      <c r="G31" s="788" t="s">
        <v>1646</v>
      </c>
      <c r="H31" s="789"/>
      <c r="I31" s="789"/>
      <c r="J31" s="789"/>
      <c r="K31" s="790"/>
    </row>
    <row r="32" spans="1:33" s="751" customFormat="1" ht="13.5" customHeight="1" thickBot="1">
      <c r="A32" s="449" t="s">
        <v>1647</v>
      </c>
      <c r="B32" s="779"/>
      <c r="C32" s="780">
        <f ca="1">ROUND((C4-C21-C22-C23-C25-C28-C31)/(1+C24+D25+D28),0)</f>
        <v>48130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9</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503" t="s">
        <v>694</v>
      </c>
      <c r="C6" s="1011">
        <f ca="1">ROUND(F6*F8*F7*(1-F9)/10000,0)</f>
        <v>0</v>
      </c>
      <c r="D6" s="147" t="s">
        <v>2107</v>
      </c>
      <c r="E6" s="294" t="s">
        <v>696</v>
      </c>
      <c r="F6" s="295">
        <f ca="1">INDIRECT("'数据-取费表'!u"&amp;$G$1)</f>
        <v>0</v>
      </c>
      <c r="G6" s="1291"/>
      <c r="H6" s="1006" t="s">
        <v>398</v>
      </c>
      <c r="I6" s="3503" t="s">
        <v>694</v>
      </c>
      <c r="J6" s="293">
        <f ca="1">ROUND(M6*M8*M7*(1-M9)/10000,0)</f>
        <v>0</v>
      </c>
      <c r="K6" s="147" t="s">
        <v>2106</v>
      </c>
      <c r="L6" s="294" t="s">
        <v>696</v>
      </c>
      <c r="M6" s="295">
        <f ca="1">INDIRECT("'数据-取费表'!z"&amp;$G$1)</f>
        <v>0</v>
      </c>
    </row>
    <row r="7" spans="1:37" ht="18" customHeight="1">
      <c r="A7" s="1010"/>
      <c r="B7" s="3504"/>
      <c r="C7" s="1012"/>
      <c r="D7" s="299"/>
      <c r="E7" s="1013" t="s">
        <v>697</v>
      </c>
      <c r="F7" s="295">
        <f ca="1">IF(INDIRECT("'数据-取费表'!ah"&amp;$G$1)="",INDIRECT("'数据-取费表'!k"&amp;$G$1),INDIRECT("'数据-取费表'!ah"&amp;$G$1))</f>
        <v>0</v>
      </c>
      <c r="G7" s="1291"/>
      <c r="H7" s="296"/>
      <c r="I7" s="3504"/>
      <c r="J7" s="298"/>
      <c r="K7" s="299"/>
      <c r="L7" s="294" t="s">
        <v>697</v>
      </c>
      <c r="M7" s="295">
        <f ca="1">F7</f>
        <v>0</v>
      </c>
    </row>
    <row r="8" spans="1:37" ht="18" customHeight="1">
      <c r="A8" s="296"/>
      <c r="B8" s="3504"/>
      <c r="C8" s="298"/>
      <c r="D8" s="299"/>
      <c r="E8" s="294" t="s">
        <v>698</v>
      </c>
      <c r="F8" s="295">
        <f ca="1">INDIRECT("'数据-取费表'!ai"&amp;$G$1)</f>
        <v>0</v>
      </c>
      <c r="G8" s="1291"/>
      <c r="H8" s="296"/>
      <c r="I8" s="3504"/>
      <c r="J8" s="298"/>
      <c r="K8" s="299"/>
      <c r="L8" s="294" t="s">
        <v>698</v>
      </c>
      <c r="M8" s="295">
        <f ca="1">INDIRECT("'数据-取费表'!ai"&amp;$G$1)</f>
        <v>0</v>
      </c>
    </row>
    <row r="9" spans="1:37" ht="18" customHeight="1">
      <c r="A9" s="296"/>
      <c r="B9" s="3505"/>
      <c r="C9" s="298"/>
      <c r="D9" s="299"/>
      <c r="E9" s="294" t="s">
        <v>699</v>
      </c>
      <c r="F9" s="304">
        <f ca="1">INDIRECT("'数据-取费表'!w"&amp;$G$1)</f>
        <v>0</v>
      </c>
      <c r="G9" s="1291"/>
      <c r="H9" s="296"/>
      <c r="I9" s="350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2115</v>
      </c>
      <c r="E10" s="305" t="s">
        <v>701</v>
      </c>
      <c r="F10" s="1053"/>
      <c r="G10" s="1291"/>
      <c r="H10" s="1006" t="s">
        <v>402</v>
      </c>
      <c r="I10" s="1273" t="s">
        <v>700</v>
      </c>
      <c r="J10" s="293">
        <f ca="1">ROUND(IF(M10="押一",J6/12*M11,IF(M10="押二",J6/12*2*M11,IF(M10="押三",J6/12*3*M11,J11*M11))),0)</f>
        <v>0</v>
      </c>
      <c r="K10" s="150" t="s">
        <v>2114</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IF(项目基本情况!B11="自然人","——",ROUND(C6*F32/(1+'数据-取费表'!C42),2))</f>
        <v>0</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2108</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2114</v>
      </c>
      <c r="E53" s="305" t="s">
        <v>701</v>
      </c>
      <c r="F53" s="1053"/>
      <c r="I53" s="1343" t="s">
        <v>836</v>
      </c>
      <c r="J53" s="2005">
        <f ca="1">IF(M47="住宅",IF(D1="——",MAX(J51,L48),MAX(J51,L48-'数据-取费表'!B24)),IF(D1="——",MIN(J51,L48),MIN(J51,L48-'数据-取费表'!B24)))</f>
        <v>0</v>
      </c>
      <c r="K53" s="3501" t="s">
        <v>837</v>
      </c>
      <c r="L53" s="3502"/>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9</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503" t="s">
        <v>694</v>
      </c>
      <c r="C6" s="1011">
        <f ca="1">ROUND(F6*F8*F7*(1-F9),0)</f>
        <v>0</v>
      </c>
      <c r="D6" s="147" t="s">
        <v>2104</v>
      </c>
      <c r="E6" s="294" t="s">
        <v>696</v>
      </c>
      <c r="F6" s="295">
        <f ca="1">INDIRECT("'数据-取费表'!u"&amp;$G$1)</f>
        <v>0</v>
      </c>
      <c r="G6" s="1291"/>
      <c r="H6" s="1006" t="s">
        <v>398</v>
      </c>
      <c r="I6" s="3503" t="s">
        <v>694</v>
      </c>
      <c r="J6" s="293">
        <f ca="1">ROUND(M6*M8*M7*(1-M9),0)</f>
        <v>0</v>
      </c>
      <c r="K6" s="1283" t="s">
        <v>2105</v>
      </c>
      <c r="L6" s="294" t="s">
        <v>696</v>
      </c>
      <c r="M6" s="295">
        <f ca="1">INDIRECT("'数据-取费表'!z"&amp;$G$1)</f>
        <v>0</v>
      </c>
    </row>
    <row r="7" spans="1:37" ht="18" customHeight="1">
      <c r="A7" s="1010"/>
      <c r="B7" s="3504"/>
      <c r="C7" s="1012"/>
      <c r="D7" s="299"/>
      <c r="E7" s="1013" t="s">
        <v>697</v>
      </c>
      <c r="F7" s="295">
        <f ca="1">IF(INDIRECT("'数据-取费表'!ah"&amp;$G$1)="",INDIRECT("'数据-取费表'!k"&amp;$G$1),INDIRECT("'数据-取费表'!ah"&amp;$G$1))</f>
        <v>0</v>
      </c>
      <c r="G7" s="1291"/>
      <c r="H7" s="296"/>
      <c r="I7" s="3504"/>
      <c r="J7" s="298"/>
      <c r="K7" s="299"/>
      <c r="L7" s="294" t="s">
        <v>697</v>
      </c>
      <c r="M7" s="295">
        <f ca="1">F7</f>
        <v>0</v>
      </c>
    </row>
    <row r="8" spans="1:37" ht="18" customHeight="1">
      <c r="A8" s="296"/>
      <c r="B8" s="3504"/>
      <c r="C8" s="298"/>
      <c r="D8" s="299"/>
      <c r="E8" s="294" t="s">
        <v>698</v>
      </c>
      <c r="F8" s="295">
        <f ca="1">INDIRECT("'数据-取费表'!ai"&amp;$G$1)</f>
        <v>0</v>
      </c>
      <c r="G8" s="1291"/>
      <c r="H8" s="296"/>
      <c r="I8" s="3504"/>
      <c r="J8" s="298"/>
      <c r="K8" s="299"/>
      <c r="L8" s="294" t="s">
        <v>698</v>
      </c>
      <c r="M8" s="295">
        <f ca="1">INDIRECT("'数据-取费表'!ai"&amp;$G$1)</f>
        <v>0</v>
      </c>
    </row>
    <row r="9" spans="1:37" ht="18" customHeight="1">
      <c r="A9" s="296"/>
      <c r="B9" s="3505"/>
      <c r="C9" s="298"/>
      <c r="D9" s="299"/>
      <c r="E9" s="294" t="s">
        <v>699</v>
      </c>
      <c r="F9" s="304">
        <f ca="1">INDIRECT("'数据-取费表'!w"&amp;$G$1)</f>
        <v>0</v>
      </c>
      <c r="G9" s="1291"/>
      <c r="H9" s="296"/>
      <c r="I9" s="350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2114</v>
      </c>
      <c r="E10" s="305" t="s">
        <v>701</v>
      </c>
      <c r="F10" s="1053"/>
      <c r="G10" s="1291"/>
      <c r="H10" s="1006" t="s">
        <v>402</v>
      </c>
      <c r="I10" s="1273" t="s">
        <v>700</v>
      </c>
      <c r="J10" s="293">
        <f ca="1">ROUND(IF(M10="押一",J6/12*M11,IF(M10="押二",J6/12*2*M11,IF(M10="押三",J6/12*3*M11,J11*M11))),0)</f>
        <v>0</v>
      </c>
      <c r="K10" s="1284" t="s">
        <v>2116</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3352</v>
      </c>
      <c r="B45" s="1306"/>
      <c r="C45" s="1375" t="e">
        <f ca="1">ROUND((C68-C40)/10000,4)</f>
        <v>#DIV/0!</v>
      </c>
      <c r="D45" s="3130" t="s">
        <v>3353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2117</v>
      </c>
      <c r="E53" s="305" t="s">
        <v>701</v>
      </c>
      <c r="F53" s="1053"/>
      <c r="I53" s="1343" t="s">
        <v>836</v>
      </c>
      <c r="J53" s="2005">
        <f ca="1">IF(M47="住宅",IF(D1="——",MAX(J51,L48),MAX(J51,L48-'数据-取费表'!B24)),IF(D1="——",MIN(J51,L48),MIN(J51,L48-'数据-取费表'!B24)))</f>
        <v>0</v>
      </c>
      <c r="K53" s="3501" t="s">
        <v>837</v>
      </c>
      <c r="L53" s="3502"/>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3359</v>
      </c>
      <c r="E2" s="3139"/>
      <c r="F2" s="2597"/>
      <c r="G2" s="2598"/>
      <c r="H2" s="2599"/>
      <c r="I2" s="2600"/>
      <c r="J2" s="3506" t="s">
        <v>2317</v>
      </c>
      <c r="K2" s="3507"/>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508" t="s">
        <v>2327</v>
      </c>
      <c r="K3" s="3509"/>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508" t="s">
        <v>2329</v>
      </c>
      <c r="K4" s="3509"/>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510" t="s">
        <v>2333</v>
      </c>
      <c r="B6" s="3511"/>
      <c r="C6" s="3512"/>
      <c r="D6" s="2621"/>
      <c r="E6" s="2622"/>
      <c r="F6" s="2623"/>
      <c r="G6" s="2624"/>
      <c r="H6" s="2599"/>
      <c r="I6" s="2600"/>
      <c r="J6" s="3513">
        <v>1</v>
      </c>
      <c r="K6" s="3514"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513"/>
      <c r="K7" s="3515"/>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517" t="s">
        <v>2347</v>
      </c>
      <c r="C8" s="3518"/>
      <c r="D8" s="2640" t="s">
        <v>2348</v>
      </c>
      <c r="E8" s="2641" t="s">
        <v>2349</v>
      </c>
      <c r="F8" s="2642" t="s">
        <v>2350</v>
      </c>
      <c r="G8" s="2643"/>
      <c r="H8" s="2599"/>
      <c r="I8" s="2600"/>
      <c r="J8" s="3513"/>
      <c r="K8" s="3515"/>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517" t="s">
        <v>2353</v>
      </c>
      <c r="C9" s="3518"/>
      <c r="D9" s="2640">
        <f>ROUND(D6*E9,0)</f>
        <v>0</v>
      </c>
      <c r="E9" s="2644"/>
      <c r="F9" s="2645" t="s">
        <v>2354</v>
      </c>
      <c r="G9" s="2624"/>
      <c r="H9" s="2599"/>
      <c r="I9" s="2600"/>
      <c r="J9" s="3513"/>
      <c r="K9" s="3515"/>
      <c r="L9" s="2634" t="s">
        <v>2355</v>
      </c>
      <c r="M9" s="2635"/>
      <c r="N9" s="2611"/>
      <c r="O9" s="2636"/>
      <c r="P9" s="2636"/>
      <c r="Q9" s="2637">
        <v>365</v>
      </c>
      <c r="R9" s="2638">
        <f t="shared" si="0"/>
        <v>0</v>
      </c>
      <c r="S9" s="2592"/>
      <c r="T9" s="2592"/>
      <c r="U9" s="2592"/>
      <c r="V9" s="2600"/>
    </row>
    <row r="10" spans="1:22" s="2604" customFormat="1" ht="13.15" customHeight="1">
      <c r="A10" s="2639">
        <v>2</v>
      </c>
      <c r="B10" s="3517" t="s">
        <v>2356</v>
      </c>
      <c r="C10" s="3518"/>
      <c r="D10" s="2640">
        <f>ROUND(D6*E10,0)</f>
        <v>0</v>
      </c>
      <c r="E10" s="2644"/>
      <c r="F10" s="2645" t="s">
        <v>2357</v>
      </c>
      <c r="G10" s="2624"/>
      <c r="H10" s="2599"/>
      <c r="I10" s="2600"/>
      <c r="J10" s="3513"/>
      <c r="K10" s="3515"/>
      <c r="L10" s="2634" t="s">
        <v>2358</v>
      </c>
      <c r="M10" s="2635"/>
      <c r="N10" s="2611"/>
      <c r="O10" s="2636"/>
      <c r="P10" s="2636"/>
      <c r="Q10" s="2637">
        <v>365</v>
      </c>
      <c r="R10" s="2638">
        <f t="shared" si="0"/>
        <v>0</v>
      </c>
      <c r="S10" s="2592"/>
      <c r="T10" s="2592"/>
      <c r="U10" s="2592"/>
      <c r="V10" s="2600"/>
    </row>
    <row r="11" spans="1:22" s="2604" customFormat="1" ht="13.15" customHeight="1">
      <c r="A11" s="2639">
        <v>3</v>
      </c>
      <c r="B11" s="3517" t="s">
        <v>2359</v>
      </c>
      <c r="C11" s="3518"/>
      <c r="D11" s="2640">
        <f>D12+D14+D15+D16</f>
        <v>0</v>
      </c>
      <c r="E11" s="2646" t="e">
        <f>D11/D6</f>
        <v>#DIV/0!</v>
      </c>
      <c r="F11" s="2642"/>
      <c r="G11" s="2643"/>
      <c r="H11" s="2599"/>
      <c r="I11" s="2600"/>
      <c r="J11" s="3513"/>
      <c r="K11" s="3515"/>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519" t="s">
        <v>2362</v>
      </c>
      <c r="C12" s="3520"/>
      <c r="D12" s="2648">
        <f>ROUND(D13*1.2%*(1-30%),0)</f>
        <v>0</v>
      </c>
      <c r="E12" s="2649">
        <v>1.2E-2</v>
      </c>
      <c r="F12" s="2642" t="s">
        <v>2363</v>
      </c>
      <c r="G12" s="2643"/>
      <c r="H12" s="2599"/>
      <c r="I12" s="2600"/>
      <c r="J12" s="3513"/>
      <c r="K12" s="3515"/>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513"/>
      <c r="K13" s="3515"/>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519" t="s">
        <v>2368</v>
      </c>
      <c r="C14" s="3520"/>
      <c r="D14" s="2648">
        <f>ROUND(E14*B5/10000,0)</f>
        <v>0</v>
      </c>
      <c r="E14" s="2637"/>
      <c r="F14" s="2642" t="s">
        <v>2369</v>
      </c>
      <c r="G14" s="2643"/>
      <c r="H14" s="2599"/>
      <c r="I14" s="2600"/>
      <c r="J14" s="3513"/>
      <c r="K14" s="3516"/>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519" t="s">
        <v>2372</v>
      </c>
      <c r="C15" s="3520"/>
      <c r="D15" s="2648">
        <f>ROUND(D6*E15,0)</f>
        <v>0</v>
      </c>
      <c r="E15" s="2649">
        <v>5.5E-2</v>
      </c>
      <c r="F15" s="2642" t="s">
        <v>2373</v>
      </c>
      <c r="G15" s="2624"/>
      <c r="H15" s="2599"/>
      <c r="I15" s="2600"/>
      <c r="J15" s="3513">
        <v>2</v>
      </c>
      <c r="K15" s="3514"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519" t="s">
        <v>2381</v>
      </c>
      <c r="C16" s="3520"/>
      <c r="D16" s="2659">
        <f>D6*E16</f>
        <v>0</v>
      </c>
      <c r="E16" s="2660"/>
      <c r="F16" s="2645" t="s">
        <v>2382</v>
      </c>
      <c r="G16" s="2624"/>
      <c r="H16" s="2599"/>
      <c r="I16" s="2600"/>
      <c r="J16" s="3513"/>
      <c r="K16" s="3515"/>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521" t="s">
        <v>2384</v>
      </c>
      <c r="C17" s="3522"/>
      <c r="D17" s="2662">
        <f>ROUND(D6*E17,0)</f>
        <v>0</v>
      </c>
      <c r="E17" s="2663"/>
      <c r="F17" s="2664" t="s">
        <v>2385</v>
      </c>
      <c r="G17" s="2624"/>
      <c r="H17" s="2599"/>
      <c r="I17" s="2600"/>
      <c r="J17" s="3513"/>
      <c r="K17" s="3515"/>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513"/>
      <c r="K18" s="3515"/>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513"/>
      <c r="K19" s="3516"/>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13">
        <v>3</v>
      </c>
      <c r="K20" s="3514"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513"/>
      <c r="K21" s="3515"/>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513"/>
      <c r="K22" s="3515"/>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513"/>
      <c r="K23" s="3515"/>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513"/>
      <c r="K24" s="3516"/>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52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52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506" t="s">
        <v>2317</v>
      </c>
      <c r="K32" s="3507"/>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508" t="s">
        <v>2327</v>
      </c>
      <c r="K33" s="3509"/>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508" t="s">
        <v>2329</v>
      </c>
      <c r="K34" s="350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513">
        <v>1</v>
      </c>
      <c r="K36" s="3514"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513"/>
      <c r="K37" s="3515"/>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13"/>
      <c r="K38" s="3515"/>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513"/>
      <c r="K39" s="3515"/>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513"/>
      <c r="K40" s="3516"/>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52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52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1656</v>
      </c>
      <c r="B1" s="1725"/>
      <c r="C1" s="1725"/>
      <c r="D1" s="1725"/>
      <c r="E1" s="1726"/>
      <c r="F1" s="2479"/>
      <c r="G1" s="459"/>
      <c r="H1" s="459"/>
      <c r="I1" s="459"/>
      <c r="J1" s="459"/>
      <c r="K1" s="459"/>
      <c r="L1" s="459"/>
      <c r="M1" s="459"/>
      <c r="N1" s="459"/>
      <c r="O1" s="459"/>
      <c r="P1" s="459"/>
      <c r="Q1" s="459"/>
      <c r="R1" s="459"/>
      <c r="S1" s="459"/>
    </row>
    <row r="2" spans="1:22" ht="15.75">
      <c r="A2" s="1727" t="s">
        <v>1460</v>
      </c>
      <c r="B2" s="811">
        <f ca="1">SUMIF(B6:B13,"&lt;&gt;#ref!",B6:B13)</f>
        <v>0</v>
      </c>
      <c r="C2" s="1728" t="s">
        <v>1649</v>
      </c>
      <c r="D2" s="1729" t="s">
        <v>1650</v>
      </c>
      <c r="E2" s="2392">
        <f>SUM(E6:E13)</f>
        <v>0</v>
      </c>
      <c r="F2" s="2479"/>
      <c r="G2" s="459"/>
      <c r="H2" s="459"/>
      <c r="I2" s="459"/>
      <c r="J2" s="459"/>
      <c r="K2" s="459"/>
      <c r="L2" s="459"/>
      <c r="M2" s="459"/>
      <c r="N2" s="459"/>
      <c r="O2" s="459"/>
      <c r="P2" s="459"/>
      <c r="Q2" s="459"/>
      <c r="R2" s="459"/>
      <c r="S2" s="459"/>
    </row>
    <row r="3" spans="1:22" ht="15.75">
      <c r="A3" s="1727" t="s">
        <v>686</v>
      </c>
      <c r="B3" s="2386" t="e">
        <f ca="1">ROUND(B2*10000/E2,0)</f>
        <v>#DIV/0!</v>
      </c>
      <c r="C3" s="1728" t="s">
        <v>1657</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1651</v>
      </c>
      <c r="B5" s="3525" t="s">
        <v>1652</v>
      </c>
      <c r="C5" s="3526"/>
      <c r="D5" s="2480"/>
      <c r="E5" s="1730" t="s">
        <v>1653</v>
      </c>
      <c r="F5" s="129" t="s">
        <v>1654</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1649</v>
      </c>
      <c r="D6" s="2479"/>
      <c r="E6" s="2391">
        <f>IF(OR(A6=0,F6="否"),0,'数据-取费表'!K6+'数据-取费表'!S6)</f>
        <v>0</v>
      </c>
      <c r="F6" s="1731" t="s">
        <v>1655</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1649</v>
      </c>
      <c r="D7" s="2479"/>
      <c r="E7" s="2391">
        <f>IF(OR(A7=0,F7="否"),0,'数据-取费表'!K7+'数据-取费表'!S7)</f>
        <v>0</v>
      </c>
      <c r="F7" s="1731" t="s">
        <v>1655</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1649</v>
      </c>
      <c r="D8" s="2479"/>
      <c r="E8" s="2391">
        <f>IF(OR(A8=0,F8="否"),0,'数据-取费表'!K8+'数据-取费表'!S8)</f>
        <v>0</v>
      </c>
      <c r="F8" s="1731" t="s">
        <v>1655</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1649</v>
      </c>
      <c r="D9" s="2479"/>
      <c r="E9" s="2391">
        <f>IF(OR(A9=0,F9="否"),0,'数据-取费表'!K9+'数据-取费表'!S9)</f>
        <v>0</v>
      </c>
      <c r="F9" s="1731" t="s">
        <v>1655</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1649</v>
      </c>
      <c r="D10" s="2479"/>
      <c r="E10" s="2391">
        <f>IF(OR(A10=0,F10="否"),0,'数据-取费表'!K10+'数据-取费表'!S10)</f>
        <v>0</v>
      </c>
      <c r="F10" s="1731" t="s">
        <v>1655</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1649</v>
      </c>
      <c r="D11" s="2479"/>
      <c r="E11" s="2391">
        <f>IF(OR(A11=0,F11="否"),0,'数据-取费表'!K11+'数据-取费表'!S11)</f>
        <v>0</v>
      </c>
      <c r="F11" s="1731" t="s">
        <v>1655</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1649</v>
      </c>
      <c r="D12" s="2479"/>
      <c r="E12" s="2391">
        <f>IF(OR(A12=0,F12="否"),0,'数据-取费表'!K12+'数据-取费表'!S12)</f>
        <v>0</v>
      </c>
      <c r="F12" s="1731" t="s">
        <v>1655</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1649</v>
      </c>
      <c r="D13" s="2481"/>
      <c r="E13" s="2391">
        <f>IF(OR(A13=0,F13="否"),0,'数据-取费表'!K13+'数据-取费表'!S13)</f>
        <v>0</v>
      </c>
      <c r="F13" s="1731"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估价对象为北京市房地产，为所有。根据《国有土地使用证》[]，估价对象（分摊）出让国有建设用地使用权面积为14295.23平方米，建筑面积为36323.87平方米。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估价对象为北京市房地产,属开发建设的居住项目，该项目尚在开发建设中。根据《国有土地使用证》[]，估价对象（分摊）出让国有建设用地使用权面积为14295.23平方米，规划建筑面积为36323.87平方米。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2024年9月30日（评估专业人员实地查勘之日）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本次评估采用的主估价方法为成本法和假设开发法。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28" sqref="E2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1658</v>
      </c>
      <c r="B1" s="1733" t="s">
        <v>1659</v>
      </c>
      <c r="C1" s="1154" t="s">
        <v>1660</v>
      </c>
      <c r="D1" s="1141"/>
      <c r="E1" s="3124"/>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1662</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1663</v>
      </c>
      <c r="D3" s="343">
        <f>IF(D1="",'数据-汇总表'!E3,SUMIF('数据-汇总表'!$C19:$C33,D1,'数据-汇总表'!$E19:$E33))</f>
        <v>36323.870000000003</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1664</v>
      </c>
      <c r="B4" s="346"/>
      <c r="C4" s="3477" t="s">
        <v>1665</v>
      </c>
      <c r="D4" s="3478"/>
      <c r="E4" s="3479" t="s">
        <v>1666</v>
      </c>
      <c r="F4" s="3480"/>
      <c r="G4" s="3477" t="s">
        <v>1667</v>
      </c>
      <c r="H4" s="3478"/>
      <c r="I4" s="3477" t="s">
        <v>1668</v>
      </c>
      <c r="J4" s="3478"/>
      <c r="K4" s="1743" t="s">
        <v>1669</v>
      </c>
      <c r="L4" s="2486"/>
      <c r="M4" s="2487"/>
      <c r="N4" s="2487"/>
      <c r="O4" s="2487"/>
      <c r="P4" s="3481" t="s">
        <v>1670</v>
      </c>
      <c r="Q4" s="3482"/>
      <c r="R4" s="3464" t="s">
        <v>1666</v>
      </c>
      <c r="S4" s="3465"/>
      <c r="T4" s="3464" t="s">
        <v>1667</v>
      </c>
      <c r="U4" s="3465"/>
      <c r="V4" s="3489" t="s">
        <v>1668</v>
      </c>
      <c r="W4" s="3489"/>
      <c r="X4" s="1264"/>
      <c r="Y4" s="3464" t="s">
        <v>1670</v>
      </c>
      <c r="Z4" s="3465"/>
      <c r="AA4" s="3459" t="s">
        <v>1666</v>
      </c>
      <c r="AB4" s="3459" t="s">
        <v>1667</v>
      </c>
      <c r="AC4" s="3459" t="s">
        <v>1668</v>
      </c>
    </row>
    <row r="5" spans="1:29" ht="15">
      <c r="A5" s="348"/>
      <c r="B5" s="349"/>
      <c r="C5" s="3470" t="s">
        <v>1671</v>
      </c>
      <c r="D5" s="3471"/>
      <c r="E5" s="3468" t="s">
        <v>1672</v>
      </c>
      <c r="F5" s="3469"/>
      <c r="G5" s="3470" t="s">
        <v>1673</v>
      </c>
      <c r="H5" s="3471"/>
      <c r="I5" s="3470" t="s">
        <v>1674</v>
      </c>
      <c r="J5" s="3471"/>
      <c r="K5" s="1744"/>
      <c r="L5" s="2486"/>
      <c r="M5" s="2487"/>
      <c r="N5" s="2487"/>
      <c r="O5" s="2487"/>
      <c r="P5" s="3483"/>
      <c r="Q5" s="3484"/>
      <c r="R5" s="3466"/>
      <c r="S5" s="3467"/>
      <c r="T5" s="3466"/>
      <c r="U5" s="3467"/>
      <c r="V5" s="3489"/>
      <c r="W5" s="3489"/>
      <c r="X5" s="1264"/>
      <c r="Y5" s="3466"/>
      <c r="Z5" s="3467"/>
      <c r="AA5" s="3460"/>
      <c r="AB5" s="3460"/>
      <c r="AC5" s="3460"/>
    </row>
    <row r="6" spans="1:29" ht="15.75" thickBot="1">
      <c r="A6" s="350"/>
      <c r="B6" s="351"/>
      <c r="C6" s="3472" t="s">
        <v>1675</v>
      </c>
      <c r="D6" s="3473"/>
      <c r="E6" s="3474" t="s">
        <v>1675</v>
      </c>
      <c r="F6" s="3475"/>
      <c r="G6" s="3472" t="s">
        <v>1675</v>
      </c>
      <c r="H6" s="3473"/>
      <c r="I6" s="3472" t="s">
        <v>1675</v>
      </c>
      <c r="J6" s="3473"/>
      <c r="K6" s="1744" t="s">
        <v>1676</v>
      </c>
      <c r="L6" s="2486"/>
      <c r="M6" s="2487"/>
      <c r="N6" s="2487"/>
      <c r="O6" s="2487"/>
      <c r="P6" s="3485"/>
      <c r="Q6" s="3486"/>
      <c r="R6" s="3466"/>
      <c r="S6" s="3467"/>
      <c r="T6" s="3487"/>
      <c r="U6" s="3488"/>
      <c r="V6" s="3489"/>
      <c r="W6" s="3489"/>
      <c r="X6" s="1264"/>
      <c r="Y6" s="3487"/>
      <c r="Z6" s="3488"/>
      <c r="AA6" s="3461"/>
      <c r="AB6" s="3461"/>
      <c r="AC6" s="3461"/>
    </row>
    <row r="7" spans="1:29" s="102" customFormat="1" ht="15.75" thickBot="1">
      <c r="A7" s="352" t="s">
        <v>1677</v>
      </c>
      <c r="B7" s="353"/>
      <c r="C7" s="354">
        <f>'数据-取费表'!B2</f>
        <v>45565</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62" t="s">
        <v>1678</v>
      </c>
      <c r="Q7" s="3490"/>
      <c r="R7" s="664" t="s">
        <v>20</v>
      </c>
      <c r="S7" s="665">
        <f t="shared" ref="S7:S15" si="0">F7</f>
        <v>0</v>
      </c>
      <c r="T7" s="664" t="s">
        <v>20</v>
      </c>
      <c r="U7" s="665">
        <f t="shared" ref="U7:U15" si="1">H7</f>
        <v>0</v>
      </c>
      <c r="V7" s="664" t="s">
        <v>20</v>
      </c>
      <c r="W7" s="665">
        <f t="shared" ref="W7:W15" si="2">J7</f>
        <v>0</v>
      </c>
      <c r="X7" s="666"/>
      <c r="Y7" s="3462" t="s">
        <v>1678</v>
      </c>
      <c r="Z7" s="3463"/>
      <c r="AA7" s="50" t="e">
        <f>D7/F7</f>
        <v>#DIV/0!</v>
      </c>
      <c r="AB7" s="50" t="e">
        <f>D7/H7</f>
        <v>#DIV/0!</v>
      </c>
      <c r="AC7" s="50" t="e">
        <f>D7/J7</f>
        <v>#DIV/0!</v>
      </c>
    </row>
    <row r="8" spans="1:29" s="102" customFormat="1" ht="15.75" thickBot="1">
      <c r="A8" s="352" t="s">
        <v>1679</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62" t="s">
        <v>1681</v>
      </c>
      <c r="Q8" s="3463"/>
      <c r="R8" s="664" t="s">
        <v>20</v>
      </c>
      <c r="S8" s="665">
        <f t="shared" si="0"/>
        <v>100</v>
      </c>
      <c r="T8" s="664" t="s">
        <v>20</v>
      </c>
      <c r="U8" s="665">
        <f t="shared" si="1"/>
        <v>100</v>
      </c>
      <c r="V8" s="664" t="s">
        <v>20</v>
      </c>
      <c r="W8" s="665">
        <f t="shared" si="2"/>
        <v>100</v>
      </c>
      <c r="X8" s="666"/>
      <c r="Y8" s="3462" t="s">
        <v>1681</v>
      </c>
      <c r="Z8" s="3463"/>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500" t="s">
        <v>1684</v>
      </c>
      <c r="Q9" s="530" t="str">
        <f t="shared" ref="Q9:Q15" si="6">B9</f>
        <v>用途</v>
      </c>
      <c r="R9" s="664" t="s">
        <v>14</v>
      </c>
      <c r="S9" s="665">
        <f t="shared" si="0"/>
        <v>100</v>
      </c>
      <c r="T9" s="664" t="s">
        <v>14</v>
      </c>
      <c r="U9" s="665">
        <f t="shared" si="1"/>
        <v>100</v>
      </c>
      <c r="V9" s="664" t="s">
        <v>14</v>
      </c>
      <c r="W9" s="665">
        <f t="shared" si="2"/>
        <v>100</v>
      </c>
      <c r="X9" s="666"/>
      <c r="Y9" s="3432" t="s">
        <v>1685</v>
      </c>
      <c r="Z9" s="50" t="str">
        <f t="shared" ref="Z9:Z15" si="7">Q9</f>
        <v>用途</v>
      </c>
      <c r="AA9" s="50">
        <f t="shared" si="3"/>
        <v>1</v>
      </c>
      <c r="AB9" s="50">
        <f t="shared" si="4"/>
        <v>1</v>
      </c>
      <c r="AC9" s="50">
        <f t="shared" si="5"/>
        <v>1</v>
      </c>
    </row>
    <row r="10" spans="1:29" s="366" customFormat="1" ht="27">
      <c r="A10" s="363"/>
      <c r="B10" s="364" t="s">
        <v>1686</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500"/>
      <c r="Q10" s="530" t="str">
        <f t="shared" si="6"/>
        <v>土地使用年限（年）</v>
      </c>
      <c r="R10" s="664" t="s">
        <v>14</v>
      </c>
      <c r="S10" s="665">
        <f t="shared" si="0"/>
        <v>100</v>
      </c>
      <c r="T10" s="664" t="s">
        <v>14</v>
      </c>
      <c r="U10" s="665">
        <f t="shared" si="1"/>
        <v>100</v>
      </c>
      <c r="V10" s="664" t="s">
        <v>14</v>
      </c>
      <c r="W10" s="665">
        <f t="shared" si="2"/>
        <v>100</v>
      </c>
      <c r="X10" s="666"/>
      <c r="Y10" s="343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00"/>
      <c r="Q11" s="530" t="str">
        <f t="shared" si="6"/>
        <v>容积率</v>
      </c>
      <c r="R11" s="664" t="s">
        <v>18</v>
      </c>
      <c r="S11" s="665" t="e">
        <f t="shared" si="0"/>
        <v>#N/A</v>
      </c>
      <c r="T11" s="664" t="s">
        <v>18</v>
      </c>
      <c r="U11" s="665" t="e">
        <f t="shared" si="1"/>
        <v>#N/A</v>
      </c>
      <c r="V11" s="664" t="s">
        <v>18</v>
      </c>
      <c r="W11" s="665" t="e">
        <f t="shared" si="2"/>
        <v>#N/A</v>
      </c>
      <c r="X11" s="666"/>
      <c r="Y11" s="34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500"/>
      <c r="Q12" s="530">
        <f t="shared" si="6"/>
        <v>111</v>
      </c>
      <c r="R12" s="664" t="s">
        <v>18</v>
      </c>
      <c r="S12" s="665">
        <f t="shared" si="0"/>
        <v>100</v>
      </c>
      <c r="T12" s="664" t="s">
        <v>18</v>
      </c>
      <c r="U12" s="665">
        <f t="shared" si="1"/>
        <v>100</v>
      </c>
      <c r="V12" s="664" t="s">
        <v>18</v>
      </c>
      <c r="W12" s="665">
        <f t="shared" si="2"/>
        <v>100</v>
      </c>
      <c r="X12" s="666"/>
      <c r="Y12" s="34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500"/>
      <c r="Q13" s="530">
        <f t="shared" si="6"/>
        <v>111</v>
      </c>
      <c r="R13" s="664" t="s">
        <v>18</v>
      </c>
      <c r="S13" s="665">
        <f t="shared" si="0"/>
        <v>100</v>
      </c>
      <c r="T13" s="664" t="s">
        <v>18</v>
      </c>
      <c r="U13" s="665">
        <f t="shared" si="1"/>
        <v>100</v>
      </c>
      <c r="V13" s="664" t="s">
        <v>18</v>
      </c>
      <c r="W13" s="665">
        <f t="shared" si="2"/>
        <v>100</v>
      </c>
      <c r="X13" s="666"/>
      <c r="Y13" s="343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500"/>
      <c r="Q14" s="530">
        <f t="shared" si="6"/>
        <v>111</v>
      </c>
      <c r="R14" s="664" t="s">
        <v>18</v>
      </c>
      <c r="S14" s="665">
        <f t="shared" si="0"/>
        <v>100</v>
      </c>
      <c r="T14" s="664" t="s">
        <v>18</v>
      </c>
      <c r="U14" s="665">
        <f t="shared" si="1"/>
        <v>100</v>
      </c>
      <c r="V14" s="664" t="s">
        <v>18</v>
      </c>
      <c r="W14" s="665">
        <f t="shared" si="2"/>
        <v>100</v>
      </c>
      <c r="X14" s="666"/>
      <c r="Y14" s="3432"/>
      <c r="Z14" s="50">
        <f t="shared" si="7"/>
        <v>111</v>
      </c>
      <c r="AA14" s="50">
        <f t="shared" si="3"/>
        <v>1</v>
      </c>
      <c r="AB14" s="50">
        <f t="shared" si="4"/>
        <v>1</v>
      </c>
      <c r="AC14" s="50">
        <f t="shared" si="5"/>
        <v>1</v>
      </c>
    </row>
    <row r="15" spans="1:29" ht="85.5">
      <c r="A15" s="379" t="s">
        <v>1688</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32" t="s">
        <v>1689</v>
      </c>
      <c r="Q15" s="1262" t="str">
        <f t="shared" si="6"/>
        <v>居住社区成熟度</v>
      </c>
      <c r="R15" s="667" t="s">
        <v>18</v>
      </c>
      <c r="S15" s="668">
        <f t="shared" si="0"/>
        <v>100</v>
      </c>
      <c r="T15" s="667" t="s">
        <v>18</v>
      </c>
      <c r="U15" s="668">
        <f t="shared" si="1"/>
        <v>100</v>
      </c>
      <c r="V15" s="667" t="s">
        <v>18</v>
      </c>
      <c r="W15" s="668">
        <f t="shared" si="2"/>
        <v>100</v>
      </c>
      <c r="X15" s="1264"/>
      <c r="Y15" s="3491" t="s">
        <v>1689</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533"/>
      <c r="Q16" s="1262"/>
      <c r="R16" s="667"/>
      <c r="S16" s="668"/>
      <c r="T16" s="667"/>
      <c r="U16" s="668"/>
      <c r="V16" s="667"/>
      <c r="W16" s="668"/>
      <c r="X16" s="1264"/>
      <c r="Y16" s="3492"/>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33"/>
      <c r="Q17" s="1262" t="str">
        <f>B17</f>
        <v>交通便捷度</v>
      </c>
      <c r="R17" s="667" t="s">
        <v>18</v>
      </c>
      <c r="S17" s="668">
        <f>F17</f>
        <v>100</v>
      </c>
      <c r="T17" s="667" t="s">
        <v>18</v>
      </c>
      <c r="U17" s="668">
        <f>H17</f>
        <v>100</v>
      </c>
      <c r="V17" s="667" t="s">
        <v>18</v>
      </c>
      <c r="W17" s="668">
        <f>J17</f>
        <v>100</v>
      </c>
      <c r="X17" s="1264"/>
      <c r="Y17" s="349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533"/>
      <c r="Q18" s="1262"/>
      <c r="R18" s="667"/>
      <c r="S18" s="668"/>
      <c r="T18" s="667"/>
      <c r="U18" s="668"/>
      <c r="V18" s="667"/>
      <c r="W18" s="668"/>
      <c r="X18" s="1264"/>
      <c r="Y18" s="3492"/>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33"/>
      <c r="Q19" s="1262" t="str">
        <f>B19</f>
        <v>公共配套设施</v>
      </c>
      <c r="R19" s="667" t="s">
        <v>18</v>
      </c>
      <c r="S19" s="668">
        <f>F19</f>
        <v>100</v>
      </c>
      <c r="T19" s="667" t="s">
        <v>18</v>
      </c>
      <c r="U19" s="668">
        <f>H19</f>
        <v>100</v>
      </c>
      <c r="V19" s="667" t="s">
        <v>18</v>
      </c>
      <c r="W19" s="668">
        <f>J19</f>
        <v>100</v>
      </c>
      <c r="X19" s="1264"/>
      <c r="Y19" s="349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533"/>
      <c r="Q20" s="1262"/>
      <c r="R20" s="667"/>
      <c r="S20" s="668"/>
      <c r="T20" s="667"/>
      <c r="U20" s="668"/>
      <c r="V20" s="667"/>
      <c r="W20" s="668"/>
      <c r="X20" s="1264"/>
      <c r="Y20" s="3492"/>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33"/>
      <c r="Q21" s="1262" t="str">
        <f>B21</f>
        <v>基础设施水平</v>
      </c>
      <c r="R21" s="667" t="s">
        <v>14</v>
      </c>
      <c r="S21" s="668">
        <f>F21</f>
        <v>100</v>
      </c>
      <c r="T21" s="667" t="s">
        <v>14</v>
      </c>
      <c r="U21" s="668">
        <f>H21</f>
        <v>100</v>
      </c>
      <c r="V21" s="667" t="s">
        <v>14</v>
      </c>
      <c r="W21" s="668">
        <f>J21</f>
        <v>100</v>
      </c>
      <c r="X21" s="1264"/>
      <c r="Y21" s="34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533"/>
      <c r="Q22" s="1262"/>
      <c r="R22" s="667"/>
      <c r="S22" s="668"/>
      <c r="T22" s="667"/>
      <c r="U22" s="668"/>
      <c r="V22" s="667"/>
      <c r="W22" s="668"/>
      <c r="X22" s="1264"/>
      <c r="Y22" s="3492"/>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33"/>
      <c r="Q23" s="1262" t="str">
        <f>B23</f>
        <v>自然及人文环境</v>
      </c>
      <c r="R23" s="667" t="s">
        <v>18</v>
      </c>
      <c r="S23" s="668">
        <f>F23</f>
        <v>100</v>
      </c>
      <c r="T23" s="667" t="s">
        <v>18</v>
      </c>
      <c r="U23" s="668">
        <f>H23</f>
        <v>100</v>
      </c>
      <c r="V23" s="667" t="s">
        <v>18</v>
      </c>
      <c r="W23" s="668">
        <f>J23</f>
        <v>100</v>
      </c>
      <c r="X23" s="1264"/>
      <c r="Y23" s="349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533"/>
      <c r="Q24" s="1262"/>
      <c r="R24" s="667"/>
      <c r="S24" s="668"/>
      <c r="T24" s="667"/>
      <c r="U24" s="668"/>
      <c r="V24" s="667"/>
      <c r="W24" s="668"/>
      <c r="X24" s="1264"/>
      <c r="Y24" s="3492"/>
      <c r="Z24" s="1263"/>
      <c r="AA24" s="1263">
        <v>1</v>
      </c>
      <c r="AB24" s="1263">
        <v>1</v>
      </c>
      <c r="AC24" s="1263">
        <v>1</v>
      </c>
    </row>
    <row r="25" spans="1:29" ht="15">
      <c r="A25" s="367"/>
      <c r="B25" s="364" t="s">
        <v>1690</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53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92"/>
      <c r="Z25" s="1263" t="str">
        <f>Q25</f>
        <v>楼层-1</v>
      </c>
      <c r="AA25" s="1263">
        <f t="shared" ref="AA25:AA46" si="15">D25/F25</f>
        <v>1</v>
      </c>
      <c r="AB25" s="1263">
        <f t="shared" ref="AB25:AB46" si="16">D25/H25</f>
        <v>1</v>
      </c>
      <c r="AC25" s="1263">
        <f t="shared" ref="AC25:AC46" si="17">D25/J25</f>
        <v>1</v>
      </c>
    </row>
    <row r="26" spans="1:29" ht="15">
      <c r="A26" s="367"/>
      <c r="B26" s="364" t="s">
        <v>1691</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533"/>
      <c r="Q26" s="1262" t="str">
        <f t="shared" si="11"/>
        <v>朝向</v>
      </c>
      <c r="R26" s="667" t="s">
        <v>18</v>
      </c>
      <c r="S26" s="668">
        <f t="shared" si="12"/>
        <v>100</v>
      </c>
      <c r="T26" s="667" t="s">
        <v>18</v>
      </c>
      <c r="U26" s="668">
        <f t="shared" si="13"/>
        <v>100</v>
      </c>
      <c r="V26" s="667" t="s">
        <v>18</v>
      </c>
      <c r="W26" s="668">
        <f t="shared" si="14"/>
        <v>100</v>
      </c>
      <c r="X26" s="1264"/>
      <c r="Y26" s="3492"/>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533"/>
      <c r="Q27" s="530">
        <f t="shared" si="11"/>
        <v>111</v>
      </c>
      <c r="R27" s="664" t="s">
        <v>18</v>
      </c>
      <c r="S27" s="665">
        <f t="shared" si="12"/>
        <v>100</v>
      </c>
      <c r="T27" s="664" t="s">
        <v>18</v>
      </c>
      <c r="U27" s="665">
        <f t="shared" si="13"/>
        <v>100</v>
      </c>
      <c r="V27" s="664" t="s">
        <v>18</v>
      </c>
      <c r="W27" s="665">
        <f t="shared" si="14"/>
        <v>100</v>
      </c>
      <c r="X27" s="666"/>
      <c r="Y27" s="3492"/>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533"/>
      <c r="Q28" s="1262">
        <f t="shared" si="11"/>
        <v>111</v>
      </c>
      <c r="R28" s="667" t="s">
        <v>18</v>
      </c>
      <c r="S28" s="668">
        <f t="shared" si="12"/>
        <v>100</v>
      </c>
      <c r="T28" s="667" t="s">
        <v>18</v>
      </c>
      <c r="U28" s="668">
        <f t="shared" si="13"/>
        <v>100</v>
      </c>
      <c r="V28" s="667" t="s">
        <v>18</v>
      </c>
      <c r="W28" s="668">
        <f t="shared" si="14"/>
        <v>100</v>
      </c>
      <c r="X28" s="1264"/>
      <c r="Y28" s="3492"/>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533"/>
      <c r="Q29" s="1262">
        <f t="shared" si="11"/>
        <v>111</v>
      </c>
      <c r="R29" s="667" t="s">
        <v>18</v>
      </c>
      <c r="S29" s="668">
        <f t="shared" si="12"/>
        <v>100</v>
      </c>
      <c r="T29" s="667" t="s">
        <v>18</v>
      </c>
      <c r="U29" s="668">
        <f t="shared" si="13"/>
        <v>100</v>
      </c>
      <c r="V29" s="667" t="s">
        <v>18</v>
      </c>
      <c r="W29" s="668">
        <f t="shared" si="14"/>
        <v>100</v>
      </c>
      <c r="X29" s="1264"/>
      <c r="Y29" s="349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533"/>
      <c r="Q30" s="1262">
        <f t="shared" si="11"/>
        <v>111</v>
      </c>
      <c r="R30" s="667" t="s">
        <v>18</v>
      </c>
      <c r="S30" s="668">
        <f t="shared" si="12"/>
        <v>100</v>
      </c>
      <c r="T30" s="667" t="s">
        <v>18</v>
      </c>
      <c r="U30" s="668">
        <f t="shared" si="13"/>
        <v>100</v>
      </c>
      <c r="V30" s="667" t="s">
        <v>18</v>
      </c>
      <c r="W30" s="668">
        <f t="shared" si="14"/>
        <v>100</v>
      </c>
      <c r="X30" s="1264"/>
      <c r="Y30" s="349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533"/>
      <c r="Q31" s="1262">
        <f t="shared" si="11"/>
        <v>111</v>
      </c>
      <c r="R31" s="667" t="s">
        <v>18</v>
      </c>
      <c r="S31" s="668">
        <f t="shared" si="12"/>
        <v>100</v>
      </c>
      <c r="T31" s="667" t="s">
        <v>18</v>
      </c>
      <c r="U31" s="668">
        <f t="shared" si="13"/>
        <v>100</v>
      </c>
      <c r="V31" s="667" t="s">
        <v>18</v>
      </c>
      <c r="W31" s="668">
        <f t="shared" si="14"/>
        <v>100</v>
      </c>
      <c r="X31" s="1264"/>
      <c r="Y31" s="3492"/>
      <c r="Z31" s="1263">
        <f t="shared" si="18"/>
        <v>111</v>
      </c>
      <c r="AA31" s="1263">
        <f t="shared" si="15"/>
        <v>1</v>
      </c>
      <c r="AB31" s="1263">
        <f t="shared" si="16"/>
        <v>1</v>
      </c>
      <c r="AC31" s="1263">
        <f t="shared" si="17"/>
        <v>1</v>
      </c>
    </row>
    <row r="32" spans="1:29" ht="15">
      <c r="A32" s="379" t="s">
        <v>1692</v>
      </c>
      <c r="B32" s="60" t="s">
        <v>1693</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528" t="s">
        <v>1694</v>
      </c>
      <c r="Q32" s="1262" t="str">
        <f t="shared" si="11"/>
        <v>建筑类型</v>
      </c>
      <c r="R32" s="667" t="s">
        <v>18</v>
      </c>
      <c r="S32" s="668">
        <f t="shared" si="12"/>
        <v>100</v>
      </c>
      <c r="T32" s="667" t="s">
        <v>18</v>
      </c>
      <c r="U32" s="668">
        <f t="shared" si="13"/>
        <v>100</v>
      </c>
      <c r="V32" s="667" t="s">
        <v>18</v>
      </c>
      <c r="W32" s="668">
        <f t="shared" si="14"/>
        <v>100</v>
      </c>
      <c r="X32" s="1264"/>
      <c r="Y32" s="3494" t="s">
        <v>1694</v>
      </c>
      <c r="Z32" s="1263" t="str">
        <f t="shared" si="18"/>
        <v>建筑类型</v>
      </c>
      <c r="AA32" s="1263">
        <f t="shared" si="15"/>
        <v>1</v>
      </c>
      <c r="AB32" s="1263">
        <f t="shared" si="16"/>
        <v>1</v>
      </c>
      <c r="AC32" s="1263">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529"/>
      <c r="Q33" s="531" t="str">
        <f t="shared" si="11"/>
        <v>项目建筑规模</v>
      </c>
      <c r="R33" s="669" t="s">
        <v>18</v>
      </c>
      <c r="S33" s="670" t="e">
        <f t="shared" si="12"/>
        <v>#N/A</v>
      </c>
      <c r="T33" s="669" t="s">
        <v>18</v>
      </c>
      <c r="U33" s="670" t="e">
        <f t="shared" si="13"/>
        <v>#N/A</v>
      </c>
      <c r="V33" s="669" t="s">
        <v>18</v>
      </c>
      <c r="W33" s="670" t="e">
        <f t="shared" si="14"/>
        <v>#N/A</v>
      </c>
      <c r="X33" s="671"/>
      <c r="Y33" s="3494"/>
      <c r="Z33" s="672" t="str">
        <f t="shared" si="18"/>
        <v>项目建筑规模</v>
      </c>
      <c r="AA33" s="1263" t="e">
        <f t="shared" si="15"/>
        <v>#N/A</v>
      </c>
      <c r="AB33" s="1263" t="e">
        <f t="shared" si="16"/>
        <v>#N/A</v>
      </c>
      <c r="AC33" s="1263" t="e">
        <f t="shared" si="17"/>
        <v>#N/A</v>
      </c>
    </row>
    <row r="34" spans="1:29" ht="15">
      <c r="A34" s="409"/>
      <c r="B34" s="364" t="s">
        <v>1696</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529"/>
      <c r="Q34" s="1262" t="str">
        <f t="shared" si="11"/>
        <v>建筑结构</v>
      </c>
      <c r="R34" s="667" t="s">
        <v>18</v>
      </c>
      <c r="S34" s="668">
        <f t="shared" si="12"/>
        <v>100</v>
      </c>
      <c r="T34" s="667" t="s">
        <v>18</v>
      </c>
      <c r="U34" s="668">
        <f t="shared" si="13"/>
        <v>100</v>
      </c>
      <c r="V34" s="667" t="s">
        <v>18</v>
      </c>
      <c r="W34" s="668">
        <f t="shared" si="14"/>
        <v>100</v>
      </c>
      <c r="X34" s="1264"/>
      <c r="Y34" s="3494"/>
      <c r="Z34" s="1263" t="str">
        <f t="shared" si="18"/>
        <v>建筑结构</v>
      </c>
      <c r="AA34" s="1263">
        <f t="shared" si="15"/>
        <v>1</v>
      </c>
      <c r="AB34" s="1263">
        <f t="shared" si="16"/>
        <v>1</v>
      </c>
      <c r="AC34" s="1263">
        <f t="shared" si="17"/>
        <v>1</v>
      </c>
    </row>
    <row r="35" spans="1:29" ht="15">
      <c r="A35" s="409"/>
      <c r="B35" s="364" t="s">
        <v>1697</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529"/>
      <c r="Q35" s="1262" t="str">
        <f t="shared" si="11"/>
        <v>建筑品质</v>
      </c>
      <c r="R35" s="667" t="s">
        <v>18</v>
      </c>
      <c r="S35" s="668">
        <f t="shared" si="12"/>
        <v>100</v>
      </c>
      <c r="T35" s="667" t="s">
        <v>18</v>
      </c>
      <c r="U35" s="668">
        <f t="shared" si="13"/>
        <v>100</v>
      </c>
      <c r="V35" s="667" t="s">
        <v>18</v>
      </c>
      <c r="W35" s="668">
        <f t="shared" si="14"/>
        <v>100</v>
      </c>
      <c r="X35" s="1264"/>
      <c r="Y35" s="3494"/>
      <c r="Z35" s="1263" t="str">
        <f t="shared" si="18"/>
        <v>建筑品质</v>
      </c>
      <c r="AA35" s="1263">
        <f t="shared" si="15"/>
        <v>1</v>
      </c>
      <c r="AB35" s="1263">
        <f t="shared" si="16"/>
        <v>1</v>
      </c>
      <c r="AC35" s="1263">
        <f t="shared" si="17"/>
        <v>1</v>
      </c>
    </row>
    <row r="36" spans="1:29" ht="15">
      <c r="A36" s="409"/>
      <c r="B36" s="364" t="s">
        <v>1698</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529"/>
      <c r="Q36" s="1262" t="str">
        <f t="shared" si="11"/>
        <v>公共部分装修</v>
      </c>
      <c r="R36" s="667" t="s">
        <v>18</v>
      </c>
      <c r="S36" s="668">
        <f t="shared" si="12"/>
        <v>100</v>
      </c>
      <c r="T36" s="667" t="s">
        <v>18</v>
      </c>
      <c r="U36" s="668">
        <f t="shared" si="13"/>
        <v>100</v>
      </c>
      <c r="V36" s="667" t="s">
        <v>18</v>
      </c>
      <c r="W36" s="668">
        <f t="shared" si="14"/>
        <v>100</v>
      </c>
      <c r="X36" s="1264"/>
      <c r="Y36" s="3494"/>
      <c r="Z36" s="1263" t="str">
        <f t="shared" si="18"/>
        <v>公共部分装修</v>
      </c>
      <c r="AA36" s="1263">
        <f t="shared" si="15"/>
        <v>1</v>
      </c>
      <c r="AB36" s="1263">
        <f t="shared" si="16"/>
        <v>1</v>
      </c>
      <c r="AC36" s="1263">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29"/>
      <c r="Q37" s="530" t="str">
        <f t="shared" si="11"/>
        <v>成新度</v>
      </c>
      <c r="R37" s="664" t="s">
        <v>18</v>
      </c>
      <c r="S37" s="665" t="e">
        <f t="shared" si="12"/>
        <v>#N/A</v>
      </c>
      <c r="T37" s="664" t="s">
        <v>18</v>
      </c>
      <c r="U37" s="665" t="e">
        <f t="shared" si="13"/>
        <v>#N/A</v>
      </c>
      <c r="V37" s="664" t="s">
        <v>18</v>
      </c>
      <c r="W37" s="665" t="e">
        <f t="shared" si="14"/>
        <v>#N/A</v>
      </c>
      <c r="X37" s="666"/>
      <c r="Y37" s="3494"/>
      <c r="Z37" s="50" t="str">
        <f t="shared" si="18"/>
        <v>成新度</v>
      </c>
      <c r="AA37" s="50" t="e">
        <f t="shared" si="15"/>
        <v>#N/A</v>
      </c>
      <c r="AB37" s="50" t="e">
        <f t="shared" si="16"/>
        <v>#N/A</v>
      </c>
      <c r="AC37" s="50" t="e">
        <f t="shared" si="17"/>
        <v>#N/A</v>
      </c>
    </row>
    <row r="38" spans="1:29" ht="15">
      <c r="A38" s="409"/>
      <c r="B38" s="364" t="s">
        <v>1700</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529" t="s">
        <v>1694</v>
      </c>
      <c r="Q38" s="1262" t="str">
        <f t="shared" si="11"/>
        <v>物业管理</v>
      </c>
      <c r="R38" s="667" t="s">
        <v>18</v>
      </c>
      <c r="S38" s="668">
        <f t="shared" si="12"/>
        <v>100</v>
      </c>
      <c r="T38" s="667" t="s">
        <v>18</v>
      </c>
      <c r="U38" s="668">
        <f t="shared" si="13"/>
        <v>100</v>
      </c>
      <c r="V38" s="667" t="s">
        <v>18</v>
      </c>
      <c r="W38" s="668">
        <f t="shared" si="14"/>
        <v>100</v>
      </c>
      <c r="X38" s="1264"/>
      <c r="Y38" s="3494" t="s">
        <v>1694</v>
      </c>
      <c r="Z38" s="1263" t="str">
        <f t="shared" si="18"/>
        <v>物业管理</v>
      </c>
      <c r="AA38" s="1263">
        <f t="shared" si="15"/>
        <v>1</v>
      </c>
      <c r="AB38" s="1263">
        <f t="shared" si="16"/>
        <v>1</v>
      </c>
      <c r="AC38" s="1263">
        <f t="shared" si="17"/>
        <v>1</v>
      </c>
    </row>
    <row r="39" spans="1:29" ht="15">
      <c r="A39" s="409"/>
      <c r="B39" s="364" t="s">
        <v>1701</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529"/>
      <c r="Q39" s="1262" t="str">
        <f t="shared" si="11"/>
        <v>市政基础设施</v>
      </c>
      <c r="R39" s="667" t="s">
        <v>18</v>
      </c>
      <c r="S39" s="668">
        <f t="shared" si="12"/>
        <v>100</v>
      </c>
      <c r="T39" s="667" t="s">
        <v>18</v>
      </c>
      <c r="U39" s="668">
        <f t="shared" si="13"/>
        <v>100</v>
      </c>
      <c r="V39" s="667" t="s">
        <v>18</v>
      </c>
      <c r="W39" s="668">
        <f t="shared" si="14"/>
        <v>100</v>
      </c>
      <c r="X39" s="1264"/>
      <c r="Y39" s="3494"/>
      <c r="Z39" s="1263" t="str">
        <f t="shared" si="18"/>
        <v>市政基础设施</v>
      </c>
      <c r="AA39" s="1263">
        <f t="shared" si="15"/>
        <v>1</v>
      </c>
      <c r="AB39" s="1263">
        <f t="shared" si="16"/>
        <v>1</v>
      </c>
      <c r="AC39" s="1263">
        <f t="shared" si="17"/>
        <v>1</v>
      </c>
    </row>
    <row r="40" spans="1:29" ht="15">
      <c r="A40" s="409"/>
      <c r="B40" s="364" t="s">
        <v>1702</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529"/>
      <c r="Q40" s="1262" t="str">
        <f t="shared" si="11"/>
        <v>房型</v>
      </c>
      <c r="R40" s="667" t="s">
        <v>18</v>
      </c>
      <c r="S40" s="668">
        <f t="shared" si="12"/>
        <v>100</v>
      </c>
      <c r="T40" s="667" t="s">
        <v>18</v>
      </c>
      <c r="U40" s="668">
        <f t="shared" si="13"/>
        <v>100</v>
      </c>
      <c r="V40" s="667" t="s">
        <v>18</v>
      </c>
      <c r="W40" s="668">
        <f t="shared" si="14"/>
        <v>100</v>
      </c>
      <c r="X40" s="1264"/>
      <c r="Y40" s="3494"/>
      <c r="Z40" s="1263" t="str">
        <f t="shared" si="18"/>
        <v>房型</v>
      </c>
      <c r="AA40" s="1263">
        <f t="shared" si="15"/>
        <v>1</v>
      </c>
      <c r="AB40" s="1263">
        <f t="shared" si="16"/>
        <v>1</v>
      </c>
      <c r="AC40" s="1263">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529"/>
      <c r="Q41" s="531" t="str">
        <f t="shared" si="11"/>
        <v>单套/主力户型建筑面积</v>
      </c>
      <c r="R41" s="669" t="s">
        <v>18</v>
      </c>
      <c r="S41" s="670">
        <f t="shared" si="12"/>
        <v>100</v>
      </c>
      <c r="T41" s="669" t="s">
        <v>18</v>
      </c>
      <c r="U41" s="670">
        <f t="shared" si="13"/>
        <v>100</v>
      </c>
      <c r="V41" s="669" t="s">
        <v>18</v>
      </c>
      <c r="W41" s="670">
        <f t="shared" si="14"/>
        <v>100</v>
      </c>
      <c r="X41" s="671"/>
      <c r="Y41" s="3494"/>
      <c r="Z41" s="672" t="str">
        <f t="shared" si="18"/>
        <v>单套/主力户型建筑面积</v>
      </c>
      <c r="AA41" s="1263">
        <f t="shared" si="15"/>
        <v>1</v>
      </c>
      <c r="AB41" s="1263">
        <f t="shared" si="16"/>
        <v>1</v>
      </c>
      <c r="AC41" s="1263">
        <f t="shared" si="17"/>
        <v>1</v>
      </c>
    </row>
    <row r="42" spans="1:29" ht="15">
      <c r="A42" s="409"/>
      <c r="B42" s="364" t="s">
        <v>1704</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529"/>
      <c r="Q42" s="1262" t="str">
        <f t="shared" si="11"/>
        <v>内部装修</v>
      </c>
      <c r="R42" s="667" t="s">
        <v>18</v>
      </c>
      <c r="S42" s="668">
        <f t="shared" si="12"/>
        <v>100</v>
      </c>
      <c r="T42" s="667" t="s">
        <v>18</v>
      </c>
      <c r="U42" s="668">
        <f t="shared" si="13"/>
        <v>100</v>
      </c>
      <c r="V42" s="667" t="s">
        <v>18</v>
      </c>
      <c r="W42" s="668">
        <f t="shared" si="14"/>
        <v>100</v>
      </c>
      <c r="X42" s="1264"/>
      <c r="Y42" s="3494"/>
      <c r="Z42" s="1263" t="str">
        <f t="shared" si="18"/>
        <v>内部装修</v>
      </c>
      <c r="AA42" s="1263">
        <f t="shared" si="15"/>
        <v>1</v>
      </c>
      <c r="AB42" s="1263">
        <f t="shared" si="16"/>
        <v>1</v>
      </c>
      <c r="AC42" s="1263">
        <f t="shared" si="17"/>
        <v>1</v>
      </c>
    </row>
    <row r="43" spans="1:29" ht="15">
      <c r="A43" s="409"/>
      <c r="B43" s="364" t="s">
        <v>1705</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529"/>
      <c r="Q43" s="1262" t="str">
        <f t="shared" si="11"/>
        <v>内部装修维护情况</v>
      </c>
      <c r="R43" s="667" t="s">
        <v>18</v>
      </c>
      <c r="S43" s="668">
        <f t="shared" si="12"/>
        <v>100</v>
      </c>
      <c r="T43" s="667" t="s">
        <v>18</v>
      </c>
      <c r="U43" s="668">
        <f t="shared" si="13"/>
        <v>100</v>
      </c>
      <c r="V43" s="667" t="s">
        <v>18</v>
      </c>
      <c r="W43" s="668">
        <f t="shared" si="14"/>
        <v>100</v>
      </c>
      <c r="X43" s="1264"/>
      <c r="Y43" s="3494"/>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529"/>
      <c r="Q44" s="530">
        <f t="shared" si="11"/>
        <v>111</v>
      </c>
      <c r="R44" s="664" t="s">
        <v>18</v>
      </c>
      <c r="S44" s="665">
        <f t="shared" si="12"/>
        <v>100</v>
      </c>
      <c r="T44" s="664" t="s">
        <v>18</v>
      </c>
      <c r="U44" s="665">
        <f t="shared" si="13"/>
        <v>100</v>
      </c>
      <c r="V44" s="664" t="s">
        <v>18</v>
      </c>
      <c r="W44" s="665">
        <f t="shared" si="14"/>
        <v>100</v>
      </c>
      <c r="X44" s="666"/>
      <c r="Y44" s="34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529"/>
      <c r="Q45" s="1262">
        <f t="shared" si="11"/>
        <v>111</v>
      </c>
      <c r="R45" s="667" t="s">
        <v>18</v>
      </c>
      <c r="S45" s="668">
        <f t="shared" si="12"/>
        <v>100</v>
      </c>
      <c r="T45" s="667" t="s">
        <v>18</v>
      </c>
      <c r="U45" s="668">
        <f t="shared" si="13"/>
        <v>100</v>
      </c>
      <c r="V45" s="667" t="s">
        <v>18</v>
      </c>
      <c r="W45" s="668">
        <f t="shared" si="14"/>
        <v>100</v>
      </c>
      <c r="X45" s="1264"/>
      <c r="Y45" s="349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530"/>
      <c r="Q46" s="1262">
        <f t="shared" si="11"/>
        <v>111</v>
      </c>
      <c r="R46" s="667" t="s">
        <v>17</v>
      </c>
      <c r="S46" s="668">
        <f t="shared" si="12"/>
        <v>100</v>
      </c>
      <c r="T46" s="667" t="s">
        <v>17</v>
      </c>
      <c r="U46" s="668">
        <f t="shared" si="13"/>
        <v>100</v>
      </c>
      <c r="V46" s="667" t="s">
        <v>17</v>
      </c>
      <c r="W46" s="668">
        <f t="shared" si="14"/>
        <v>100</v>
      </c>
      <c r="X46" s="1264"/>
      <c r="Y46" s="3531"/>
      <c r="Z46" s="1263">
        <f t="shared" si="18"/>
        <v>111</v>
      </c>
      <c r="AA46" s="1263">
        <f t="shared" si="15"/>
        <v>1</v>
      </c>
      <c r="AB46" s="1263">
        <f t="shared" si="16"/>
        <v>1</v>
      </c>
      <c r="AC46" s="1263">
        <f t="shared" si="17"/>
        <v>1</v>
      </c>
    </row>
    <row r="47" spans="1:29" ht="15">
      <c r="A47" s="416" t="s">
        <v>1706</v>
      </c>
      <c r="B47" s="417"/>
      <c r="C47" s="1081" t="s">
        <v>16</v>
      </c>
      <c r="D47" s="418"/>
      <c r="E47" s="419"/>
      <c r="F47" s="420"/>
      <c r="G47" s="421"/>
      <c r="H47" s="422"/>
      <c r="I47" s="419"/>
      <c r="J47" s="422"/>
      <c r="K47" s="1766"/>
      <c r="L47" s="2494"/>
      <c r="M47" s="2487"/>
      <c r="N47" s="2487"/>
      <c r="O47" s="2487"/>
      <c r="P47" s="3476" t="str">
        <f>A47</f>
        <v>成交单价（元/平方米）</v>
      </c>
      <c r="Q47" s="3476"/>
      <c r="R47" s="3489">
        <f>E47</f>
        <v>0</v>
      </c>
      <c r="S47" s="3489"/>
      <c r="T47" s="3489">
        <f>G47</f>
        <v>0</v>
      </c>
      <c r="U47" s="3489"/>
      <c r="V47" s="3489">
        <f>I47</f>
        <v>0</v>
      </c>
      <c r="W47" s="3489"/>
      <c r="X47" s="385"/>
      <c r="Y47" s="673"/>
      <c r="Z47" s="385"/>
      <c r="AA47" s="385"/>
      <c r="AB47" s="385"/>
      <c r="AC47" s="385"/>
    </row>
    <row r="48" spans="1:29" ht="15.75" thickBot="1">
      <c r="A48" s="423" t="s">
        <v>1707</v>
      </c>
      <c r="B48" s="424"/>
      <c r="C48" s="1082" t="e">
        <f>R49</f>
        <v>#DIV/0!</v>
      </c>
      <c r="D48" s="2140" t="s">
        <v>2136</v>
      </c>
      <c r="E48" s="1083" t="e">
        <f>R48</f>
        <v>#DIV/0!</v>
      </c>
      <c r="F48" s="2141"/>
      <c r="G48" s="1082" t="e">
        <f>T48</f>
        <v>#DIV/0!</v>
      </c>
      <c r="H48" s="2141"/>
      <c r="I48" s="1083" t="e">
        <f>V48</f>
        <v>#DIV/0!</v>
      </c>
      <c r="J48" s="2141"/>
      <c r="K48" s="2142">
        <f>F48+H48+J48</f>
        <v>0</v>
      </c>
      <c r="L48" s="2494"/>
      <c r="M48" s="2487"/>
      <c r="N48" s="2487"/>
      <c r="O48" s="2487"/>
      <c r="P48" s="3476" t="str">
        <f>A48</f>
        <v>比较价值（元/平方米）</v>
      </c>
      <c r="Q48" s="3476"/>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385"/>
      <c r="Y48" s="385"/>
      <c r="Z48" s="385"/>
      <c r="AA48" s="385"/>
      <c r="AB48" s="385"/>
      <c r="AC48" s="385"/>
    </row>
    <row r="49" spans="1:29" ht="15.75" thickBot="1">
      <c r="A49" s="427" t="s">
        <v>1708</v>
      </c>
      <c r="B49" s="428"/>
      <c r="C49" s="1084" t="e">
        <f>R49</f>
        <v>#DIV/0!</v>
      </c>
      <c r="D49" s="351"/>
      <c r="E49" s="351"/>
      <c r="F49" s="351"/>
      <c r="G49" s="351"/>
      <c r="H49" s="351"/>
      <c r="I49" s="351"/>
      <c r="J49" s="351"/>
      <c r="K49" s="1767"/>
      <c r="L49" s="2494"/>
      <c r="M49" s="2487"/>
      <c r="N49" s="2487"/>
      <c r="O49" s="2487"/>
      <c r="P49" s="3496" t="str">
        <f>A49</f>
        <v>估价对象XX用房的比较价值（楼面单价，元/平方米）</v>
      </c>
      <c r="Q49" s="3497"/>
      <c r="R49" s="3527" t="e">
        <f>IF(F1="售价",ROUND(IF(D48="简单平均",AVERAGE(R48:V48),R48*F48+T48*H48+V48*J48),0),ROUND(IF(D48="简单平均",AVERAGE(R48:V48),R48*F48+T48*H48+V48*J48),1))</f>
        <v>#DIV/0!</v>
      </c>
      <c r="S49" s="3527"/>
      <c r="T49" s="3527"/>
      <c r="U49" s="3527"/>
      <c r="V49" s="3527"/>
      <c r="W49" s="35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1712</v>
      </c>
      <c r="B57" s="385"/>
      <c r="C57" s="659"/>
      <c r="D57" s="659"/>
      <c r="E57" s="659"/>
      <c r="F57" s="660"/>
      <c r="G57" s="660"/>
      <c r="H57" s="659"/>
      <c r="I57" s="659"/>
      <c r="J57" s="659"/>
      <c r="K57" s="887"/>
      <c r="L57" s="888"/>
      <c r="M57" s="886"/>
      <c r="N57" s="886"/>
      <c r="O57" s="886"/>
      <c r="P57" s="1770"/>
      <c r="Q57" s="439"/>
    </row>
    <row r="58" spans="1:29" s="442" customFormat="1" ht="15">
      <c r="A58" s="440" t="s">
        <v>1713</v>
      </c>
      <c r="B58" s="441"/>
      <c r="C58" s="1104" t="str">
        <f>YEAR(C7)&amp;"-"&amp;MONTH(C7)</f>
        <v>2024-9</v>
      </c>
      <c r="D58" s="1103">
        <f>EDATE(C58,-1)</f>
        <v>45505</v>
      </c>
      <c r="E58" s="1103">
        <f>EDATE(D58,-1)</f>
        <v>45474</v>
      </c>
      <c r="F58" s="1103">
        <f t="shared" ref="F58:O58" si="19">EDATE(E58,-1)</f>
        <v>45444</v>
      </c>
      <c r="G58" s="1103">
        <f t="shared" si="19"/>
        <v>45413</v>
      </c>
      <c r="H58" s="1103">
        <f t="shared" si="19"/>
        <v>45383</v>
      </c>
      <c r="I58" s="1103">
        <f t="shared" si="19"/>
        <v>45352</v>
      </c>
      <c r="J58" s="1103">
        <f t="shared" si="19"/>
        <v>45323</v>
      </c>
      <c r="K58" s="1103">
        <f t="shared" si="19"/>
        <v>45292</v>
      </c>
      <c r="L58" s="1103">
        <f t="shared" si="19"/>
        <v>45261</v>
      </c>
      <c r="M58" s="1103">
        <f t="shared" si="19"/>
        <v>45231</v>
      </c>
      <c r="N58" s="1103">
        <f t="shared" si="19"/>
        <v>45200</v>
      </c>
      <c r="O58" s="1103">
        <f t="shared" si="19"/>
        <v>45170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1714</v>
      </c>
      <c r="B60" s="450"/>
      <c r="C60" s="451"/>
      <c r="D60" s="452"/>
      <c r="E60" s="452"/>
      <c r="F60" s="452"/>
      <c r="G60" s="452"/>
      <c r="H60" s="452"/>
      <c r="I60" s="452"/>
      <c r="J60" s="452"/>
      <c r="K60" s="452"/>
      <c r="L60" s="452"/>
      <c r="M60" s="453"/>
      <c r="N60" s="452"/>
      <c r="O60" s="453"/>
      <c r="P60" s="1772"/>
      <c r="Q60" s="439"/>
    </row>
    <row r="61" spans="1:29" s="102" customFormat="1" ht="15">
      <c r="A61" s="455" t="s">
        <v>1715</v>
      </c>
      <c r="B61" s="444"/>
      <c r="C61" s="456" t="s">
        <v>1716</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1717</v>
      </c>
      <c r="B63" s="460" t="s">
        <v>1683</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1686</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1732</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1733</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1692</v>
      </c>
      <c r="B100" s="460" t="s">
        <v>1734</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1736</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1737</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1738</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1739</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1740</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1741</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1742</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9" t="s">
        <v>1747</v>
      </c>
      <c r="D138" s="129" t="s">
        <v>1748</v>
      </c>
      <c r="E138" s="1788" t="s">
        <v>1749</v>
      </c>
      <c r="F138" s="1789" t="s">
        <v>1750</v>
      </c>
      <c r="G138" s="129" t="s">
        <v>1748</v>
      </c>
      <c r="H138" s="130" t="s">
        <v>1749</v>
      </c>
      <c r="I138" s="1790"/>
      <c r="J138" s="129" t="s">
        <v>1751</v>
      </c>
      <c r="K138" s="130" t="s">
        <v>1752</v>
      </c>
    </row>
    <row r="139" spans="1:17" ht="15">
      <c r="B139" s="814">
        <v>6</v>
      </c>
      <c r="C139" s="815">
        <v>96</v>
      </c>
      <c r="D139" s="1791" t="s">
        <v>1753</v>
      </c>
      <c r="E139" s="816">
        <v>100</v>
      </c>
      <c r="F139" s="817">
        <v>102.5</v>
      </c>
      <c r="G139" s="1791" t="s">
        <v>1753</v>
      </c>
      <c r="H139" s="818">
        <v>105</v>
      </c>
      <c r="I139" s="1792" t="s">
        <v>1754</v>
      </c>
      <c r="J139" s="815">
        <v>20</v>
      </c>
      <c r="K139" s="819">
        <f>C145/(J139-2)</f>
        <v>4.0555555555555553E-3</v>
      </c>
    </row>
    <row r="140" spans="1:17" ht="15">
      <c r="B140" s="820">
        <v>5</v>
      </c>
      <c r="C140" s="821">
        <v>100</v>
      </c>
      <c r="D140" s="821"/>
      <c r="E140" s="822"/>
      <c r="F140" s="823">
        <v>102</v>
      </c>
      <c r="G140" s="821"/>
      <c r="H140" s="824"/>
      <c r="I140" s="1793" t="s">
        <v>1755</v>
      </c>
      <c r="J140" s="263">
        <f>ROUNDUP((J139-1)/2,0)</f>
        <v>10</v>
      </c>
      <c r="K140" s="825">
        <v>100</v>
      </c>
    </row>
    <row r="141" spans="1:17" ht="15">
      <c r="B141" s="820">
        <v>4</v>
      </c>
      <c r="C141" s="821">
        <v>102</v>
      </c>
      <c r="D141" s="821"/>
      <c r="E141" s="822"/>
      <c r="F141" s="823">
        <v>101.5</v>
      </c>
      <c r="G141" s="821"/>
      <c r="H141" s="824"/>
      <c r="I141" s="1793" t="s">
        <v>1756</v>
      </c>
      <c r="J141" s="263">
        <v>1</v>
      </c>
      <c r="K141" s="826">
        <f>ROUND(100+(J141-J140)*K139*100,1)</f>
        <v>96.4</v>
      </c>
    </row>
    <row r="142" spans="1:17" ht="15">
      <c r="B142" s="820">
        <v>3</v>
      </c>
      <c r="C142" s="821">
        <v>103</v>
      </c>
      <c r="D142" s="821"/>
      <c r="E142" s="822"/>
      <c r="F142" s="823">
        <v>101</v>
      </c>
      <c r="G142" s="821"/>
      <c r="H142" s="824"/>
      <c r="I142" s="1793" t="s">
        <v>1757</v>
      </c>
      <c r="J142" s="263">
        <f>J139</f>
        <v>20</v>
      </c>
      <c r="K142" s="827">
        <v>95</v>
      </c>
    </row>
    <row r="143" spans="1:17" ht="15">
      <c r="B143" s="820">
        <v>2</v>
      </c>
      <c r="C143" s="821">
        <v>100</v>
      </c>
      <c r="D143" s="821"/>
      <c r="E143" s="822"/>
      <c r="F143" s="823">
        <v>100.5</v>
      </c>
      <c r="G143" s="821"/>
      <c r="H143" s="824"/>
      <c r="I143" s="1793" t="s">
        <v>1758</v>
      </c>
      <c r="J143" s="821">
        <v>15</v>
      </c>
      <c r="K143" s="826">
        <f>ROUND(100+(J143-J140)*K139*100,1)</f>
        <v>102</v>
      </c>
    </row>
    <row r="144" spans="1:17" ht="15">
      <c r="B144" s="820">
        <v>1</v>
      </c>
      <c r="C144" s="821">
        <v>98</v>
      </c>
      <c r="D144" s="1794" t="s">
        <v>1759</v>
      </c>
      <c r="E144" s="822">
        <v>102</v>
      </c>
      <c r="F144" s="828">
        <v>100</v>
      </c>
      <c r="G144" s="1794" t="s">
        <v>1759</v>
      </c>
      <c r="H144" s="824">
        <v>105</v>
      </c>
      <c r="I144" s="1793" t="s">
        <v>1758</v>
      </c>
      <c r="J144" s="821">
        <v>18</v>
      </c>
      <c r="K144" s="826">
        <f>ROUND(100+(J144-J140)*K139*100,1)</f>
        <v>103.2</v>
      </c>
    </row>
    <row r="145" spans="2:11" ht="15.75" thickBot="1">
      <c r="B145" s="1795" t="s">
        <v>1760</v>
      </c>
      <c r="C145" s="829">
        <f>ROUND(MAX(C139:C144)/MIN(C139:C144)-1,3)</f>
        <v>7.2999999999999995E-2</v>
      </c>
      <c r="D145" s="830"/>
      <c r="E145" s="830"/>
      <c r="F145" s="1796" t="s">
        <v>1761</v>
      </c>
      <c r="G145" s="1797"/>
      <c r="H145" s="1798"/>
      <c r="I145" s="1799" t="s">
        <v>1758</v>
      </c>
      <c r="J145" s="831">
        <v>8</v>
      </c>
      <c r="K145" s="832">
        <f>ROUND(100+(J145-J140)*K139*100,1)</f>
        <v>99.2</v>
      </c>
    </row>
    <row r="147" spans="2:11">
      <c r="B147" s="1780" t="s">
        <v>1762</v>
      </c>
    </row>
    <row r="148" spans="2:11">
      <c r="B148" s="1780"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1658</v>
      </c>
      <c r="B1" s="1733" t="s">
        <v>1764</v>
      </c>
      <c r="C1" s="1154" t="s">
        <v>1660</v>
      </c>
      <c r="D1" s="1141"/>
      <c r="E1" s="3124"/>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1460</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1461</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1462</v>
      </c>
      <c r="B3" s="536">
        <f>IF(C2="——",C49,ROUND(B2*10000/D3,0))</f>
        <v>0</v>
      </c>
      <c r="C3" s="344" t="s">
        <v>1766</v>
      </c>
      <c r="D3" s="343">
        <f>IF(D1="",'数据-汇总表'!E3,SUMIF('数据-汇总表'!$C19:$C33,D1,'数据-汇总表'!$E19:$E33))</f>
        <v>36323.870000000003</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1767</v>
      </c>
      <c r="B4" s="346"/>
      <c r="C4" s="3477" t="s">
        <v>1768</v>
      </c>
      <c r="D4" s="3478"/>
      <c r="E4" s="3479" t="s">
        <v>1769</v>
      </c>
      <c r="F4" s="3480"/>
      <c r="G4" s="3477" t="s">
        <v>1770</v>
      </c>
      <c r="H4" s="3478"/>
      <c r="I4" s="3477" t="s">
        <v>1771</v>
      </c>
      <c r="J4" s="3478"/>
      <c r="K4" s="537" t="s">
        <v>1772</v>
      </c>
      <c r="L4" s="2486"/>
      <c r="M4" s="2487"/>
      <c r="N4" s="2487"/>
      <c r="O4" s="2487"/>
      <c r="P4" s="3481" t="s">
        <v>1773</v>
      </c>
      <c r="Q4" s="3482"/>
      <c r="R4" s="3464" t="s">
        <v>1769</v>
      </c>
      <c r="S4" s="3465"/>
      <c r="T4" s="3464" t="s">
        <v>1770</v>
      </c>
      <c r="U4" s="3465"/>
      <c r="V4" s="3489" t="s">
        <v>1771</v>
      </c>
      <c r="W4" s="3489"/>
      <c r="X4" s="1264"/>
      <c r="Y4" s="3464" t="s">
        <v>1773</v>
      </c>
      <c r="Z4" s="3465"/>
      <c r="AA4" s="3459" t="s">
        <v>1769</v>
      </c>
      <c r="AB4" s="3489" t="s">
        <v>1770</v>
      </c>
      <c r="AC4" s="3459" t="s">
        <v>1771</v>
      </c>
    </row>
    <row r="5" spans="1:29" ht="15">
      <c r="A5" s="348"/>
      <c r="B5" s="349"/>
      <c r="C5" s="3470" t="s">
        <v>1671</v>
      </c>
      <c r="D5" s="3471"/>
      <c r="E5" s="3468" t="s">
        <v>1672</v>
      </c>
      <c r="F5" s="3469"/>
      <c r="G5" s="3470" t="s">
        <v>1673</v>
      </c>
      <c r="H5" s="3471"/>
      <c r="I5" s="3470" t="s">
        <v>1674</v>
      </c>
      <c r="J5" s="3471"/>
      <c r="K5" s="537"/>
      <c r="L5" s="2486"/>
      <c r="M5" s="2487"/>
      <c r="N5" s="2487"/>
      <c r="O5" s="2487"/>
      <c r="P5" s="3483"/>
      <c r="Q5" s="3484"/>
      <c r="R5" s="3466"/>
      <c r="S5" s="3467"/>
      <c r="T5" s="3466"/>
      <c r="U5" s="3467"/>
      <c r="V5" s="3489"/>
      <c r="W5" s="3489"/>
      <c r="X5" s="1264"/>
      <c r="Y5" s="3466"/>
      <c r="Z5" s="3467"/>
      <c r="AA5" s="3460"/>
      <c r="AB5" s="3489"/>
      <c r="AC5" s="3460"/>
    </row>
    <row r="6" spans="1:29" ht="15.75" thickBot="1">
      <c r="A6" s="350"/>
      <c r="B6" s="351"/>
      <c r="C6" s="3472" t="s">
        <v>1675</v>
      </c>
      <c r="D6" s="3473"/>
      <c r="E6" s="3474" t="s">
        <v>1675</v>
      </c>
      <c r="F6" s="3475"/>
      <c r="G6" s="3472" t="s">
        <v>1675</v>
      </c>
      <c r="H6" s="3473"/>
      <c r="I6" s="3472" t="s">
        <v>1675</v>
      </c>
      <c r="J6" s="3473"/>
      <c r="K6" s="537" t="s">
        <v>1676</v>
      </c>
      <c r="L6" s="2486"/>
      <c r="M6" s="2487"/>
      <c r="N6" s="2487"/>
      <c r="O6" s="2487"/>
      <c r="P6" s="3485"/>
      <c r="Q6" s="3486"/>
      <c r="R6" s="3466"/>
      <c r="S6" s="3467"/>
      <c r="T6" s="3487"/>
      <c r="U6" s="3488"/>
      <c r="V6" s="3489"/>
      <c r="W6" s="3489"/>
      <c r="X6" s="1264"/>
      <c r="Y6" s="3487"/>
      <c r="Z6" s="3488"/>
      <c r="AA6" s="3461"/>
      <c r="AB6" s="3489"/>
      <c r="AC6" s="3461"/>
    </row>
    <row r="7" spans="1:29" s="102" customFormat="1" ht="15.75" thickBot="1">
      <c r="A7" s="352" t="s">
        <v>1677</v>
      </c>
      <c r="B7" s="353"/>
      <c r="C7" s="354">
        <f>'数据-取费表'!B2</f>
        <v>45565</v>
      </c>
      <c r="D7" s="355">
        <v>100</v>
      </c>
      <c r="E7" s="356"/>
      <c r="F7" s="357">
        <f>SUMIF(58:58,YEAR(E7)&amp;"-"&amp;MONTH(E7),59:59)</f>
        <v>0</v>
      </c>
      <c r="G7" s="356"/>
      <c r="H7" s="355">
        <f>SUMIF(58:58,YEAR(G7)&amp;"-"&amp;MONTH(G7),59:59)</f>
        <v>0</v>
      </c>
      <c r="I7" s="356"/>
      <c r="J7" s="355">
        <f>SUMIF(58:58,YEAR(I7)&amp;"-"&amp;MONTH(I7),59:59)</f>
        <v>0</v>
      </c>
      <c r="K7" s="38"/>
      <c r="L7" s="2488"/>
      <c r="M7" s="2439"/>
      <c r="N7" s="2439"/>
      <c r="O7" s="2439"/>
      <c r="P7" s="3462" t="s">
        <v>1678</v>
      </c>
      <c r="Q7" s="3490"/>
      <c r="R7" s="664" t="s">
        <v>14</v>
      </c>
      <c r="S7" s="665">
        <f t="shared" ref="S7:S15" si="0">F7</f>
        <v>0</v>
      </c>
      <c r="T7" s="664" t="s">
        <v>14</v>
      </c>
      <c r="U7" s="665">
        <f t="shared" ref="U7:U15" si="1">H7</f>
        <v>0</v>
      </c>
      <c r="V7" s="664" t="s">
        <v>14</v>
      </c>
      <c r="W7" s="665">
        <f t="shared" ref="W7:W15" si="2">J7</f>
        <v>0</v>
      </c>
      <c r="X7" s="666"/>
      <c r="Y7" s="3462" t="s">
        <v>1678</v>
      </c>
      <c r="Z7" s="3463"/>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62" t="s">
        <v>1681</v>
      </c>
      <c r="Q8" s="3463"/>
      <c r="R8" s="664" t="s">
        <v>14</v>
      </c>
      <c r="S8" s="665">
        <f t="shared" si="0"/>
        <v>100</v>
      </c>
      <c r="T8" s="664" t="s">
        <v>14</v>
      </c>
      <c r="U8" s="665">
        <f t="shared" si="1"/>
        <v>100</v>
      </c>
      <c r="V8" s="664" t="s">
        <v>14</v>
      </c>
      <c r="W8" s="665">
        <f t="shared" si="2"/>
        <v>100</v>
      </c>
      <c r="X8" s="666"/>
      <c r="Y8" s="3462" t="s">
        <v>1681</v>
      </c>
      <c r="Z8" s="3463"/>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00" t="s">
        <v>1684</v>
      </c>
      <c r="Q9" s="530" t="str">
        <f t="shared" ref="Q9:Q15" si="6">B9</f>
        <v>用途</v>
      </c>
      <c r="R9" s="664" t="s">
        <v>14</v>
      </c>
      <c r="S9" s="665">
        <f t="shared" si="0"/>
        <v>100</v>
      </c>
      <c r="T9" s="664" t="s">
        <v>14</v>
      </c>
      <c r="U9" s="665">
        <f t="shared" si="1"/>
        <v>100</v>
      </c>
      <c r="V9" s="664" t="s">
        <v>14</v>
      </c>
      <c r="W9" s="665">
        <f t="shared" si="2"/>
        <v>100</v>
      </c>
      <c r="X9" s="666"/>
      <c r="Y9" s="3432" t="s">
        <v>1685</v>
      </c>
      <c r="Z9" s="50" t="str">
        <f t="shared" ref="Z9:Z15" si="7">Q9</f>
        <v>用途</v>
      </c>
      <c r="AA9" s="50">
        <f t="shared" si="3"/>
        <v>1</v>
      </c>
      <c r="AB9" s="50">
        <f t="shared" si="4"/>
        <v>1</v>
      </c>
      <c r="AC9" s="50">
        <f t="shared" si="5"/>
        <v>1</v>
      </c>
    </row>
    <row r="10" spans="1:29" s="366" customFormat="1" ht="27">
      <c r="A10" s="363"/>
      <c r="B10" s="364" t="s">
        <v>1686</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00"/>
      <c r="Q10" s="530" t="str">
        <f t="shared" si="6"/>
        <v>土地使用年限（年）</v>
      </c>
      <c r="R10" s="664" t="s">
        <v>14</v>
      </c>
      <c r="S10" s="665">
        <f t="shared" si="0"/>
        <v>100</v>
      </c>
      <c r="T10" s="664" t="s">
        <v>14</v>
      </c>
      <c r="U10" s="665">
        <f t="shared" si="1"/>
        <v>100</v>
      </c>
      <c r="V10" s="664" t="s">
        <v>14</v>
      </c>
      <c r="W10" s="665">
        <f t="shared" si="2"/>
        <v>100</v>
      </c>
      <c r="X10" s="666"/>
      <c r="Y10" s="343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500"/>
      <c r="Q11" s="530" t="str">
        <f t="shared" si="6"/>
        <v>容积率</v>
      </c>
      <c r="R11" s="664" t="s">
        <v>14</v>
      </c>
      <c r="S11" s="665" t="e">
        <f t="shared" si="0"/>
        <v>#N/A</v>
      </c>
      <c r="T11" s="664" t="s">
        <v>14</v>
      </c>
      <c r="U11" s="665" t="e">
        <f t="shared" si="1"/>
        <v>#N/A</v>
      </c>
      <c r="V11" s="664" t="s">
        <v>14</v>
      </c>
      <c r="W11" s="665" t="e">
        <f t="shared" si="2"/>
        <v>#N/A</v>
      </c>
      <c r="X11" s="666"/>
      <c r="Y11" s="34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00"/>
      <c r="Q12" s="530">
        <f t="shared" si="6"/>
        <v>111</v>
      </c>
      <c r="R12" s="664" t="s">
        <v>14</v>
      </c>
      <c r="S12" s="665">
        <f t="shared" si="0"/>
        <v>100</v>
      </c>
      <c r="T12" s="664" t="s">
        <v>14</v>
      </c>
      <c r="U12" s="665">
        <f t="shared" si="1"/>
        <v>100</v>
      </c>
      <c r="V12" s="664" t="s">
        <v>14</v>
      </c>
      <c r="W12" s="665">
        <f t="shared" si="2"/>
        <v>100</v>
      </c>
      <c r="X12" s="666"/>
      <c r="Y12" s="34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00"/>
      <c r="Q13" s="530">
        <f t="shared" si="6"/>
        <v>111</v>
      </c>
      <c r="R13" s="664" t="s">
        <v>14</v>
      </c>
      <c r="S13" s="665">
        <f t="shared" si="0"/>
        <v>100</v>
      </c>
      <c r="T13" s="664" t="s">
        <v>14</v>
      </c>
      <c r="U13" s="665">
        <f t="shared" si="1"/>
        <v>100</v>
      </c>
      <c r="V13" s="664" t="s">
        <v>14</v>
      </c>
      <c r="W13" s="665">
        <f t="shared" si="2"/>
        <v>100</v>
      </c>
      <c r="X13" s="666"/>
      <c r="Y13" s="343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00"/>
      <c r="Q14" s="530">
        <f t="shared" si="6"/>
        <v>111</v>
      </c>
      <c r="R14" s="664" t="s">
        <v>14</v>
      </c>
      <c r="S14" s="665">
        <f t="shared" si="0"/>
        <v>100</v>
      </c>
      <c r="T14" s="664" t="s">
        <v>14</v>
      </c>
      <c r="U14" s="665">
        <f t="shared" si="1"/>
        <v>100</v>
      </c>
      <c r="V14" s="664" t="s">
        <v>14</v>
      </c>
      <c r="W14" s="665">
        <f t="shared" si="2"/>
        <v>100</v>
      </c>
      <c r="X14" s="666"/>
      <c r="Y14" s="3432"/>
      <c r="Z14" s="50">
        <f t="shared" si="7"/>
        <v>111</v>
      </c>
      <c r="AA14" s="50">
        <f t="shared" si="3"/>
        <v>1</v>
      </c>
      <c r="AB14" s="50">
        <f t="shared" si="4"/>
        <v>1</v>
      </c>
      <c r="AC14" s="50">
        <f t="shared" si="5"/>
        <v>1</v>
      </c>
    </row>
    <row r="15" spans="1:29" ht="71.25">
      <c r="A15" s="379" t="s">
        <v>1688</v>
      </c>
      <c r="B15" s="58" t="s">
        <v>1775</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32" t="s">
        <v>1689</v>
      </c>
      <c r="Q15" s="1262" t="str">
        <f t="shared" si="6"/>
        <v>商业繁华度</v>
      </c>
      <c r="R15" s="667" t="s">
        <v>14</v>
      </c>
      <c r="S15" s="668">
        <f t="shared" si="0"/>
        <v>100</v>
      </c>
      <c r="T15" s="667" t="s">
        <v>14</v>
      </c>
      <c r="U15" s="668">
        <f t="shared" si="1"/>
        <v>100</v>
      </c>
      <c r="V15" s="667" t="s">
        <v>14</v>
      </c>
      <c r="W15" s="668">
        <f t="shared" si="2"/>
        <v>100</v>
      </c>
      <c r="X15" s="1264"/>
      <c r="Y15" s="3491" t="s">
        <v>1689</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533"/>
      <c r="Q16" s="1262"/>
      <c r="R16" s="667"/>
      <c r="S16" s="668"/>
      <c r="T16" s="667"/>
      <c r="U16" s="668"/>
      <c r="V16" s="667"/>
      <c r="W16" s="668"/>
      <c r="X16" s="1264"/>
      <c r="Y16" s="3492"/>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33"/>
      <c r="Q17" s="1262" t="str">
        <f>B17</f>
        <v>交通便捷度</v>
      </c>
      <c r="R17" s="667" t="s">
        <v>14</v>
      </c>
      <c r="S17" s="668">
        <f>F17</f>
        <v>100</v>
      </c>
      <c r="T17" s="667" t="s">
        <v>14</v>
      </c>
      <c r="U17" s="668">
        <f>H17</f>
        <v>100</v>
      </c>
      <c r="V17" s="667" t="s">
        <v>14</v>
      </c>
      <c r="W17" s="668">
        <f>J17</f>
        <v>100</v>
      </c>
      <c r="X17" s="1264"/>
      <c r="Y17" s="34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533"/>
      <c r="Q18" s="1262"/>
      <c r="R18" s="667"/>
      <c r="S18" s="668"/>
      <c r="T18" s="667"/>
      <c r="U18" s="668"/>
      <c r="V18" s="667"/>
      <c r="W18" s="668"/>
      <c r="X18" s="1264"/>
      <c r="Y18" s="3492"/>
      <c r="Z18" s="1263"/>
      <c r="AA18" s="1263">
        <v>1</v>
      </c>
      <c r="AB18" s="1263">
        <v>1</v>
      </c>
      <c r="AC18" s="1263">
        <v>1</v>
      </c>
    </row>
    <row r="19" spans="1:29" ht="42.75">
      <c r="A19" s="367"/>
      <c r="B19" s="390" t="s">
        <v>1776</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33"/>
      <c r="Q19" s="1262" t="str">
        <f>B19</f>
        <v>公共配套设施</v>
      </c>
      <c r="R19" s="667" t="s">
        <v>14</v>
      </c>
      <c r="S19" s="668">
        <f>F19</f>
        <v>100</v>
      </c>
      <c r="T19" s="667" t="s">
        <v>14</v>
      </c>
      <c r="U19" s="668">
        <f>H19</f>
        <v>100</v>
      </c>
      <c r="V19" s="667" t="s">
        <v>14</v>
      </c>
      <c r="W19" s="668">
        <f>J19</f>
        <v>100</v>
      </c>
      <c r="X19" s="1264"/>
      <c r="Y19" s="34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533"/>
      <c r="Q20" s="1262"/>
      <c r="R20" s="667"/>
      <c r="S20" s="668"/>
      <c r="T20" s="667"/>
      <c r="U20" s="668"/>
      <c r="V20" s="667"/>
      <c r="W20" s="668"/>
      <c r="X20" s="1264"/>
      <c r="Y20" s="3492"/>
      <c r="Z20" s="1263"/>
      <c r="AA20" s="1263">
        <v>1</v>
      </c>
      <c r="AB20" s="1263">
        <v>1</v>
      </c>
      <c r="AC20" s="1263">
        <v>1</v>
      </c>
    </row>
    <row r="21" spans="1:29" ht="28.5">
      <c r="A21" s="367"/>
      <c r="B21" s="586" t="s">
        <v>1777</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33"/>
      <c r="Q21" s="1262" t="str">
        <f>B21</f>
        <v>基础设施水平</v>
      </c>
      <c r="R21" s="667" t="s">
        <v>14</v>
      </c>
      <c r="S21" s="668">
        <f>F21</f>
        <v>100</v>
      </c>
      <c r="T21" s="667" t="s">
        <v>14</v>
      </c>
      <c r="U21" s="668">
        <f>H21</f>
        <v>100</v>
      </c>
      <c r="V21" s="667" t="s">
        <v>14</v>
      </c>
      <c r="W21" s="668">
        <f>J21</f>
        <v>100</v>
      </c>
      <c r="X21" s="1264"/>
      <c r="Y21" s="34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533"/>
      <c r="Q22" s="1262"/>
      <c r="R22" s="667"/>
      <c r="S22" s="668"/>
      <c r="T22" s="667"/>
      <c r="U22" s="668"/>
      <c r="V22" s="667"/>
      <c r="W22" s="668"/>
      <c r="X22" s="1264"/>
      <c r="Y22" s="3492"/>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33"/>
      <c r="Q23" s="1262" t="str">
        <f>B23</f>
        <v>自然及人文环境</v>
      </c>
      <c r="R23" s="667" t="s">
        <v>14</v>
      </c>
      <c r="S23" s="668">
        <f>F23</f>
        <v>100</v>
      </c>
      <c r="T23" s="667" t="s">
        <v>14</v>
      </c>
      <c r="U23" s="668">
        <f>H23</f>
        <v>100</v>
      </c>
      <c r="V23" s="667" t="s">
        <v>14</v>
      </c>
      <c r="W23" s="668">
        <f>J23</f>
        <v>100</v>
      </c>
      <c r="X23" s="1264"/>
      <c r="Y23" s="349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533"/>
      <c r="Q24" s="1262"/>
      <c r="R24" s="667"/>
      <c r="S24" s="668"/>
      <c r="T24" s="667"/>
      <c r="U24" s="668"/>
      <c r="V24" s="667"/>
      <c r="W24" s="668"/>
      <c r="X24" s="1264"/>
      <c r="Y24" s="3492"/>
      <c r="Z24" s="1263"/>
      <c r="AA24" s="1263">
        <v>1</v>
      </c>
      <c r="AB24" s="1263">
        <v>1</v>
      </c>
      <c r="AC24" s="1263">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533"/>
      <c r="Q25" s="1262" t="str">
        <f t="shared" ref="Q25:Q46" si="11">B25</f>
        <v>临街状况</v>
      </c>
      <c r="R25" s="667" t="s">
        <v>14</v>
      </c>
      <c r="S25" s="668">
        <f>F25</f>
        <v>100</v>
      </c>
      <c r="T25" s="667" t="s">
        <v>14</v>
      </c>
      <c r="U25" s="668">
        <f>H25</f>
        <v>100</v>
      </c>
      <c r="V25" s="667" t="s">
        <v>14</v>
      </c>
      <c r="W25" s="668">
        <f>J25</f>
        <v>100</v>
      </c>
      <c r="X25" s="1264"/>
      <c r="Y25" s="3492"/>
      <c r="Z25" s="1263" t="str">
        <f>Q25</f>
        <v>临街状况</v>
      </c>
      <c r="AA25" s="1263">
        <f t="shared" si="3"/>
        <v>1</v>
      </c>
      <c r="AB25" s="1263">
        <f t="shared" si="4"/>
        <v>1</v>
      </c>
      <c r="AC25" s="1263">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33"/>
      <c r="Q26" s="1262" t="str">
        <f t="shared" si="11"/>
        <v>平面位置/可视性</v>
      </c>
      <c r="R26" s="667" t="s">
        <v>14</v>
      </c>
      <c r="S26" s="668">
        <f>F26</f>
        <v>100</v>
      </c>
      <c r="T26" s="667" t="s">
        <v>14</v>
      </c>
      <c r="U26" s="668">
        <f>H26</f>
        <v>100</v>
      </c>
      <c r="V26" s="667" t="s">
        <v>14</v>
      </c>
      <c r="W26" s="668">
        <f>J26</f>
        <v>100</v>
      </c>
      <c r="X26" s="1264"/>
      <c r="Y26" s="3492"/>
      <c r="Z26" s="1263" t="str">
        <f>Q26</f>
        <v>平面位置/可视性</v>
      </c>
      <c r="AA26" s="1263">
        <f t="shared" si="3"/>
        <v>1</v>
      </c>
      <c r="AB26" s="1263">
        <f t="shared" si="4"/>
        <v>1</v>
      </c>
      <c r="AC26" s="1263">
        <f t="shared" si="5"/>
        <v>1</v>
      </c>
    </row>
    <row r="27" spans="1:29" s="102" customFormat="1" ht="15">
      <c r="A27" s="370"/>
      <c r="B27" s="390" t="s">
        <v>1780</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533"/>
      <c r="Q27" s="530" t="str">
        <f t="shared" si="11"/>
        <v>人流量</v>
      </c>
      <c r="R27" s="664" t="s">
        <v>14</v>
      </c>
      <c r="S27" s="665">
        <f>F27</f>
        <v>100</v>
      </c>
      <c r="T27" s="664" t="s">
        <v>14</v>
      </c>
      <c r="U27" s="665">
        <f>H27</f>
        <v>100</v>
      </c>
      <c r="V27" s="664" t="s">
        <v>14</v>
      </c>
      <c r="W27" s="665">
        <f>J27</f>
        <v>100</v>
      </c>
      <c r="X27" s="666"/>
      <c r="Y27" s="3492"/>
      <c r="Z27" s="50" t="str">
        <f>Q27</f>
        <v>人流量</v>
      </c>
      <c r="AA27" s="1263">
        <f>D27/F27</f>
        <v>1</v>
      </c>
      <c r="AB27" s="1263">
        <f>D27/H27</f>
        <v>1</v>
      </c>
      <c r="AC27" s="1263">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53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9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533"/>
      <c r="Q29" s="1262">
        <f t="shared" si="11"/>
        <v>111</v>
      </c>
      <c r="R29" s="667" t="s">
        <v>14</v>
      </c>
      <c r="S29" s="668">
        <f t="shared" si="12"/>
        <v>100</v>
      </c>
      <c r="T29" s="667" t="s">
        <v>14</v>
      </c>
      <c r="U29" s="668">
        <f t="shared" si="13"/>
        <v>100</v>
      </c>
      <c r="V29" s="667" t="s">
        <v>14</v>
      </c>
      <c r="W29" s="668">
        <f t="shared" si="14"/>
        <v>100</v>
      </c>
      <c r="X29" s="1264"/>
      <c r="Y29" s="349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33"/>
      <c r="Q30" s="1262">
        <f t="shared" si="11"/>
        <v>111</v>
      </c>
      <c r="R30" s="667" t="s">
        <v>14</v>
      </c>
      <c r="S30" s="668">
        <f t="shared" si="12"/>
        <v>100</v>
      </c>
      <c r="T30" s="667" t="s">
        <v>14</v>
      </c>
      <c r="U30" s="668">
        <f t="shared" si="13"/>
        <v>100</v>
      </c>
      <c r="V30" s="667" t="s">
        <v>14</v>
      </c>
      <c r="W30" s="668">
        <f t="shared" si="14"/>
        <v>100</v>
      </c>
      <c r="X30" s="1264"/>
      <c r="Y30" s="349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33"/>
      <c r="Q31" s="1262">
        <f t="shared" si="11"/>
        <v>111</v>
      </c>
      <c r="R31" s="667" t="s">
        <v>14</v>
      </c>
      <c r="S31" s="668">
        <f t="shared" si="12"/>
        <v>100</v>
      </c>
      <c r="T31" s="667" t="s">
        <v>14</v>
      </c>
      <c r="U31" s="668">
        <f t="shared" si="13"/>
        <v>100</v>
      </c>
      <c r="V31" s="667" t="s">
        <v>14</v>
      </c>
      <c r="W31" s="668">
        <f t="shared" si="14"/>
        <v>100</v>
      </c>
      <c r="X31" s="1264"/>
      <c r="Y31" s="3492"/>
      <c r="Z31" s="1263">
        <f t="shared" si="15"/>
        <v>111</v>
      </c>
      <c r="AA31" s="1263">
        <f t="shared" si="3"/>
        <v>1</v>
      </c>
      <c r="AB31" s="1263">
        <f t="shared" si="4"/>
        <v>1</v>
      </c>
      <c r="AC31" s="1263">
        <f t="shared" si="5"/>
        <v>1</v>
      </c>
    </row>
    <row r="32" spans="1:29" ht="15">
      <c r="A32" s="379" t="s">
        <v>1692</v>
      </c>
      <c r="B32" s="60" t="s">
        <v>1782</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528" t="s">
        <v>1694</v>
      </c>
      <c r="Q32" s="1262" t="str">
        <f t="shared" si="11"/>
        <v>商业类型</v>
      </c>
      <c r="R32" s="667" t="s">
        <v>14</v>
      </c>
      <c r="S32" s="668">
        <f t="shared" si="12"/>
        <v>100</v>
      </c>
      <c r="T32" s="667" t="s">
        <v>14</v>
      </c>
      <c r="U32" s="668">
        <f t="shared" si="13"/>
        <v>100</v>
      </c>
      <c r="V32" s="667" t="s">
        <v>14</v>
      </c>
      <c r="W32" s="668">
        <f t="shared" si="14"/>
        <v>100</v>
      </c>
      <c r="X32" s="1264"/>
      <c r="Y32" s="3494" t="s">
        <v>1694</v>
      </c>
      <c r="Z32" s="1263" t="str">
        <f t="shared" si="15"/>
        <v>商业类型</v>
      </c>
      <c r="AA32" s="1263">
        <f t="shared" si="3"/>
        <v>1</v>
      </c>
      <c r="AB32" s="1263">
        <f t="shared" si="4"/>
        <v>1</v>
      </c>
      <c r="AC32" s="1263">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529"/>
      <c r="Q33" s="531" t="str">
        <f t="shared" si="11"/>
        <v>项目建筑规模</v>
      </c>
      <c r="R33" s="669" t="s">
        <v>14</v>
      </c>
      <c r="S33" s="670" t="e">
        <f t="shared" si="12"/>
        <v>#N/A</v>
      </c>
      <c r="T33" s="669" t="s">
        <v>14</v>
      </c>
      <c r="U33" s="670" t="e">
        <f t="shared" si="13"/>
        <v>#N/A</v>
      </c>
      <c r="V33" s="669" t="s">
        <v>14</v>
      </c>
      <c r="W33" s="670" t="e">
        <f t="shared" si="14"/>
        <v>#N/A</v>
      </c>
      <c r="X33" s="671"/>
      <c r="Y33" s="3494"/>
      <c r="Z33" s="672" t="str">
        <f t="shared" si="15"/>
        <v>项目建筑规模</v>
      </c>
      <c r="AA33" s="1263" t="e">
        <f t="shared" si="3"/>
        <v>#N/A</v>
      </c>
      <c r="AB33" s="1263" t="e">
        <f t="shared" si="4"/>
        <v>#N/A</v>
      </c>
      <c r="AC33" s="1263"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529"/>
      <c r="Q34" s="1262" t="str">
        <f t="shared" si="11"/>
        <v>建筑结构</v>
      </c>
      <c r="R34" s="667" t="s">
        <v>14</v>
      </c>
      <c r="S34" s="668">
        <f t="shared" si="12"/>
        <v>100</v>
      </c>
      <c r="T34" s="667" t="s">
        <v>14</v>
      </c>
      <c r="U34" s="668">
        <f t="shared" si="13"/>
        <v>100</v>
      </c>
      <c r="V34" s="667" t="s">
        <v>14</v>
      </c>
      <c r="W34" s="668">
        <f t="shared" si="14"/>
        <v>100</v>
      </c>
      <c r="X34" s="1264"/>
      <c r="Y34" s="3494"/>
      <c r="Z34" s="1263" t="str">
        <f t="shared" si="15"/>
        <v>建筑结构</v>
      </c>
      <c r="AA34" s="1263">
        <f t="shared" si="3"/>
        <v>1</v>
      </c>
      <c r="AB34" s="1263">
        <f t="shared" si="4"/>
        <v>1</v>
      </c>
      <c r="AC34" s="1263">
        <f t="shared" si="5"/>
        <v>1</v>
      </c>
    </row>
    <row r="35" spans="1:29" ht="15">
      <c r="A35" s="409"/>
      <c r="B35" s="364" t="s">
        <v>1783</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529"/>
      <c r="Q35" s="1262" t="str">
        <f t="shared" si="11"/>
        <v>公共部分装修</v>
      </c>
      <c r="R35" s="667" t="s">
        <v>14</v>
      </c>
      <c r="S35" s="668">
        <f t="shared" si="12"/>
        <v>100</v>
      </c>
      <c r="T35" s="667" t="s">
        <v>14</v>
      </c>
      <c r="U35" s="668">
        <f t="shared" si="13"/>
        <v>100</v>
      </c>
      <c r="V35" s="667" t="s">
        <v>14</v>
      </c>
      <c r="W35" s="668">
        <f t="shared" si="14"/>
        <v>100</v>
      </c>
      <c r="X35" s="1264"/>
      <c r="Y35" s="3494"/>
      <c r="Z35" s="1263" t="str">
        <f t="shared" si="15"/>
        <v>公共部分装修</v>
      </c>
      <c r="AA35" s="1263">
        <f t="shared" si="3"/>
        <v>1</v>
      </c>
      <c r="AB35" s="1263">
        <f t="shared" si="4"/>
        <v>1</v>
      </c>
      <c r="AC35" s="1263">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529"/>
      <c r="Q36" s="1262" t="str">
        <f t="shared" si="11"/>
        <v>成新度</v>
      </c>
      <c r="R36" s="667" t="s">
        <v>14</v>
      </c>
      <c r="S36" s="668" t="e">
        <f t="shared" si="12"/>
        <v>#N/A</v>
      </c>
      <c r="T36" s="667" t="s">
        <v>14</v>
      </c>
      <c r="U36" s="668" t="e">
        <f t="shared" si="13"/>
        <v>#N/A</v>
      </c>
      <c r="V36" s="667" t="s">
        <v>14</v>
      </c>
      <c r="W36" s="668" t="e">
        <f t="shared" si="14"/>
        <v>#N/A</v>
      </c>
      <c r="X36" s="1264"/>
      <c r="Y36" s="3494"/>
      <c r="Z36" s="1263" t="str">
        <f t="shared" si="15"/>
        <v>成新度</v>
      </c>
      <c r="AA36" s="1263" t="e">
        <f t="shared" si="3"/>
        <v>#N/A</v>
      </c>
      <c r="AB36" s="1263" t="e">
        <f t="shared" si="4"/>
        <v>#N/A</v>
      </c>
      <c r="AC36" s="1263" t="e">
        <f t="shared" si="5"/>
        <v>#N/A</v>
      </c>
    </row>
    <row r="37" spans="1:29" s="102" customFormat="1" ht="15">
      <c r="A37" s="410"/>
      <c r="B37" s="364" t="s">
        <v>1785</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529"/>
      <c r="Q37" s="530" t="str">
        <f t="shared" si="11"/>
        <v>市政基础设施</v>
      </c>
      <c r="R37" s="664" t="s">
        <v>14</v>
      </c>
      <c r="S37" s="665">
        <f t="shared" si="12"/>
        <v>100</v>
      </c>
      <c r="T37" s="664" t="s">
        <v>14</v>
      </c>
      <c r="U37" s="665">
        <f t="shared" si="13"/>
        <v>100</v>
      </c>
      <c r="V37" s="664" t="s">
        <v>14</v>
      </c>
      <c r="W37" s="665">
        <f t="shared" si="14"/>
        <v>100</v>
      </c>
      <c r="X37" s="666"/>
      <c r="Y37" s="3494"/>
      <c r="Z37" s="50" t="str">
        <f t="shared" si="15"/>
        <v>市政基础设施</v>
      </c>
      <c r="AA37" s="50">
        <f t="shared" si="3"/>
        <v>1</v>
      </c>
      <c r="AB37" s="50">
        <f t="shared" si="4"/>
        <v>1</v>
      </c>
      <c r="AC37" s="50">
        <f t="shared" si="5"/>
        <v>1</v>
      </c>
    </row>
    <row r="38" spans="1:29" ht="15">
      <c r="A38" s="409"/>
      <c r="B38" s="364" t="s">
        <v>1786</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529" t="s">
        <v>1694</v>
      </c>
      <c r="Q38" s="1262" t="str">
        <f t="shared" si="11"/>
        <v>业态</v>
      </c>
      <c r="R38" s="667" t="s">
        <v>14</v>
      </c>
      <c r="S38" s="668">
        <f t="shared" si="12"/>
        <v>100</v>
      </c>
      <c r="T38" s="667" t="s">
        <v>14</v>
      </c>
      <c r="U38" s="668">
        <f t="shared" si="13"/>
        <v>100</v>
      </c>
      <c r="V38" s="667" t="s">
        <v>14</v>
      </c>
      <c r="W38" s="668">
        <f t="shared" si="14"/>
        <v>100</v>
      </c>
      <c r="X38" s="1264"/>
      <c r="Y38" s="3494" t="s">
        <v>1694</v>
      </c>
      <c r="Z38" s="1263" t="str">
        <f t="shared" si="15"/>
        <v>业态</v>
      </c>
      <c r="AA38" s="1263">
        <f t="shared" si="3"/>
        <v>1</v>
      </c>
      <c r="AB38" s="1263">
        <f t="shared" si="4"/>
        <v>1</v>
      </c>
      <c r="AC38" s="1263">
        <f t="shared" si="5"/>
        <v>1</v>
      </c>
    </row>
    <row r="39" spans="1:29" ht="15">
      <c r="A39" s="409"/>
      <c r="B39" s="364" t="s">
        <v>1787</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529"/>
      <c r="Q39" s="1262" t="str">
        <f t="shared" si="11"/>
        <v>层高</v>
      </c>
      <c r="R39" s="667" t="s">
        <v>14</v>
      </c>
      <c r="S39" s="668">
        <f t="shared" si="12"/>
        <v>100</v>
      </c>
      <c r="T39" s="667" t="s">
        <v>14</v>
      </c>
      <c r="U39" s="668">
        <f t="shared" si="13"/>
        <v>100</v>
      </c>
      <c r="V39" s="667" t="s">
        <v>14</v>
      </c>
      <c r="W39" s="668">
        <f t="shared" si="14"/>
        <v>100</v>
      </c>
      <c r="X39" s="1264"/>
      <c r="Y39" s="3494"/>
      <c r="Z39" s="1263" t="str">
        <f t="shared" si="15"/>
        <v>层高</v>
      </c>
      <c r="AA39" s="1263">
        <f t="shared" si="3"/>
        <v>1</v>
      </c>
      <c r="AB39" s="1263">
        <f t="shared" si="4"/>
        <v>1</v>
      </c>
      <c r="AC39" s="1263">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29"/>
      <c r="Q40" s="1262" t="str">
        <f t="shared" si="11"/>
        <v>单套建筑面积</v>
      </c>
      <c r="R40" s="667" t="s">
        <v>14</v>
      </c>
      <c r="S40" s="668">
        <f t="shared" si="12"/>
        <v>100</v>
      </c>
      <c r="T40" s="667" t="s">
        <v>14</v>
      </c>
      <c r="U40" s="668">
        <f t="shared" si="13"/>
        <v>100</v>
      </c>
      <c r="V40" s="667" t="s">
        <v>14</v>
      </c>
      <c r="W40" s="668">
        <f t="shared" si="14"/>
        <v>100</v>
      </c>
      <c r="X40" s="1264"/>
      <c r="Y40" s="3494"/>
      <c r="Z40" s="1263" t="str">
        <f t="shared" si="15"/>
        <v>单套建筑面积</v>
      </c>
      <c r="AA40" s="1263">
        <f t="shared" si="3"/>
        <v>1</v>
      </c>
      <c r="AB40" s="1263">
        <f t="shared" si="4"/>
        <v>1</v>
      </c>
      <c r="AC40" s="1263">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29"/>
      <c r="Q41" s="531" t="str">
        <f t="shared" si="11"/>
        <v>进深比</v>
      </c>
      <c r="R41" s="669" t="s">
        <v>14</v>
      </c>
      <c r="S41" s="670">
        <f t="shared" si="12"/>
        <v>100</v>
      </c>
      <c r="T41" s="669" t="s">
        <v>14</v>
      </c>
      <c r="U41" s="670">
        <f t="shared" si="13"/>
        <v>100</v>
      </c>
      <c r="V41" s="669" t="s">
        <v>14</v>
      </c>
      <c r="W41" s="670">
        <f t="shared" si="14"/>
        <v>100</v>
      </c>
      <c r="X41" s="671"/>
      <c r="Y41" s="3494"/>
      <c r="Z41" s="672" t="str">
        <f t="shared" si="15"/>
        <v>进深比</v>
      </c>
      <c r="AA41" s="1263">
        <f t="shared" si="3"/>
        <v>1</v>
      </c>
      <c r="AB41" s="1263">
        <f t="shared" si="4"/>
        <v>1</v>
      </c>
      <c r="AC41" s="1263">
        <f t="shared" si="5"/>
        <v>1</v>
      </c>
    </row>
    <row r="42" spans="1:29" ht="15">
      <c r="A42" s="409"/>
      <c r="B42" s="364" t="s">
        <v>1790</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529"/>
      <c r="Q42" s="1262" t="str">
        <f t="shared" si="11"/>
        <v>内部装修</v>
      </c>
      <c r="R42" s="667" t="s">
        <v>14</v>
      </c>
      <c r="S42" s="668">
        <f t="shared" si="12"/>
        <v>100</v>
      </c>
      <c r="T42" s="667" t="s">
        <v>14</v>
      </c>
      <c r="U42" s="668">
        <f t="shared" si="13"/>
        <v>100</v>
      </c>
      <c r="V42" s="667" t="s">
        <v>14</v>
      </c>
      <c r="W42" s="668">
        <f t="shared" si="14"/>
        <v>100</v>
      </c>
      <c r="X42" s="1264"/>
      <c r="Y42" s="3494"/>
      <c r="Z42" s="1263" t="str">
        <f t="shared" si="15"/>
        <v>内部装修</v>
      </c>
      <c r="AA42" s="1263">
        <f t="shared" si="3"/>
        <v>1</v>
      </c>
      <c r="AB42" s="1263">
        <f t="shared" si="4"/>
        <v>1</v>
      </c>
      <c r="AC42" s="1263">
        <f t="shared" si="5"/>
        <v>1</v>
      </c>
    </row>
    <row r="43" spans="1:29" ht="15">
      <c r="A43" s="409"/>
      <c r="B43" s="364" t="s">
        <v>1705</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529"/>
      <c r="Q43" s="1262" t="str">
        <f t="shared" si="11"/>
        <v>内部装修维护情况</v>
      </c>
      <c r="R43" s="667" t="s">
        <v>14</v>
      </c>
      <c r="S43" s="668">
        <f t="shared" si="12"/>
        <v>100</v>
      </c>
      <c r="T43" s="667" t="s">
        <v>14</v>
      </c>
      <c r="U43" s="668">
        <f t="shared" si="13"/>
        <v>100</v>
      </c>
      <c r="V43" s="667" t="s">
        <v>14</v>
      </c>
      <c r="W43" s="668">
        <f t="shared" si="14"/>
        <v>100</v>
      </c>
      <c r="X43" s="1264"/>
      <c r="Y43" s="349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29"/>
      <c r="Q44" s="530">
        <f t="shared" si="11"/>
        <v>111</v>
      </c>
      <c r="R44" s="664" t="s">
        <v>14</v>
      </c>
      <c r="S44" s="665">
        <f t="shared" si="12"/>
        <v>100</v>
      </c>
      <c r="T44" s="664" t="s">
        <v>14</v>
      </c>
      <c r="U44" s="665">
        <f t="shared" si="13"/>
        <v>100</v>
      </c>
      <c r="V44" s="664" t="s">
        <v>14</v>
      </c>
      <c r="W44" s="665">
        <f t="shared" si="14"/>
        <v>100</v>
      </c>
      <c r="X44" s="666"/>
      <c r="Y44" s="34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29"/>
      <c r="Q45" s="1262">
        <f t="shared" si="11"/>
        <v>111</v>
      </c>
      <c r="R45" s="667" t="s">
        <v>14</v>
      </c>
      <c r="S45" s="668">
        <f t="shared" si="12"/>
        <v>100</v>
      </c>
      <c r="T45" s="667" t="s">
        <v>14</v>
      </c>
      <c r="U45" s="668">
        <f t="shared" si="13"/>
        <v>100</v>
      </c>
      <c r="V45" s="667" t="s">
        <v>14</v>
      </c>
      <c r="W45" s="668">
        <f t="shared" si="14"/>
        <v>100</v>
      </c>
      <c r="X45" s="1264"/>
      <c r="Y45" s="349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30"/>
      <c r="Q46" s="1262">
        <f t="shared" si="11"/>
        <v>111</v>
      </c>
      <c r="R46" s="667" t="s">
        <v>14</v>
      </c>
      <c r="S46" s="668">
        <f t="shared" si="12"/>
        <v>100</v>
      </c>
      <c r="T46" s="667" t="s">
        <v>14</v>
      </c>
      <c r="U46" s="668">
        <f t="shared" si="13"/>
        <v>100</v>
      </c>
      <c r="V46" s="667" t="s">
        <v>14</v>
      </c>
      <c r="W46" s="668">
        <f t="shared" si="14"/>
        <v>100</v>
      </c>
      <c r="X46" s="1264"/>
      <c r="Y46" s="3531"/>
      <c r="Z46" s="1263">
        <f t="shared" si="15"/>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4"/>
      <c r="M47" s="2487"/>
      <c r="N47" s="2487"/>
      <c r="O47" s="2487"/>
      <c r="P47" s="3476" t="str">
        <f>A47</f>
        <v>成交单价（元/平方米）</v>
      </c>
      <c r="Q47" s="3476"/>
      <c r="R47" s="3489">
        <f>E47</f>
        <v>0</v>
      </c>
      <c r="S47" s="3489"/>
      <c r="T47" s="3489">
        <f>G47</f>
        <v>0</v>
      </c>
      <c r="U47" s="3489"/>
      <c r="V47" s="3489">
        <f>I47</f>
        <v>0</v>
      </c>
      <c r="W47" s="3489"/>
      <c r="X47" s="385"/>
      <c r="Y47" s="673"/>
      <c r="Z47" s="385"/>
      <c r="AA47" s="385"/>
      <c r="AB47" s="385"/>
      <c r="AC47" s="385"/>
    </row>
    <row r="48" spans="1:29" ht="15.75" thickBot="1">
      <c r="A48" s="423" t="s">
        <v>1791</v>
      </c>
      <c r="B48" s="424"/>
      <c r="C48" s="1082" t="e">
        <f>R49</f>
        <v>#DIV/0!</v>
      </c>
      <c r="D48" s="2140" t="s">
        <v>2136</v>
      </c>
      <c r="E48" s="1083" t="e">
        <f>R48</f>
        <v>#DIV/0!</v>
      </c>
      <c r="F48" s="2141"/>
      <c r="G48" s="1082" t="e">
        <f>T48</f>
        <v>#DIV/0!</v>
      </c>
      <c r="H48" s="2141"/>
      <c r="I48" s="1083" t="e">
        <f>V48</f>
        <v>#DIV/0!</v>
      </c>
      <c r="J48" s="2141"/>
      <c r="K48" s="2143">
        <f>F48+H48+J48</f>
        <v>0</v>
      </c>
      <c r="L48" s="2494"/>
      <c r="M48" s="2487"/>
      <c r="N48" s="2487"/>
      <c r="O48" s="2487"/>
      <c r="P48" s="3476" t="str">
        <f>A48</f>
        <v>比较价值（元/平方米）</v>
      </c>
      <c r="Q48" s="3476"/>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4"/>
      <c r="M49" s="2487"/>
      <c r="N49" s="2487"/>
      <c r="O49" s="2487"/>
      <c r="P49" s="3496" t="str">
        <f>A49</f>
        <v>估价对象XX用房的比较价值（楼面单价，元/平方米）</v>
      </c>
      <c r="Q49" s="3497"/>
      <c r="R49" s="3527" t="e">
        <f>IF(F1="售价",ROUND(IF(D48="简单平均",AVERAGE(R48:V48),R48*F48+T48*H48+V48*J48),0),ROUND(IF(D48="简单平均",AVERAGE(R48:V48),R48*F48+T48*H48+V48*J48),1))</f>
        <v>#DIV/0!</v>
      </c>
      <c r="S49" s="3527"/>
      <c r="T49" s="3527"/>
      <c r="U49" s="3527"/>
      <c r="V49" s="3527"/>
      <c r="W49" s="35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1796</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1677</v>
      </c>
      <c r="B58" s="441"/>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1714</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1679</v>
      </c>
      <c r="B61" s="444"/>
      <c r="C61" s="456" t="s">
        <v>1774</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1717</v>
      </c>
      <c r="B63" s="460" t="s">
        <v>1683</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1686</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1688</v>
      </c>
      <c r="B76" s="460" t="s">
        <v>1718</v>
      </c>
      <c r="C76" s="504" t="s">
        <v>1719</v>
      </c>
      <c r="D76" s="504" t="s">
        <v>1720</v>
      </c>
      <c r="E76" s="504" t="s">
        <v>1721</v>
      </c>
      <c r="F76" s="504" t="s">
        <v>1722</v>
      </c>
      <c r="G76" s="504" t="s">
        <v>1723</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1724</v>
      </c>
      <c r="C78" s="509" t="s">
        <v>1719</v>
      </c>
      <c r="D78" s="509" t="s">
        <v>1720</v>
      </c>
      <c r="E78" s="509" t="s">
        <v>1721</v>
      </c>
      <c r="F78" s="509" t="s">
        <v>1722</v>
      </c>
      <c r="G78" s="509" t="s">
        <v>1723</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1725</v>
      </c>
      <c r="C80" s="509" t="s">
        <v>1719</v>
      </c>
      <c r="D80" s="509" t="s">
        <v>1720</v>
      </c>
      <c r="E80" s="509" t="s">
        <v>1721</v>
      </c>
      <c r="F80" s="509" t="s">
        <v>1722</v>
      </c>
      <c r="G80" s="509" t="s">
        <v>1723</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1777</v>
      </c>
      <c r="C82" s="581" t="s">
        <v>1797</v>
      </c>
      <c r="D82" s="581" t="s">
        <v>1798</v>
      </c>
      <c r="E82" s="581" t="s">
        <v>1799</v>
      </c>
      <c r="F82" s="581" t="s">
        <v>1800</v>
      </c>
      <c r="G82" s="581" t="s">
        <v>1801</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1731</v>
      </c>
      <c r="C84" s="509" t="s">
        <v>1719</v>
      </c>
      <c r="D84" s="509" t="s">
        <v>1720</v>
      </c>
      <c r="E84" s="509" t="s">
        <v>1721</v>
      </c>
      <c r="F84" s="509" t="s">
        <v>1722</v>
      </c>
      <c r="G84" s="509" t="s">
        <v>1723</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1802</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1692</v>
      </c>
      <c r="B100" s="460" t="s">
        <v>1803</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1736</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1738</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1740</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1804</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1805</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1806</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1807</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1742</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1658</v>
      </c>
      <c r="B1" s="1807" t="s">
        <v>1808</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1461</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36323.870000000003</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1767</v>
      </c>
      <c r="B4" s="346"/>
      <c r="C4" s="3477" t="s">
        <v>1768</v>
      </c>
      <c r="D4" s="3478"/>
      <c r="E4" s="3479" t="s">
        <v>1769</v>
      </c>
      <c r="F4" s="3480"/>
      <c r="G4" s="3477" t="s">
        <v>1770</v>
      </c>
      <c r="H4" s="3478"/>
      <c r="I4" s="3477" t="s">
        <v>1771</v>
      </c>
      <c r="J4" s="3478"/>
      <c r="K4" s="537" t="s">
        <v>1772</v>
      </c>
      <c r="L4" s="2486"/>
      <c r="M4" s="2487"/>
      <c r="N4" s="2487"/>
      <c r="O4" s="2487"/>
      <c r="P4" s="3540" t="s">
        <v>1773</v>
      </c>
      <c r="Q4" s="3541"/>
      <c r="R4" s="3535" t="s">
        <v>1769</v>
      </c>
      <c r="S4" s="3536"/>
      <c r="T4" s="3535" t="s">
        <v>1770</v>
      </c>
      <c r="U4" s="3536"/>
      <c r="V4" s="3544" t="s">
        <v>1771</v>
      </c>
      <c r="W4" s="3544"/>
      <c r="X4" s="1808"/>
      <c r="Y4" s="3535" t="s">
        <v>1773</v>
      </c>
      <c r="Z4" s="3536"/>
      <c r="AA4" s="3534" t="s">
        <v>1769</v>
      </c>
      <c r="AB4" s="3534" t="s">
        <v>1770</v>
      </c>
      <c r="AC4" s="3537" t="s">
        <v>1771</v>
      </c>
    </row>
    <row r="5" spans="1:29" ht="15">
      <c r="A5" s="348"/>
      <c r="B5" s="349"/>
      <c r="C5" s="3470" t="s">
        <v>1671</v>
      </c>
      <c r="D5" s="3471"/>
      <c r="E5" s="3468" t="s">
        <v>1672</v>
      </c>
      <c r="F5" s="3469"/>
      <c r="G5" s="3470" t="s">
        <v>1673</v>
      </c>
      <c r="H5" s="3471"/>
      <c r="I5" s="3470" t="s">
        <v>1674</v>
      </c>
      <c r="J5" s="3471"/>
      <c r="K5" s="537"/>
      <c r="L5" s="2486"/>
      <c r="M5" s="2487"/>
      <c r="N5" s="2487"/>
      <c r="O5" s="2487"/>
      <c r="P5" s="3542"/>
      <c r="Q5" s="3484"/>
      <c r="R5" s="3466"/>
      <c r="S5" s="3467"/>
      <c r="T5" s="3466"/>
      <c r="U5" s="3467"/>
      <c r="V5" s="3489"/>
      <c r="W5" s="3489"/>
      <c r="X5" s="1264"/>
      <c r="Y5" s="3466"/>
      <c r="Z5" s="3467"/>
      <c r="AA5" s="3460"/>
      <c r="AB5" s="3460"/>
      <c r="AC5" s="3538"/>
    </row>
    <row r="6" spans="1:29" ht="15.75" thickBot="1">
      <c r="A6" s="350"/>
      <c r="B6" s="351"/>
      <c r="C6" s="3472" t="s">
        <v>1675</v>
      </c>
      <c r="D6" s="3473"/>
      <c r="E6" s="3474" t="s">
        <v>1675</v>
      </c>
      <c r="F6" s="3475"/>
      <c r="G6" s="3472" t="s">
        <v>1675</v>
      </c>
      <c r="H6" s="3473"/>
      <c r="I6" s="3472" t="s">
        <v>1675</v>
      </c>
      <c r="J6" s="3473"/>
      <c r="K6" s="537" t="s">
        <v>1676</v>
      </c>
      <c r="L6" s="2486"/>
      <c r="M6" s="2487"/>
      <c r="N6" s="2487"/>
      <c r="O6" s="2487"/>
      <c r="P6" s="3543"/>
      <c r="Q6" s="3486"/>
      <c r="R6" s="3466"/>
      <c r="S6" s="3467"/>
      <c r="T6" s="3487"/>
      <c r="U6" s="3488"/>
      <c r="V6" s="3489"/>
      <c r="W6" s="3489"/>
      <c r="X6" s="1264"/>
      <c r="Y6" s="3487"/>
      <c r="Z6" s="3488"/>
      <c r="AA6" s="3461"/>
      <c r="AB6" s="3461"/>
      <c r="AC6" s="3539"/>
    </row>
    <row r="7" spans="1:29" s="102" customFormat="1" ht="15.75" thickBot="1">
      <c r="A7" s="352" t="s">
        <v>1677</v>
      </c>
      <c r="B7" s="353"/>
      <c r="C7" s="354">
        <f>'数据-取费表'!B2</f>
        <v>45565</v>
      </c>
      <c r="D7" s="355">
        <v>100</v>
      </c>
      <c r="E7" s="356"/>
      <c r="F7" s="357">
        <f>SUMIF(59:59,YEAR(E7)&amp;"-"&amp;MONTH(E7),60:60)</f>
        <v>0</v>
      </c>
      <c r="G7" s="356"/>
      <c r="H7" s="355">
        <f>SUMIF(59:59,YEAR(G7)&amp;"-"&amp;MONTH(G7),60:60)</f>
        <v>0</v>
      </c>
      <c r="I7" s="356"/>
      <c r="J7" s="355">
        <f>SUMIF(59:59,YEAR(I7)&amp;"-"&amp;MONTH(I7),60:60)</f>
        <v>0</v>
      </c>
      <c r="K7" s="38"/>
      <c r="L7" s="2488"/>
      <c r="M7" s="2439"/>
      <c r="N7" s="2439"/>
      <c r="O7" s="2439"/>
      <c r="P7" s="3545" t="s">
        <v>1678</v>
      </c>
      <c r="Q7" s="3490"/>
      <c r="R7" s="664" t="s">
        <v>14</v>
      </c>
      <c r="S7" s="665">
        <f t="shared" ref="S7:S15" si="0">F7</f>
        <v>0</v>
      </c>
      <c r="T7" s="664" t="s">
        <v>14</v>
      </c>
      <c r="U7" s="665">
        <f t="shared" ref="U7:U15" si="1">H7</f>
        <v>0</v>
      </c>
      <c r="V7" s="664" t="s">
        <v>14</v>
      </c>
      <c r="W7" s="665">
        <f t="shared" ref="W7:W15" si="2">J7</f>
        <v>0</v>
      </c>
      <c r="X7" s="666"/>
      <c r="Y7" s="3462" t="s">
        <v>1678</v>
      </c>
      <c r="Z7" s="3463"/>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45" t="s">
        <v>1681</v>
      </c>
      <c r="Q8" s="3463"/>
      <c r="R8" s="664" t="s">
        <v>14</v>
      </c>
      <c r="S8" s="665">
        <f t="shared" si="0"/>
        <v>100</v>
      </c>
      <c r="T8" s="664" t="s">
        <v>14</v>
      </c>
      <c r="U8" s="665">
        <f t="shared" si="1"/>
        <v>100</v>
      </c>
      <c r="V8" s="664" t="s">
        <v>14</v>
      </c>
      <c r="W8" s="665">
        <f t="shared" si="2"/>
        <v>100</v>
      </c>
      <c r="X8" s="666"/>
      <c r="Y8" s="3462" t="s">
        <v>1681</v>
      </c>
      <c r="Z8" s="3463"/>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00" t="s">
        <v>1684</v>
      </c>
      <c r="Q9" s="530" t="str">
        <f t="shared" ref="Q9:Q15" si="6">B9</f>
        <v>用途</v>
      </c>
      <c r="R9" s="664" t="s">
        <v>14</v>
      </c>
      <c r="S9" s="665">
        <f t="shared" si="0"/>
        <v>100</v>
      </c>
      <c r="T9" s="664" t="s">
        <v>14</v>
      </c>
      <c r="U9" s="665">
        <f t="shared" si="1"/>
        <v>100</v>
      </c>
      <c r="V9" s="664" t="s">
        <v>14</v>
      </c>
      <c r="W9" s="665">
        <f t="shared" si="2"/>
        <v>100</v>
      </c>
      <c r="X9" s="666"/>
      <c r="Y9" s="3432" t="s">
        <v>1685</v>
      </c>
      <c r="Z9" s="50" t="str">
        <f t="shared" ref="Z9:Z15" si="7">Q9</f>
        <v>用途</v>
      </c>
      <c r="AA9" s="50">
        <f t="shared" si="3"/>
        <v>1</v>
      </c>
      <c r="AB9" s="50">
        <f t="shared" si="4"/>
        <v>1</v>
      </c>
      <c r="AC9" s="802">
        <f t="shared" si="5"/>
        <v>1</v>
      </c>
    </row>
    <row r="10" spans="1:29" s="366" customFormat="1" ht="27">
      <c r="A10" s="363"/>
      <c r="B10" s="364" t="s">
        <v>1686</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00"/>
      <c r="Q10" s="530" t="str">
        <f t="shared" si="6"/>
        <v>土地使用年限（年）</v>
      </c>
      <c r="R10" s="664" t="s">
        <v>14</v>
      </c>
      <c r="S10" s="665">
        <f t="shared" si="0"/>
        <v>100</v>
      </c>
      <c r="T10" s="664" t="s">
        <v>14</v>
      </c>
      <c r="U10" s="665">
        <f t="shared" si="1"/>
        <v>100</v>
      </c>
      <c r="V10" s="664" t="s">
        <v>14</v>
      </c>
      <c r="W10" s="665">
        <f t="shared" si="2"/>
        <v>100</v>
      </c>
      <c r="X10" s="666"/>
      <c r="Y10" s="3432"/>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00"/>
      <c r="Q11" s="530" t="str">
        <f t="shared" si="6"/>
        <v>容积率</v>
      </c>
      <c r="R11" s="664" t="s">
        <v>14</v>
      </c>
      <c r="S11" s="665">
        <f t="shared" si="0"/>
        <v>100</v>
      </c>
      <c r="T11" s="664" t="s">
        <v>14</v>
      </c>
      <c r="U11" s="665">
        <f t="shared" si="1"/>
        <v>100</v>
      </c>
      <c r="V11" s="664" t="s">
        <v>14</v>
      </c>
      <c r="W11" s="665">
        <f t="shared" si="2"/>
        <v>100</v>
      </c>
      <c r="X11" s="666"/>
      <c r="Y11" s="34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500"/>
      <c r="Q12" s="530">
        <f t="shared" si="6"/>
        <v>111</v>
      </c>
      <c r="R12" s="664" t="s">
        <v>14</v>
      </c>
      <c r="S12" s="665">
        <f t="shared" si="0"/>
        <v>100</v>
      </c>
      <c r="T12" s="664" t="s">
        <v>14</v>
      </c>
      <c r="U12" s="665">
        <f t="shared" si="1"/>
        <v>100</v>
      </c>
      <c r="V12" s="664" t="s">
        <v>14</v>
      </c>
      <c r="W12" s="665">
        <f t="shared" si="2"/>
        <v>100</v>
      </c>
      <c r="X12" s="666"/>
      <c r="Y12" s="34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500"/>
      <c r="Q13" s="530">
        <f t="shared" si="6"/>
        <v>111</v>
      </c>
      <c r="R13" s="664" t="s">
        <v>14</v>
      </c>
      <c r="S13" s="665">
        <f t="shared" si="0"/>
        <v>100</v>
      </c>
      <c r="T13" s="664" t="s">
        <v>14</v>
      </c>
      <c r="U13" s="665">
        <f t="shared" si="1"/>
        <v>100</v>
      </c>
      <c r="V13" s="664" t="s">
        <v>14</v>
      </c>
      <c r="W13" s="665">
        <f t="shared" si="2"/>
        <v>100</v>
      </c>
      <c r="X13" s="666"/>
      <c r="Y13" s="343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500"/>
      <c r="Q14" s="530">
        <f t="shared" si="6"/>
        <v>111</v>
      </c>
      <c r="R14" s="664" t="s">
        <v>14</v>
      </c>
      <c r="S14" s="665">
        <f t="shared" si="0"/>
        <v>100</v>
      </c>
      <c r="T14" s="664" t="s">
        <v>14</v>
      </c>
      <c r="U14" s="665">
        <f t="shared" si="1"/>
        <v>100</v>
      </c>
      <c r="V14" s="664" t="s">
        <v>14</v>
      </c>
      <c r="W14" s="665">
        <f t="shared" si="2"/>
        <v>100</v>
      </c>
      <c r="X14" s="666"/>
      <c r="Y14" s="3432"/>
      <c r="Z14" s="50">
        <f t="shared" si="7"/>
        <v>111</v>
      </c>
      <c r="AA14" s="50">
        <f t="shared" si="3"/>
        <v>1</v>
      </c>
      <c r="AB14" s="50">
        <f t="shared" si="4"/>
        <v>1</v>
      </c>
      <c r="AC14" s="802">
        <f t="shared" si="5"/>
        <v>1</v>
      </c>
    </row>
    <row r="15" spans="1:29" ht="71.25">
      <c r="A15" s="379" t="s">
        <v>1688</v>
      </c>
      <c r="B15" s="554" t="s">
        <v>1809</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32" t="s">
        <v>1689</v>
      </c>
      <c r="Q15" s="1262" t="str">
        <f t="shared" si="6"/>
        <v>办公集聚程度</v>
      </c>
      <c r="R15" s="667" t="s">
        <v>14</v>
      </c>
      <c r="S15" s="668">
        <f t="shared" si="0"/>
        <v>100</v>
      </c>
      <c r="T15" s="667" t="s">
        <v>14</v>
      </c>
      <c r="U15" s="668">
        <f t="shared" si="1"/>
        <v>100</v>
      </c>
      <c r="V15" s="667" t="s">
        <v>14</v>
      </c>
      <c r="W15" s="668">
        <f t="shared" si="2"/>
        <v>100</v>
      </c>
      <c r="X15" s="1264"/>
      <c r="Y15" s="3491" t="s">
        <v>1689</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533"/>
      <c r="Q16" s="1262"/>
      <c r="R16" s="667"/>
      <c r="S16" s="668"/>
      <c r="T16" s="667"/>
      <c r="U16" s="668"/>
      <c r="V16" s="667"/>
      <c r="W16" s="668"/>
      <c r="X16" s="1264"/>
      <c r="Y16" s="3492"/>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33"/>
      <c r="Q17" s="1262" t="str">
        <f>B17</f>
        <v>交通便捷度</v>
      </c>
      <c r="R17" s="667" t="s">
        <v>14</v>
      </c>
      <c r="S17" s="668">
        <f>F17</f>
        <v>100</v>
      </c>
      <c r="T17" s="667" t="s">
        <v>14</v>
      </c>
      <c r="U17" s="668">
        <f>H17</f>
        <v>100</v>
      </c>
      <c r="V17" s="667" t="s">
        <v>14</v>
      </c>
      <c r="W17" s="668">
        <f>J17</f>
        <v>100</v>
      </c>
      <c r="X17" s="1264"/>
      <c r="Y17" s="349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533"/>
      <c r="Q18" s="1262"/>
      <c r="R18" s="667"/>
      <c r="S18" s="668"/>
      <c r="T18" s="667"/>
      <c r="U18" s="668"/>
      <c r="V18" s="667"/>
      <c r="W18" s="668"/>
      <c r="X18" s="1264"/>
      <c r="Y18" s="3492"/>
      <c r="Z18" s="1263"/>
      <c r="AA18" s="1263">
        <v>1</v>
      </c>
      <c r="AB18" s="1263">
        <v>1</v>
      </c>
      <c r="AC18" s="1811">
        <v>1</v>
      </c>
    </row>
    <row r="19" spans="1:29" ht="42.75">
      <c r="A19" s="367"/>
      <c r="B19" s="556" t="s">
        <v>1810</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33"/>
      <c r="Q19" s="1262" t="str">
        <f>B19</f>
        <v>公共配套设施</v>
      </c>
      <c r="R19" s="667" t="s">
        <v>14</v>
      </c>
      <c r="S19" s="668">
        <f>F19</f>
        <v>100</v>
      </c>
      <c r="T19" s="667" t="s">
        <v>14</v>
      </c>
      <c r="U19" s="668">
        <f>H19</f>
        <v>100</v>
      </c>
      <c r="V19" s="667" t="s">
        <v>14</v>
      </c>
      <c r="W19" s="668">
        <f>J19</f>
        <v>100</v>
      </c>
      <c r="X19" s="1264"/>
      <c r="Y19" s="349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533"/>
      <c r="Q20" s="1262"/>
      <c r="R20" s="667"/>
      <c r="S20" s="668"/>
      <c r="T20" s="667"/>
      <c r="U20" s="668"/>
      <c r="V20" s="667"/>
      <c r="W20" s="668"/>
      <c r="X20" s="1264"/>
      <c r="Y20" s="3492"/>
      <c r="Z20" s="1263"/>
      <c r="AA20" s="1263">
        <v>1</v>
      </c>
      <c r="AB20" s="1263">
        <v>1</v>
      </c>
      <c r="AC20" s="1811">
        <v>1</v>
      </c>
    </row>
    <row r="21" spans="1:29" ht="28.5">
      <c r="A21" s="367"/>
      <c r="B21" s="557" t="s">
        <v>1811</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33"/>
      <c r="Q21" s="1262" t="str">
        <f>B21</f>
        <v>基础设施水平</v>
      </c>
      <c r="R21" s="667" t="s">
        <v>14</v>
      </c>
      <c r="S21" s="668">
        <f>F21</f>
        <v>100</v>
      </c>
      <c r="T21" s="667" t="s">
        <v>14</v>
      </c>
      <c r="U21" s="668">
        <f>H21</f>
        <v>100</v>
      </c>
      <c r="V21" s="667" t="s">
        <v>14</v>
      </c>
      <c r="W21" s="668">
        <f>J21</f>
        <v>100</v>
      </c>
      <c r="X21" s="1264"/>
      <c r="Y21" s="349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533"/>
      <c r="Q22" s="1262"/>
      <c r="R22" s="667"/>
      <c r="S22" s="668"/>
      <c r="T22" s="667"/>
      <c r="U22" s="668"/>
      <c r="V22" s="667"/>
      <c r="W22" s="668"/>
      <c r="X22" s="1264"/>
      <c r="Y22" s="3492"/>
      <c r="Z22" s="1263"/>
      <c r="AA22" s="1263">
        <v>1</v>
      </c>
      <c r="AB22" s="1263">
        <v>1</v>
      </c>
      <c r="AC22" s="1811">
        <v>1</v>
      </c>
    </row>
    <row r="23" spans="1:29" ht="42.75">
      <c r="A23" s="367"/>
      <c r="B23" s="556" t="s">
        <v>1812</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33"/>
      <c r="Q23" s="1262" t="str">
        <f>B23</f>
        <v>环境质量</v>
      </c>
      <c r="R23" s="667" t="s">
        <v>14</v>
      </c>
      <c r="S23" s="668">
        <f>F23</f>
        <v>100</v>
      </c>
      <c r="T23" s="667" t="s">
        <v>14</v>
      </c>
      <c r="U23" s="668">
        <f>H23</f>
        <v>100</v>
      </c>
      <c r="V23" s="667" t="s">
        <v>14</v>
      </c>
      <c r="W23" s="668">
        <f>J23</f>
        <v>100</v>
      </c>
      <c r="X23" s="1264"/>
      <c r="Y23" s="349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533"/>
      <c r="Q24" s="1262"/>
      <c r="R24" s="667"/>
      <c r="S24" s="668"/>
      <c r="T24" s="667"/>
      <c r="U24" s="668"/>
      <c r="V24" s="667"/>
      <c r="W24" s="668"/>
      <c r="X24" s="1264"/>
      <c r="Y24" s="3492"/>
      <c r="Z24" s="1263"/>
      <c r="AA24" s="1263">
        <v>1</v>
      </c>
      <c r="AB24" s="1263">
        <v>1</v>
      </c>
      <c r="AC24" s="1811">
        <v>1</v>
      </c>
    </row>
    <row r="25" spans="1:29" ht="27">
      <c r="A25" s="348"/>
      <c r="B25" s="556" t="s">
        <v>1813</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533"/>
      <c r="Q25" s="1262" t="str">
        <f>B25</f>
        <v>毗邻道路的类型与等级</v>
      </c>
      <c r="R25" s="667" t="s">
        <v>14</v>
      </c>
      <c r="S25" s="668">
        <f>F25</f>
        <v>100</v>
      </c>
      <c r="T25" s="667" t="s">
        <v>14</v>
      </c>
      <c r="U25" s="668">
        <f>H25</f>
        <v>100</v>
      </c>
      <c r="V25" s="667" t="s">
        <v>14</v>
      </c>
      <c r="W25" s="668">
        <f>J25</f>
        <v>100</v>
      </c>
      <c r="X25" s="1264"/>
      <c r="Y25" s="349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533"/>
      <c r="Q26" s="1262"/>
      <c r="R26" s="667"/>
      <c r="S26" s="668"/>
      <c r="T26" s="667"/>
      <c r="U26" s="668"/>
      <c r="V26" s="667"/>
      <c r="W26" s="668"/>
      <c r="X26" s="1264"/>
      <c r="Y26" s="3492"/>
      <c r="Z26" s="1263"/>
      <c r="AA26" s="1263">
        <v>1</v>
      </c>
      <c r="AB26" s="1263">
        <v>1</v>
      </c>
      <c r="AC26" s="1811">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33"/>
      <c r="Q27" s="1262" t="str">
        <f t="shared" ref="Q27:Q47" si="11">B27</f>
        <v>楼层</v>
      </c>
      <c r="R27" s="667" t="s">
        <v>14</v>
      </c>
      <c r="S27" s="668">
        <f>F27</f>
        <v>100</v>
      </c>
      <c r="T27" s="667" t="s">
        <v>14</v>
      </c>
      <c r="U27" s="668">
        <f>H27</f>
        <v>100</v>
      </c>
      <c r="V27" s="667" t="s">
        <v>14</v>
      </c>
      <c r="W27" s="668">
        <f>J27</f>
        <v>100</v>
      </c>
      <c r="X27" s="1264"/>
      <c r="Y27" s="3492"/>
      <c r="Z27" s="1263" t="str">
        <f>Q27</f>
        <v>楼层</v>
      </c>
      <c r="AA27" s="1263">
        <f t="shared" si="3"/>
        <v>1</v>
      </c>
      <c r="AB27" s="1263">
        <f t="shared" si="4"/>
        <v>1</v>
      </c>
      <c r="AC27" s="1811">
        <f t="shared" si="5"/>
        <v>1</v>
      </c>
    </row>
    <row r="28" spans="1:29" s="102" customFormat="1" ht="15">
      <c r="A28" s="370"/>
      <c r="B28" s="556" t="s">
        <v>1814</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33"/>
      <c r="Q28" s="530" t="str">
        <f t="shared" si="11"/>
        <v>朝向</v>
      </c>
      <c r="R28" s="664" t="s">
        <v>14</v>
      </c>
      <c r="S28" s="665">
        <f>F28</f>
        <v>100</v>
      </c>
      <c r="T28" s="664" t="s">
        <v>14</v>
      </c>
      <c r="U28" s="665">
        <f>H28</f>
        <v>100</v>
      </c>
      <c r="V28" s="664" t="s">
        <v>14</v>
      </c>
      <c r="W28" s="665">
        <f>J28</f>
        <v>100</v>
      </c>
      <c r="X28" s="666"/>
      <c r="Y28" s="349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33"/>
      <c r="Q29" s="1262">
        <f t="shared" si="11"/>
        <v>111</v>
      </c>
      <c r="R29" s="667" t="s">
        <v>14</v>
      </c>
      <c r="S29" s="668">
        <f t="shared" ref="S29:S47" si="12">F29</f>
        <v>100</v>
      </c>
      <c r="T29" s="667" t="s">
        <v>14</v>
      </c>
      <c r="U29" s="668">
        <f t="shared" ref="U29:U47" si="13">H29</f>
        <v>100</v>
      </c>
      <c r="V29" s="667" t="s">
        <v>14</v>
      </c>
      <c r="W29" s="668">
        <f t="shared" ref="W29:W47" si="14">J29</f>
        <v>100</v>
      </c>
      <c r="X29" s="1264"/>
      <c r="Y29" s="349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33"/>
      <c r="Q30" s="1262">
        <f t="shared" si="11"/>
        <v>111</v>
      </c>
      <c r="R30" s="667" t="s">
        <v>14</v>
      </c>
      <c r="S30" s="668">
        <f t="shared" si="12"/>
        <v>100</v>
      </c>
      <c r="T30" s="667" t="s">
        <v>14</v>
      </c>
      <c r="U30" s="668">
        <f t="shared" si="13"/>
        <v>100</v>
      </c>
      <c r="V30" s="667" t="s">
        <v>14</v>
      </c>
      <c r="W30" s="668">
        <f t="shared" si="14"/>
        <v>100</v>
      </c>
      <c r="X30" s="1264"/>
      <c r="Y30" s="349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33"/>
      <c r="Q31" s="1262">
        <f t="shared" si="11"/>
        <v>111</v>
      </c>
      <c r="R31" s="667" t="s">
        <v>14</v>
      </c>
      <c r="S31" s="668">
        <f t="shared" si="12"/>
        <v>100</v>
      </c>
      <c r="T31" s="667" t="s">
        <v>14</v>
      </c>
      <c r="U31" s="668">
        <f t="shared" si="13"/>
        <v>100</v>
      </c>
      <c r="V31" s="667" t="s">
        <v>14</v>
      </c>
      <c r="W31" s="668">
        <f t="shared" si="14"/>
        <v>100</v>
      </c>
      <c r="X31" s="1264"/>
      <c r="Y31" s="349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33"/>
      <c r="Q32" s="1262">
        <f t="shared" si="11"/>
        <v>111</v>
      </c>
      <c r="R32" s="667" t="s">
        <v>14</v>
      </c>
      <c r="S32" s="668">
        <f t="shared" si="12"/>
        <v>100</v>
      </c>
      <c r="T32" s="667" t="s">
        <v>14</v>
      </c>
      <c r="U32" s="668">
        <f t="shared" si="13"/>
        <v>100</v>
      </c>
      <c r="V32" s="667" t="s">
        <v>14</v>
      </c>
      <c r="W32" s="668">
        <f t="shared" si="14"/>
        <v>100</v>
      </c>
      <c r="X32" s="1264"/>
      <c r="Y32" s="3492"/>
      <c r="Z32" s="1263">
        <f t="shared" si="15"/>
        <v>111</v>
      </c>
      <c r="AA32" s="1263">
        <f t="shared" si="3"/>
        <v>1</v>
      </c>
      <c r="AB32" s="1263">
        <f t="shared" si="4"/>
        <v>1</v>
      </c>
      <c r="AC32" s="1811">
        <f t="shared" si="5"/>
        <v>1</v>
      </c>
    </row>
    <row r="33" spans="1:29" ht="15">
      <c r="A33" s="379" t="s">
        <v>1692</v>
      </c>
      <c r="B33" s="60" t="s">
        <v>1815</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528" t="s">
        <v>1694</v>
      </c>
      <c r="Q33" s="1262" t="str">
        <f t="shared" si="11"/>
        <v>建筑类型</v>
      </c>
      <c r="R33" s="667" t="s">
        <v>14</v>
      </c>
      <c r="S33" s="668">
        <f t="shared" si="12"/>
        <v>100</v>
      </c>
      <c r="T33" s="667" t="s">
        <v>14</v>
      </c>
      <c r="U33" s="668">
        <f t="shared" si="13"/>
        <v>100</v>
      </c>
      <c r="V33" s="667" t="s">
        <v>14</v>
      </c>
      <c r="W33" s="668">
        <f t="shared" si="14"/>
        <v>100</v>
      </c>
      <c r="X33" s="1264"/>
      <c r="Y33" s="3494" t="s">
        <v>1694</v>
      </c>
      <c r="Z33" s="1263" t="str">
        <f t="shared" si="15"/>
        <v>建筑类型</v>
      </c>
      <c r="AA33" s="1263">
        <f t="shared" si="3"/>
        <v>1</v>
      </c>
      <c r="AB33" s="1263">
        <f t="shared" si="4"/>
        <v>1</v>
      </c>
      <c r="AC33" s="1811">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29"/>
      <c r="Q34" s="531" t="str">
        <f t="shared" si="11"/>
        <v>项目建筑规模</v>
      </c>
      <c r="R34" s="669" t="s">
        <v>14</v>
      </c>
      <c r="S34" s="670" t="e">
        <f t="shared" si="12"/>
        <v>#N/A</v>
      </c>
      <c r="T34" s="669" t="s">
        <v>14</v>
      </c>
      <c r="U34" s="670" t="e">
        <f t="shared" si="13"/>
        <v>#N/A</v>
      </c>
      <c r="V34" s="669" t="s">
        <v>14</v>
      </c>
      <c r="W34" s="670" t="e">
        <f t="shared" si="14"/>
        <v>#N/A</v>
      </c>
      <c r="X34" s="671"/>
      <c r="Y34" s="3494"/>
      <c r="Z34" s="672" t="str">
        <f t="shared" si="15"/>
        <v>项目建筑规模</v>
      </c>
      <c r="AA34" s="1263" t="e">
        <f t="shared" si="3"/>
        <v>#N/A</v>
      </c>
      <c r="AB34" s="1263" t="e">
        <f t="shared" si="4"/>
        <v>#N/A</v>
      </c>
      <c r="AC34" s="1811"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29"/>
      <c r="Q35" s="1262" t="str">
        <f t="shared" si="11"/>
        <v>建筑结构</v>
      </c>
      <c r="R35" s="667" t="s">
        <v>14</v>
      </c>
      <c r="S35" s="668">
        <f t="shared" si="12"/>
        <v>100</v>
      </c>
      <c r="T35" s="667" t="s">
        <v>14</v>
      </c>
      <c r="U35" s="668">
        <f t="shared" si="13"/>
        <v>100</v>
      </c>
      <c r="V35" s="667" t="s">
        <v>14</v>
      </c>
      <c r="W35" s="668">
        <f t="shared" si="14"/>
        <v>100</v>
      </c>
      <c r="X35" s="1264"/>
      <c r="Y35" s="3494"/>
      <c r="Z35" s="1263" t="str">
        <f t="shared" si="15"/>
        <v>建筑结构</v>
      </c>
      <c r="AA35" s="1263">
        <f t="shared" si="3"/>
        <v>1</v>
      </c>
      <c r="AB35" s="1263">
        <f t="shared" si="4"/>
        <v>1</v>
      </c>
      <c r="AC35" s="1811">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29"/>
      <c r="Q36" s="1262" t="str">
        <f t="shared" si="11"/>
        <v>公共部分装修</v>
      </c>
      <c r="R36" s="667" t="s">
        <v>14</v>
      </c>
      <c r="S36" s="668">
        <f t="shared" si="12"/>
        <v>100</v>
      </c>
      <c r="T36" s="667" t="s">
        <v>14</v>
      </c>
      <c r="U36" s="668">
        <f t="shared" si="13"/>
        <v>100</v>
      </c>
      <c r="V36" s="667" t="s">
        <v>14</v>
      </c>
      <c r="W36" s="668">
        <f t="shared" si="14"/>
        <v>100</v>
      </c>
      <c r="X36" s="1264"/>
      <c r="Y36" s="3494"/>
      <c r="Z36" s="1263" t="str">
        <f t="shared" si="15"/>
        <v>公共部分装修</v>
      </c>
      <c r="AA36" s="1263">
        <f t="shared" si="3"/>
        <v>1</v>
      </c>
      <c r="AB36" s="1263">
        <f t="shared" si="4"/>
        <v>1</v>
      </c>
      <c r="AC36" s="1811">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29"/>
      <c r="Q37" s="1262" t="str">
        <f t="shared" si="11"/>
        <v>成新度</v>
      </c>
      <c r="R37" s="667" t="s">
        <v>14</v>
      </c>
      <c r="S37" s="668" t="e">
        <f t="shared" si="12"/>
        <v>#N/A</v>
      </c>
      <c r="T37" s="667" t="s">
        <v>14</v>
      </c>
      <c r="U37" s="668" t="e">
        <f t="shared" si="13"/>
        <v>#N/A</v>
      </c>
      <c r="V37" s="667" t="s">
        <v>14</v>
      </c>
      <c r="W37" s="668" t="e">
        <f t="shared" si="14"/>
        <v>#N/A</v>
      </c>
      <c r="X37" s="1264"/>
      <c r="Y37" s="3494"/>
      <c r="Z37" s="1263" t="str">
        <f t="shared" si="15"/>
        <v>成新度</v>
      </c>
      <c r="AA37" s="1263" t="e">
        <f t="shared" si="3"/>
        <v>#N/A</v>
      </c>
      <c r="AB37" s="1263" t="e">
        <f t="shared" si="4"/>
        <v>#N/A</v>
      </c>
      <c r="AC37" s="1811"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29"/>
      <c r="Q38" s="530" t="str">
        <f t="shared" si="11"/>
        <v>写字楼等级</v>
      </c>
      <c r="R38" s="664" t="s">
        <v>14</v>
      </c>
      <c r="S38" s="665">
        <f t="shared" si="12"/>
        <v>100</v>
      </c>
      <c r="T38" s="664" t="s">
        <v>14</v>
      </c>
      <c r="U38" s="665">
        <f t="shared" si="13"/>
        <v>100</v>
      </c>
      <c r="V38" s="664" t="s">
        <v>14</v>
      </c>
      <c r="W38" s="665">
        <f t="shared" si="14"/>
        <v>100</v>
      </c>
      <c r="X38" s="666"/>
      <c r="Y38" s="3494"/>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29" t="s">
        <v>1694</v>
      </c>
      <c r="Q39" s="1262" t="str">
        <f t="shared" si="11"/>
        <v>物业管理</v>
      </c>
      <c r="R39" s="667" t="s">
        <v>14</v>
      </c>
      <c r="S39" s="668">
        <f t="shared" si="12"/>
        <v>100</v>
      </c>
      <c r="T39" s="667" t="s">
        <v>14</v>
      </c>
      <c r="U39" s="668">
        <f t="shared" si="13"/>
        <v>100</v>
      </c>
      <c r="V39" s="667" t="s">
        <v>14</v>
      </c>
      <c r="W39" s="668">
        <f t="shared" si="14"/>
        <v>100</v>
      </c>
      <c r="X39" s="1264"/>
      <c r="Y39" s="3494" t="s">
        <v>1694</v>
      </c>
      <c r="Z39" s="1263" t="str">
        <f t="shared" si="15"/>
        <v>物业管理</v>
      </c>
      <c r="AA39" s="1263">
        <f t="shared" si="3"/>
        <v>1</v>
      </c>
      <c r="AB39" s="1263">
        <f t="shared" si="4"/>
        <v>1</v>
      </c>
      <c r="AC39" s="1811">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29"/>
      <c r="Q40" s="1262" t="str">
        <f t="shared" si="11"/>
        <v>市政基础设施</v>
      </c>
      <c r="R40" s="667" t="s">
        <v>14</v>
      </c>
      <c r="S40" s="668">
        <f t="shared" si="12"/>
        <v>100</v>
      </c>
      <c r="T40" s="667" t="s">
        <v>14</v>
      </c>
      <c r="U40" s="668">
        <f t="shared" si="13"/>
        <v>100</v>
      </c>
      <c r="V40" s="667" t="s">
        <v>14</v>
      </c>
      <c r="W40" s="668">
        <f t="shared" si="14"/>
        <v>100</v>
      </c>
      <c r="X40" s="1264"/>
      <c r="Y40" s="3494"/>
      <c r="Z40" s="1263" t="str">
        <f t="shared" si="15"/>
        <v>市政基础设施</v>
      </c>
      <c r="AA40" s="1263">
        <f t="shared" si="3"/>
        <v>1</v>
      </c>
      <c r="AB40" s="1263">
        <f t="shared" si="4"/>
        <v>1</v>
      </c>
      <c r="AC40" s="1811">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29"/>
      <c r="Q41" s="1262" t="str">
        <f t="shared" si="11"/>
        <v>层高</v>
      </c>
      <c r="R41" s="667" t="s">
        <v>14</v>
      </c>
      <c r="S41" s="668">
        <f t="shared" si="12"/>
        <v>100</v>
      </c>
      <c r="T41" s="667" t="s">
        <v>14</v>
      </c>
      <c r="U41" s="668">
        <f t="shared" si="13"/>
        <v>100</v>
      </c>
      <c r="V41" s="667" t="s">
        <v>14</v>
      </c>
      <c r="W41" s="668">
        <f t="shared" si="14"/>
        <v>100</v>
      </c>
      <c r="X41" s="1264"/>
      <c r="Y41" s="3494"/>
      <c r="Z41" s="1263" t="str">
        <f t="shared" si="15"/>
        <v>层高</v>
      </c>
      <c r="AA41" s="1263">
        <f t="shared" si="3"/>
        <v>1</v>
      </c>
      <c r="AB41" s="1263">
        <f t="shared" si="4"/>
        <v>1</v>
      </c>
      <c r="AC41" s="1811">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29"/>
      <c r="Q42" s="531" t="str">
        <f t="shared" si="11"/>
        <v>单套建筑面积</v>
      </c>
      <c r="R42" s="669" t="s">
        <v>14</v>
      </c>
      <c r="S42" s="670">
        <f t="shared" si="12"/>
        <v>100</v>
      </c>
      <c r="T42" s="669" t="s">
        <v>14</v>
      </c>
      <c r="U42" s="670">
        <f t="shared" si="13"/>
        <v>100</v>
      </c>
      <c r="V42" s="669" t="s">
        <v>14</v>
      </c>
      <c r="W42" s="670">
        <f t="shared" si="14"/>
        <v>100</v>
      </c>
      <c r="X42" s="671"/>
      <c r="Y42" s="3494"/>
      <c r="Z42" s="672" t="str">
        <f t="shared" si="15"/>
        <v>单套建筑面积</v>
      </c>
      <c r="AA42" s="1263">
        <f t="shared" si="3"/>
        <v>1</v>
      </c>
      <c r="AB42" s="1263">
        <f t="shared" si="4"/>
        <v>1</v>
      </c>
      <c r="AC42" s="1811">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29"/>
      <c r="Q43" s="1262" t="str">
        <f t="shared" si="11"/>
        <v>内部装修</v>
      </c>
      <c r="R43" s="667" t="s">
        <v>14</v>
      </c>
      <c r="S43" s="668">
        <f t="shared" si="12"/>
        <v>100</v>
      </c>
      <c r="T43" s="667" t="s">
        <v>14</v>
      </c>
      <c r="U43" s="668">
        <f t="shared" si="13"/>
        <v>100</v>
      </c>
      <c r="V43" s="667" t="s">
        <v>14</v>
      </c>
      <c r="W43" s="668">
        <f t="shared" si="14"/>
        <v>100</v>
      </c>
      <c r="X43" s="1264"/>
      <c r="Y43" s="3494"/>
      <c r="Z43" s="1263" t="str">
        <f t="shared" si="15"/>
        <v>内部装修</v>
      </c>
      <c r="AA43" s="1263">
        <f t="shared" si="3"/>
        <v>1</v>
      </c>
      <c r="AB43" s="1263">
        <f t="shared" si="4"/>
        <v>1</v>
      </c>
      <c r="AC43" s="1811">
        <f t="shared" si="5"/>
        <v>1</v>
      </c>
    </row>
    <row r="44" spans="1:29" ht="15">
      <c r="A44" s="409"/>
      <c r="B44" s="364" t="s">
        <v>1705</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529"/>
      <c r="Q44" s="1262" t="str">
        <f t="shared" si="11"/>
        <v>内部装修维护情况</v>
      </c>
      <c r="R44" s="667" t="s">
        <v>14</v>
      </c>
      <c r="S44" s="668">
        <f t="shared" si="12"/>
        <v>100</v>
      </c>
      <c r="T44" s="667" t="s">
        <v>14</v>
      </c>
      <c r="U44" s="668">
        <f t="shared" si="13"/>
        <v>100</v>
      </c>
      <c r="V44" s="667" t="s">
        <v>14</v>
      </c>
      <c r="W44" s="668">
        <f t="shared" si="14"/>
        <v>100</v>
      </c>
      <c r="X44" s="1264"/>
      <c r="Y44" s="3494"/>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29"/>
      <c r="Q45" s="530">
        <f t="shared" si="11"/>
        <v>111</v>
      </c>
      <c r="R45" s="664" t="s">
        <v>14</v>
      </c>
      <c r="S45" s="665">
        <f t="shared" si="12"/>
        <v>100</v>
      </c>
      <c r="T45" s="664" t="s">
        <v>14</v>
      </c>
      <c r="U45" s="665">
        <f t="shared" si="13"/>
        <v>100</v>
      </c>
      <c r="V45" s="664" t="s">
        <v>14</v>
      </c>
      <c r="W45" s="665">
        <f t="shared" si="14"/>
        <v>100</v>
      </c>
      <c r="X45" s="666"/>
      <c r="Y45" s="34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29"/>
      <c r="Q46" s="1262">
        <f t="shared" si="11"/>
        <v>111</v>
      </c>
      <c r="R46" s="667" t="s">
        <v>14</v>
      </c>
      <c r="S46" s="668">
        <f t="shared" si="12"/>
        <v>100</v>
      </c>
      <c r="T46" s="667" t="s">
        <v>14</v>
      </c>
      <c r="U46" s="668">
        <f t="shared" si="13"/>
        <v>100</v>
      </c>
      <c r="V46" s="667" t="s">
        <v>14</v>
      </c>
      <c r="W46" s="668">
        <f t="shared" si="14"/>
        <v>100</v>
      </c>
      <c r="X46" s="1264"/>
      <c r="Y46" s="349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30"/>
      <c r="Q47" s="1262">
        <f t="shared" si="11"/>
        <v>111</v>
      </c>
      <c r="R47" s="667" t="s">
        <v>14</v>
      </c>
      <c r="S47" s="668">
        <f t="shared" si="12"/>
        <v>100</v>
      </c>
      <c r="T47" s="667" t="s">
        <v>14</v>
      </c>
      <c r="U47" s="668">
        <f t="shared" si="13"/>
        <v>100</v>
      </c>
      <c r="V47" s="667" t="s">
        <v>14</v>
      </c>
      <c r="W47" s="668">
        <f t="shared" si="14"/>
        <v>100</v>
      </c>
      <c r="X47" s="1264"/>
      <c r="Y47" s="3531"/>
      <c r="Z47" s="1263">
        <f t="shared" si="15"/>
        <v>111</v>
      </c>
      <c r="AA47" s="1263">
        <f t="shared" si="3"/>
        <v>1</v>
      </c>
      <c r="AB47" s="1263">
        <f t="shared" si="4"/>
        <v>1</v>
      </c>
      <c r="AC47" s="1811">
        <f t="shared" si="5"/>
        <v>1</v>
      </c>
    </row>
    <row r="48" spans="1:29" ht="15">
      <c r="A48" s="416" t="s">
        <v>1706</v>
      </c>
      <c r="B48" s="417"/>
      <c r="C48" s="1081" t="s">
        <v>0</v>
      </c>
      <c r="D48" s="418"/>
      <c r="E48" s="419"/>
      <c r="F48" s="420"/>
      <c r="G48" s="421"/>
      <c r="H48" s="422"/>
      <c r="I48" s="419"/>
      <c r="J48" s="422"/>
      <c r="K48" s="674"/>
      <c r="L48" s="2494"/>
      <c r="M48" s="2487"/>
      <c r="N48" s="2487"/>
      <c r="O48" s="2487"/>
      <c r="P48" s="3500" t="str">
        <f>A48</f>
        <v>成交单价（元/平方米）</v>
      </c>
      <c r="Q48" s="3476"/>
      <c r="R48" s="3489">
        <f>E48</f>
        <v>0</v>
      </c>
      <c r="S48" s="3489"/>
      <c r="T48" s="3489">
        <f>G48</f>
        <v>0</v>
      </c>
      <c r="U48" s="3489"/>
      <c r="V48" s="3489">
        <f>I48</f>
        <v>0</v>
      </c>
      <c r="W48" s="3489"/>
      <c r="X48" s="385"/>
      <c r="Y48" s="673"/>
      <c r="Z48" s="385"/>
      <c r="AA48" s="385"/>
      <c r="AB48" s="385"/>
      <c r="AC48" s="555"/>
    </row>
    <row r="49" spans="1:29" ht="15.75" thickBot="1">
      <c r="A49" s="423" t="s">
        <v>1791</v>
      </c>
      <c r="B49" s="424"/>
      <c r="C49" s="1082" t="e">
        <f>R50</f>
        <v>#DIV/0!</v>
      </c>
      <c r="D49" s="2140" t="s">
        <v>2136</v>
      </c>
      <c r="E49" s="1083" t="e">
        <f>R49</f>
        <v>#DIV/0!</v>
      </c>
      <c r="F49" s="2141"/>
      <c r="G49" s="1082" t="e">
        <f>T49</f>
        <v>#DIV/0!</v>
      </c>
      <c r="H49" s="2141"/>
      <c r="I49" s="1083" t="e">
        <f>V49</f>
        <v>#DIV/0!</v>
      </c>
      <c r="J49" s="2141"/>
      <c r="K49" s="2143">
        <f>F49+H49+J49</f>
        <v>0</v>
      </c>
      <c r="L49" s="2494"/>
      <c r="M49" s="2487"/>
      <c r="N49" s="2487"/>
      <c r="O49" s="2487"/>
      <c r="P49" s="3500" t="str">
        <f>A49</f>
        <v>比较价值（元/平方米）</v>
      </c>
      <c r="Q49" s="3476"/>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4"/>
      <c r="M50" s="2487"/>
      <c r="N50" s="2487"/>
      <c r="O50" s="2487"/>
      <c r="P50" s="3546" t="str">
        <f>A50</f>
        <v>估价对象XX用房的比较价值（楼面单价，元/平方米）</v>
      </c>
      <c r="Q50" s="3547"/>
      <c r="R50" s="3548" t="e">
        <f>IF(F1="售价",ROUND(IF(D49="简单平均",AVERAGE(R49:V49),R49*F49+T49*H49+V49*J49),0),ROUND(IF(D49="简单平均",AVERAGE(R49:V49),R49*F49+T49*H49+V49*J49),1))</f>
        <v>#DIV/0!</v>
      </c>
      <c r="S50" s="3548"/>
      <c r="T50" s="3548"/>
      <c r="U50" s="3548"/>
      <c r="V50" s="3548"/>
      <c r="W50" s="354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1796</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1677</v>
      </c>
      <c r="B59" s="441"/>
      <c r="C59" s="1102" t="str">
        <f>YEAR(C7)&amp;"-"&amp;MONTH(C7)</f>
        <v>2024-9</v>
      </c>
      <c r="D59" s="1103">
        <f>EDATE(C59,-1)</f>
        <v>45505</v>
      </c>
      <c r="E59" s="1103">
        <f>EDATE(D59,-1)</f>
        <v>45474</v>
      </c>
      <c r="F59" s="1103">
        <f t="shared" ref="F59:O59" si="16">EDATE(E59,-1)</f>
        <v>45444</v>
      </c>
      <c r="G59" s="1103">
        <f t="shared" si="16"/>
        <v>45413</v>
      </c>
      <c r="H59" s="1103">
        <f t="shared" si="16"/>
        <v>45383</v>
      </c>
      <c r="I59" s="1103">
        <f t="shared" si="16"/>
        <v>45352</v>
      </c>
      <c r="J59" s="1103">
        <f t="shared" si="16"/>
        <v>45323</v>
      </c>
      <c r="K59" s="1103">
        <f t="shared" si="16"/>
        <v>45292</v>
      </c>
      <c r="L59" s="1103">
        <f t="shared" si="16"/>
        <v>45261</v>
      </c>
      <c r="M59" s="1103">
        <f t="shared" si="16"/>
        <v>45231</v>
      </c>
      <c r="N59" s="1103">
        <f t="shared" si="16"/>
        <v>45200</v>
      </c>
      <c r="O59" s="1103">
        <f t="shared" si="16"/>
        <v>45170</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1714</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1679</v>
      </c>
      <c r="B62" s="444"/>
      <c r="C62" s="456" t="s">
        <v>1774</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1717</v>
      </c>
      <c r="B64" s="460" t="s">
        <v>1683</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1686</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1688</v>
      </c>
      <c r="B77" s="460" t="s">
        <v>1819</v>
      </c>
      <c r="C77" s="504" t="s">
        <v>1719</v>
      </c>
      <c r="D77" s="504" t="s">
        <v>1720</v>
      </c>
      <c r="E77" s="504" t="s">
        <v>1721</v>
      </c>
      <c r="F77" s="504" t="s">
        <v>1722</v>
      </c>
      <c r="G77" s="504" t="s">
        <v>1723</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1724</v>
      </c>
      <c r="C79" s="509" t="s">
        <v>1719</v>
      </c>
      <c r="D79" s="509" t="s">
        <v>1720</v>
      </c>
      <c r="E79" s="509" t="s">
        <v>1721</v>
      </c>
      <c r="F79" s="509" t="s">
        <v>1722</v>
      </c>
      <c r="G79" s="509" t="s">
        <v>1723</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1725</v>
      </c>
      <c r="C81" s="509" t="s">
        <v>1719</v>
      </c>
      <c r="D81" s="509" t="s">
        <v>1720</v>
      </c>
      <c r="E81" s="509" t="s">
        <v>1721</v>
      </c>
      <c r="F81" s="509" t="s">
        <v>1722</v>
      </c>
      <c r="G81" s="509" t="s">
        <v>1723</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1811</v>
      </c>
      <c r="C83" s="581" t="s">
        <v>1797</v>
      </c>
      <c r="D83" s="581" t="s">
        <v>1798</v>
      </c>
      <c r="E83" s="581" t="s">
        <v>1799</v>
      </c>
      <c r="F83" s="581" t="s">
        <v>1800</v>
      </c>
      <c r="G83" s="581" t="s">
        <v>1801</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1820</v>
      </c>
      <c r="C85" s="509" t="s">
        <v>1719</v>
      </c>
      <c r="D85" s="509" t="s">
        <v>1720</v>
      </c>
      <c r="E85" s="509" t="s">
        <v>1721</v>
      </c>
      <c r="F85" s="509" t="s">
        <v>1722</v>
      </c>
      <c r="G85" s="509" t="s">
        <v>1723</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1821</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1692</v>
      </c>
      <c r="B101" s="460" t="s">
        <v>1734</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1736</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1738</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1822</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1739</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1740</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1823</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1806</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1742</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1658</v>
      </c>
      <c r="B1" s="1807" t="s">
        <v>1824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1461</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36323.870000000003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77" t="s">
        <v>1768</v>
      </c>
      <c r="D4" s="3478"/>
      <c r="E4" s="3479" t="s">
        <v>1769</v>
      </c>
      <c r="F4" s="3480"/>
      <c r="G4" s="3477" t="s">
        <v>1770</v>
      </c>
      <c r="H4" s="3478"/>
      <c r="I4" s="3477" t="s">
        <v>1771</v>
      </c>
      <c r="J4" s="3478"/>
      <c r="K4" s="537" t="s">
        <v>1772</v>
      </c>
      <c r="L4" s="860"/>
      <c r="M4" s="861"/>
      <c r="N4" s="861"/>
      <c r="O4" s="861"/>
      <c r="P4" s="3481" t="s">
        <v>1773</v>
      </c>
      <c r="Q4" s="3482"/>
      <c r="R4" s="3464" t="s">
        <v>1769</v>
      </c>
      <c r="S4" s="3465"/>
      <c r="T4" s="3464" t="s">
        <v>1770</v>
      </c>
      <c r="U4" s="3465"/>
      <c r="V4" s="3489" t="s">
        <v>1771</v>
      </c>
      <c r="W4" s="3489"/>
      <c r="X4" s="1264"/>
      <c r="Y4" s="3464" t="s">
        <v>1773</v>
      </c>
      <c r="Z4" s="3465"/>
      <c r="AA4" s="3459" t="s">
        <v>1769</v>
      </c>
      <c r="AB4" s="3460" t="s">
        <v>1770</v>
      </c>
      <c r="AC4" s="3459" t="s">
        <v>1771</v>
      </c>
    </row>
    <row r="5" spans="1:29" ht="15">
      <c r="A5" s="348"/>
      <c r="B5" s="349"/>
      <c r="C5" s="3470" t="s">
        <v>1671</v>
      </c>
      <c r="D5" s="3471"/>
      <c r="E5" s="3468" t="s">
        <v>1672</v>
      </c>
      <c r="F5" s="3469"/>
      <c r="G5" s="3470" t="s">
        <v>1673</v>
      </c>
      <c r="H5" s="3471"/>
      <c r="I5" s="3470" t="s">
        <v>1674</v>
      </c>
      <c r="J5" s="3471"/>
      <c r="K5" s="537"/>
      <c r="L5" s="860"/>
      <c r="M5" s="861"/>
      <c r="N5" s="861"/>
      <c r="O5" s="861"/>
      <c r="P5" s="3483"/>
      <c r="Q5" s="3484"/>
      <c r="R5" s="3466"/>
      <c r="S5" s="3467"/>
      <c r="T5" s="3466"/>
      <c r="U5" s="3467"/>
      <c r="V5" s="3489"/>
      <c r="W5" s="3489"/>
      <c r="X5" s="1264"/>
      <c r="Y5" s="3466"/>
      <c r="Z5" s="3467"/>
      <c r="AA5" s="3460"/>
      <c r="AB5" s="3460"/>
      <c r="AC5" s="3460"/>
    </row>
    <row r="6" spans="1:29" ht="15.75" thickBot="1">
      <c r="A6" s="350"/>
      <c r="B6" s="351"/>
      <c r="C6" s="3472" t="s">
        <v>1675</v>
      </c>
      <c r="D6" s="3473"/>
      <c r="E6" s="3474" t="s">
        <v>1675</v>
      </c>
      <c r="F6" s="3475"/>
      <c r="G6" s="3472" t="s">
        <v>1675</v>
      </c>
      <c r="H6" s="3473"/>
      <c r="I6" s="3472" t="s">
        <v>1675</v>
      </c>
      <c r="J6" s="3473"/>
      <c r="K6" s="537" t="s">
        <v>1676</v>
      </c>
      <c r="L6" s="860"/>
      <c r="M6" s="861"/>
      <c r="N6" s="861"/>
      <c r="O6" s="861"/>
      <c r="P6" s="3485"/>
      <c r="Q6" s="3486"/>
      <c r="R6" s="3466"/>
      <c r="S6" s="3467"/>
      <c r="T6" s="3487"/>
      <c r="U6" s="3488"/>
      <c r="V6" s="3489"/>
      <c r="W6" s="3489"/>
      <c r="X6" s="1264"/>
      <c r="Y6" s="3487"/>
      <c r="Z6" s="3488"/>
      <c r="AA6" s="3461"/>
      <c r="AB6" s="3461"/>
      <c r="AC6" s="3461"/>
    </row>
    <row r="7" spans="1:29" s="102" customFormat="1" ht="15.75" thickBot="1">
      <c r="A7" s="352" t="s">
        <v>1677</v>
      </c>
      <c r="B7" s="353"/>
      <c r="C7" s="354">
        <f>'数据-取费表'!B2</f>
        <v>45565</v>
      </c>
      <c r="D7" s="355">
        <v>100</v>
      </c>
      <c r="E7" s="356"/>
      <c r="F7" s="357">
        <f>SUMIF(52:52,YEAR(E7)&amp;"-"&amp;MONTH(E7),53:53)</f>
        <v>0</v>
      </c>
      <c r="G7" s="356"/>
      <c r="H7" s="355">
        <f>SUMIF(52:52,YEAR(G7)&amp;"-"&amp;MONTH(G7),53:53)</f>
        <v>0</v>
      </c>
      <c r="I7" s="356"/>
      <c r="J7" s="355">
        <f>SUMIF(52:52,YEAR(I7)&amp;"-"&amp;MONTH(I7),53:53)</f>
        <v>0</v>
      </c>
      <c r="K7" s="38"/>
      <c r="L7" s="862"/>
      <c r="M7" s="863"/>
      <c r="N7" s="863"/>
      <c r="O7" s="863"/>
      <c r="P7" s="3462" t="s">
        <v>1678</v>
      </c>
      <c r="Q7" s="3490"/>
      <c r="R7" s="664" t="s">
        <v>14</v>
      </c>
      <c r="S7" s="665">
        <f t="shared" ref="S7:S15" si="0">F7</f>
        <v>0</v>
      </c>
      <c r="T7" s="664" t="s">
        <v>14</v>
      </c>
      <c r="U7" s="665">
        <f t="shared" ref="U7:U15" si="1">H7</f>
        <v>0</v>
      </c>
      <c r="V7" s="664" t="s">
        <v>14</v>
      </c>
      <c r="W7" s="665">
        <f t="shared" ref="W7:W15" si="2">J7</f>
        <v>0</v>
      </c>
      <c r="X7" s="666"/>
      <c r="Y7" s="3462" t="s">
        <v>1678</v>
      </c>
      <c r="Z7" s="3463"/>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2" t="s">
        <v>1681</v>
      </c>
      <c r="Q8" s="3463"/>
      <c r="R8" s="664" t="s">
        <v>14</v>
      </c>
      <c r="S8" s="665">
        <f t="shared" si="0"/>
        <v>100</v>
      </c>
      <c r="T8" s="664" t="s">
        <v>14</v>
      </c>
      <c r="U8" s="665">
        <f t="shared" si="1"/>
        <v>100</v>
      </c>
      <c r="V8" s="664" t="s">
        <v>14</v>
      </c>
      <c r="W8" s="665">
        <f t="shared" si="2"/>
        <v>100</v>
      </c>
      <c r="X8" s="666"/>
      <c r="Y8" s="3462" t="s">
        <v>1681</v>
      </c>
      <c r="Z8" s="3463"/>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6" t="s">
        <v>1684</v>
      </c>
      <c r="Q9" s="530" t="str">
        <f t="shared" ref="Q9:Q15" si="6">B9</f>
        <v>用途</v>
      </c>
      <c r="R9" s="664" t="s">
        <v>14</v>
      </c>
      <c r="S9" s="665">
        <f t="shared" si="0"/>
        <v>100</v>
      </c>
      <c r="T9" s="664" t="s">
        <v>14</v>
      </c>
      <c r="U9" s="665">
        <f t="shared" si="1"/>
        <v>100</v>
      </c>
      <c r="V9" s="664" t="s">
        <v>14</v>
      </c>
      <c r="W9" s="665">
        <f t="shared" si="2"/>
        <v>100</v>
      </c>
      <c r="X9" s="666"/>
      <c r="Y9" s="3432" t="s">
        <v>1685</v>
      </c>
      <c r="Z9" s="50" t="str">
        <f t="shared" ref="Z9:Z15" si="7">Q9</f>
        <v>用途</v>
      </c>
      <c r="AA9" s="50">
        <f t="shared" si="3"/>
        <v>1</v>
      </c>
      <c r="AB9" s="50">
        <f t="shared" si="4"/>
        <v>1</v>
      </c>
      <c r="AC9" s="50">
        <f t="shared" si="5"/>
        <v>1</v>
      </c>
    </row>
    <row r="10" spans="1:29" s="366" customFormat="1" ht="27">
      <c r="A10" s="363"/>
      <c r="B10" s="364" t="s">
        <v>1686</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76"/>
      <c r="Q10" s="530" t="str">
        <f t="shared" si="6"/>
        <v>土地使用年限（年）</v>
      </c>
      <c r="R10" s="664" t="s">
        <v>14</v>
      </c>
      <c r="S10" s="665">
        <f t="shared" si="0"/>
        <v>100</v>
      </c>
      <c r="T10" s="664" t="s">
        <v>14</v>
      </c>
      <c r="U10" s="665">
        <f t="shared" si="1"/>
        <v>100</v>
      </c>
      <c r="V10" s="664" t="s">
        <v>14</v>
      </c>
      <c r="W10" s="665">
        <f t="shared" si="2"/>
        <v>100</v>
      </c>
      <c r="X10" s="666"/>
      <c r="Y10" s="3432"/>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6"/>
      <c r="Q11" s="530" t="str">
        <f t="shared" si="6"/>
        <v>容积率</v>
      </c>
      <c r="R11" s="664" t="s">
        <v>14</v>
      </c>
      <c r="S11" s="665">
        <f t="shared" si="0"/>
        <v>100</v>
      </c>
      <c r="T11" s="664" t="s">
        <v>14</v>
      </c>
      <c r="U11" s="665">
        <f t="shared" si="1"/>
        <v>100</v>
      </c>
      <c r="V11" s="664" t="s">
        <v>14</v>
      </c>
      <c r="W11" s="665">
        <f t="shared" si="2"/>
        <v>100</v>
      </c>
      <c r="X11" s="666"/>
      <c r="Y11" s="34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76"/>
      <c r="Q12" s="530">
        <f t="shared" si="6"/>
        <v>111</v>
      </c>
      <c r="R12" s="664" t="s">
        <v>14</v>
      </c>
      <c r="S12" s="665">
        <f t="shared" si="0"/>
        <v>100</v>
      </c>
      <c r="T12" s="664" t="s">
        <v>14</v>
      </c>
      <c r="U12" s="665">
        <f t="shared" si="1"/>
        <v>100</v>
      </c>
      <c r="V12" s="664" t="s">
        <v>14</v>
      </c>
      <c r="W12" s="665">
        <f t="shared" si="2"/>
        <v>100</v>
      </c>
      <c r="X12" s="666"/>
      <c r="Y12" s="34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76"/>
      <c r="Q13" s="530">
        <f t="shared" si="6"/>
        <v>111</v>
      </c>
      <c r="R13" s="664" t="s">
        <v>14</v>
      </c>
      <c r="S13" s="665">
        <f t="shared" si="0"/>
        <v>100</v>
      </c>
      <c r="T13" s="664" t="s">
        <v>14</v>
      </c>
      <c r="U13" s="665">
        <f t="shared" si="1"/>
        <v>100</v>
      </c>
      <c r="V13" s="664" t="s">
        <v>14</v>
      </c>
      <c r="W13" s="665">
        <f t="shared" si="2"/>
        <v>100</v>
      </c>
      <c r="X13" s="666"/>
      <c r="Y13" s="343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76"/>
      <c r="Q14" s="530">
        <f t="shared" si="6"/>
        <v>111</v>
      </c>
      <c r="R14" s="664" t="s">
        <v>14</v>
      </c>
      <c r="S14" s="665">
        <f t="shared" si="0"/>
        <v>100</v>
      </c>
      <c r="T14" s="664" t="s">
        <v>14</v>
      </c>
      <c r="U14" s="665">
        <f t="shared" si="1"/>
        <v>100</v>
      </c>
      <c r="V14" s="664" t="s">
        <v>14</v>
      </c>
      <c r="W14" s="665">
        <f t="shared" si="2"/>
        <v>100</v>
      </c>
      <c r="X14" s="666"/>
      <c r="Y14" s="3432"/>
      <c r="Z14" s="50">
        <f t="shared" si="7"/>
        <v>111</v>
      </c>
      <c r="AA14" s="50">
        <f t="shared" si="3"/>
        <v>1</v>
      </c>
      <c r="AB14" s="50">
        <f t="shared" si="4"/>
        <v>1</v>
      </c>
      <c r="AC14" s="50">
        <f t="shared" si="5"/>
        <v>1</v>
      </c>
    </row>
    <row r="15" spans="1:29" ht="57">
      <c r="A15" s="379" t="s">
        <v>1688</v>
      </c>
      <c r="B15" s="58" t="s">
        <v>1825</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91" t="s">
        <v>1689</v>
      </c>
      <c r="Q15" s="1262" t="str">
        <f t="shared" si="6"/>
        <v>产业集聚程度</v>
      </c>
      <c r="R15" s="667" t="s">
        <v>14</v>
      </c>
      <c r="S15" s="668">
        <f t="shared" si="0"/>
        <v>100</v>
      </c>
      <c r="T15" s="667" t="s">
        <v>14</v>
      </c>
      <c r="U15" s="668">
        <f t="shared" si="1"/>
        <v>100</v>
      </c>
      <c r="V15" s="667" t="s">
        <v>14</v>
      </c>
      <c r="W15" s="668">
        <f t="shared" si="2"/>
        <v>100</v>
      </c>
      <c r="X15" s="1264"/>
      <c r="Y15" s="3491" t="s">
        <v>1689</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92"/>
      <c r="Q16" s="1262"/>
      <c r="R16" s="667"/>
      <c r="S16" s="668"/>
      <c r="T16" s="667"/>
      <c r="U16" s="668"/>
      <c r="V16" s="667"/>
      <c r="W16" s="668"/>
      <c r="X16" s="1264"/>
      <c r="Y16" s="3492"/>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2"/>
      <c r="Q17" s="1262" t="str">
        <f>B17</f>
        <v>交通便捷度</v>
      </c>
      <c r="R17" s="667" t="s">
        <v>14</v>
      </c>
      <c r="S17" s="668">
        <f>F17</f>
        <v>100</v>
      </c>
      <c r="T17" s="667" t="s">
        <v>14</v>
      </c>
      <c r="U17" s="668">
        <f>H17</f>
        <v>100</v>
      </c>
      <c r="V17" s="667" t="s">
        <v>14</v>
      </c>
      <c r="W17" s="668">
        <f>J17</f>
        <v>100</v>
      </c>
      <c r="X17" s="1264"/>
      <c r="Y17" s="34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92"/>
      <c r="Q18" s="1262"/>
      <c r="R18" s="667"/>
      <c r="S18" s="668"/>
      <c r="T18" s="667"/>
      <c r="U18" s="668"/>
      <c r="V18" s="667"/>
      <c r="W18" s="668"/>
      <c r="X18" s="1264"/>
      <c r="Y18" s="3492"/>
      <c r="Z18" s="1263"/>
      <c r="AA18" s="1263">
        <v>1</v>
      </c>
      <c r="AB18" s="1263">
        <v>1</v>
      </c>
      <c r="AC18" s="1263">
        <v>1</v>
      </c>
    </row>
    <row r="19" spans="1:29" ht="42.75">
      <c r="A19" s="367"/>
      <c r="B19" s="390" t="s">
        <v>1810</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2"/>
      <c r="Q19" s="1262" t="str">
        <f>B19</f>
        <v>公共配套设施</v>
      </c>
      <c r="R19" s="667" t="s">
        <v>14</v>
      </c>
      <c r="S19" s="668">
        <f>F19</f>
        <v>100</v>
      </c>
      <c r="T19" s="667" t="s">
        <v>14</v>
      </c>
      <c r="U19" s="668">
        <f>H19</f>
        <v>100</v>
      </c>
      <c r="V19" s="667" t="s">
        <v>14</v>
      </c>
      <c r="W19" s="668">
        <f>J19</f>
        <v>100</v>
      </c>
      <c r="X19" s="1264"/>
      <c r="Y19" s="34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92"/>
      <c r="Q20" s="1262"/>
      <c r="R20" s="667"/>
      <c r="S20" s="668"/>
      <c r="T20" s="667"/>
      <c r="U20" s="668"/>
      <c r="V20" s="667"/>
      <c r="W20" s="668"/>
      <c r="X20" s="1264"/>
      <c r="Y20" s="3492"/>
      <c r="Z20" s="1263"/>
      <c r="AA20" s="1263">
        <v>1</v>
      </c>
      <c r="AB20" s="1263">
        <v>1</v>
      </c>
      <c r="AC20" s="1263">
        <v>1</v>
      </c>
    </row>
    <row r="21" spans="1:29" ht="28.5">
      <c r="A21" s="367"/>
      <c r="B21" s="586" t="s">
        <v>1811</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2"/>
      <c r="Q21" s="1262" t="str">
        <f>B21</f>
        <v>基础设施水平</v>
      </c>
      <c r="R21" s="667" t="s">
        <v>14</v>
      </c>
      <c r="S21" s="668">
        <f>F21</f>
        <v>100</v>
      </c>
      <c r="T21" s="667" t="s">
        <v>14</v>
      </c>
      <c r="U21" s="668">
        <f>H21</f>
        <v>100</v>
      </c>
      <c r="V21" s="667" t="s">
        <v>14</v>
      </c>
      <c r="W21" s="668">
        <f>J21</f>
        <v>100</v>
      </c>
      <c r="X21" s="1264"/>
      <c r="Y21" s="34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92"/>
      <c r="Q22" s="1262"/>
      <c r="R22" s="667"/>
      <c r="S22" s="668"/>
      <c r="T22" s="667"/>
      <c r="U22" s="668"/>
      <c r="V22" s="667"/>
      <c r="W22" s="668"/>
      <c r="X22" s="1264"/>
      <c r="Y22" s="3492"/>
      <c r="Z22" s="1263"/>
      <c r="AA22" s="1263">
        <v>1</v>
      </c>
      <c r="AB22" s="1263">
        <v>1</v>
      </c>
      <c r="AC22" s="1263">
        <v>1</v>
      </c>
    </row>
    <row r="23" spans="1:29" ht="71.25">
      <c r="A23" s="367"/>
      <c r="B23" s="390" t="s">
        <v>1812</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2"/>
      <c r="Q23" s="1262" t="str">
        <f>B23</f>
        <v>环境质量</v>
      </c>
      <c r="R23" s="667" t="s">
        <v>14</v>
      </c>
      <c r="S23" s="668">
        <f>F23</f>
        <v>100</v>
      </c>
      <c r="T23" s="667" t="s">
        <v>14</v>
      </c>
      <c r="U23" s="668">
        <f>H23</f>
        <v>100</v>
      </c>
      <c r="V23" s="667" t="s">
        <v>14</v>
      </c>
      <c r="W23" s="668">
        <f>J23</f>
        <v>100</v>
      </c>
      <c r="X23" s="1264"/>
      <c r="Y23" s="349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92"/>
      <c r="Q24" s="1262"/>
      <c r="R24" s="667"/>
      <c r="S24" s="668"/>
      <c r="T24" s="667"/>
      <c r="U24" s="668"/>
      <c r="V24" s="667"/>
      <c r="W24" s="668"/>
      <c r="X24" s="1264"/>
      <c r="Y24" s="349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2"/>
      <c r="Q25" s="1262">
        <f>B25</f>
        <v>111</v>
      </c>
      <c r="R25" s="667" t="s">
        <v>14</v>
      </c>
      <c r="S25" s="668">
        <f>F25</f>
        <v>100</v>
      </c>
      <c r="T25" s="667" t="s">
        <v>14</v>
      </c>
      <c r="U25" s="668">
        <f>H25</f>
        <v>100</v>
      </c>
      <c r="V25" s="667" t="s">
        <v>14</v>
      </c>
      <c r="W25" s="668">
        <f>J25</f>
        <v>100</v>
      </c>
      <c r="X25" s="1264"/>
      <c r="Y25" s="349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2"/>
      <c r="Q26" s="1262">
        <f t="shared" ref="Q26:Q40" si="11">B26</f>
        <v>111</v>
      </c>
      <c r="R26" s="667" t="s">
        <v>14</v>
      </c>
      <c r="S26" s="668">
        <f>F26</f>
        <v>100</v>
      </c>
      <c r="T26" s="667" t="s">
        <v>14</v>
      </c>
      <c r="U26" s="668">
        <f>H26</f>
        <v>100</v>
      </c>
      <c r="V26" s="667" t="s">
        <v>14</v>
      </c>
      <c r="W26" s="668">
        <f>J26</f>
        <v>100</v>
      </c>
      <c r="X26" s="1264"/>
      <c r="Y26" s="349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2"/>
      <c r="Q27" s="530">
        <f t="shared" si="11"/>
        <v>111</v>
      </c>
      <c r="R27" s="664" t="s">
        <v>14</v>
      </c>
      <c r="S27" s="665">
        <f>F27</f>
        <v>100</v>
      </c>
      <c r="T27" s="664" t="s">
        <v>14</v>
      </c>
      <c r="U27" s="665">
        <f>H27</f>
        <v>100</v>
      </c>
      <c r="V27" s="664" t="s">
        <v>14</v>
      </c>
      <c r="W27" s="665">
        <f>J27</f>
        <v>100</v>
      </c>
      <c r="X27" s="666"/>
      <c r="Y27" s="349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2"/>
      <c r="Q28" s="1262">
        <f t="shared" si="11"/>
        <v>111</v>
      </c>
      <c r="R28" s="667" t="s">
        <v>14</v>
      </c>
      <c r="S28" s="668">
        <f t="shared" ref="S28:S40" si="12">F28</f>
        <v>100</v>
      </c>
      <c r="T28" s="667" t="s">
        <v>14</v>
      </c>
      <c r="U28" s="668">
        <f t="shared" ref="U28:U40" si="13">H28</f>
        <v>100</v>
      </c>
      <c r="V28" s="667" t="s">
        <v>14</v>
      </c>
      <c r="W28" s="668">
        <f t="shared" ref="W28:W40" si="14">J28</f>
        <v>100</v>
      </c>
      <c r="X28" s="1264"/>
      <c r="Y28" s="3492"/>
      <c r="Z28" s="1263">
        <f t="shared" ref="Z28:Z40" si="15">Q28</f>
        <v>111</v>
      </c>
      <c r="AA28" s="1263">
        <f t="shared" si="3"/>
        <v>1</v>
      </c>
      <c r="AB28" s="1263">
        <f t="shared" si="4"/>
        <v>1</v>
      </c>
      <c r="AC28" s="1263">
        <f t="shared" si="5"/>
        <v>1</v>
      </c>
    </row>
    <row r="29" spans="1:29" ht="28.5">
      <c r="A29" s="404" t="s">
        <v>1692</v>
      </c>
      <c r="B29" s="60" t="s">
        <v>1815</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93" t="s">
        <v>1694</v>
      </c>
      <c r="Q29" s="1262" t="str">
        <f t="shared" si="11"/>
        <v>建筑类型</v>
      </c>
      <c r="R29" s="667" t="s">
        <v>14</v>
      </c>
      <c r="S29" s="668">
        <f t="shared" si="12"/>
        <v>100</v>
      </c>
      <c r="T29" s="667" t="s">
        <v>14</v>
      </c>
      <c r="U29" s="668">
        <f t="shared" si="13"/>
        <v>100</v>
      </c>
      <c r="V29" s="667" t="s">
        <v>14</v>
      </c>
      <c r="W29" s="668">
        <f t="shared" si="14"/>
        <v>100</v>
      </c>
      <c r="X29" s="1264"/>
      <c r="Y29" s="3494" t="s">
        <v>1694</v>
      </c>
      <c r="Z29" s="1263" t="str">
        <f t="shared" si="15"/>
        <v>建筑类型</v>
      </c>
      <c r="AA29" s="1263">
        <f t="shared" si="3"/>
        <v>1</v>
      </c>
      <c r="AB29" s="1263">
        <f t="shared" si="4"/>
        <v>1</v>
      </c>
      <c r="AC29" s="1263">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4"/>
      <c r="Q30" s="531" t="str">
        <f t="shared" si="11"/>
        <v>项目建筑规模</v>
      </c>
      <c r="R30" s="669" t="s">
        <v>14</v>
      </c>
      <c r="S30" s="670" t="e">
        <f t="shared" si="12"/>
        <v>#N/A</v>
      </c>
      <c r="T30" s="669" t="s">
        <v>14</v>
      </c>
      <c r="U30" s="670" t="e">
        <f t="shared" si="13"/>
        <v>#N/A</v>
      </c>
      <c r="V30" s="669" t="s">
        <v>14</v>
      </c>
      <c r="W30" s="670" t="e">
        <f t="shared" si="14"/>
        <v>#N/A</v>
      </c>
      <c r="X30" s="671"/>
      <c r="Y30" s="3494"/>
      <c r="Z30" s="672" t="str">
        <f t="shared" si="15"/>
        <v>项目建筑规模</v>
      </c>
      <c r="AA30" s="1263" t="e">
        <f t="shared" si="3"/>
        <v>#N/A</v>
      </c>
      <c r="AB30" s="1263" t="e">
        <f t="shared" si="4"/>
        <v>#N/A</v>
      </c>
      <c r="AC30" s="1263"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4"/>
      <c r="Q31" s="1262" t="str">
        <f t="shared" si="11"/>
        <v>建筑结构</v>
      </c>
      <c r="R31" s="667" t="s">
        <v>14</v>
      </c>
      <c r="S31" s="668">
        <f t="shared" si="12"/>
        <v>100</v>
      </c>
      <c r="T31" s="667" t="s">
        <v>14</v>
      </c>
      <c r="U31" s="668">
        <f t="shared" si="13"/>
        <v>100</v>
      </c>
      <c r="V31" s="667" t="s">
        <v>14</v>
      </c>
      <c r="W31" s="668">
        <f t="shared" si="14"/>
        <v>100</v>
      </c>
      <c r="X31" s="1264"/>
      <c r="Y31" s="3494"/>
      <c r="Z31" s="1263" t="str">
        <f t="shared" si="15"/>
        <v>建筑结构</v>
      </c>
      <c r="AA31" s="1263">
        <f t="shared" si="3"/>
        <v>1</v>
      </c>
      <c r="AB31" s="1263">
        <f t="shared" si="4"/>
        <v>1</v>
      </c>
      <c r="AC31" s="1263">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4"/>
      <c r="Q32" s="1262" t="str">
        <f t="shared" si="11"/>
        <v>公共部分装修</v>
      </c>
      <c r="R32" s="667" t="s">
        <v>14</v>
      </c>
      <c r="S32" s="668">
        <f t="shared" si="12"/>
        <v>100</v>
      </c>
      <c r="T32" s="667" t="s">
        <v>14</v>
      </c>
      <c r="U32" s="668">
        <f t="shared" si="13"/>
        <v>100</v>
      </c>
      <c r="V32" s="667" t="s">
        <v>14</v>
      </c>
      <c r="W32" s="668">
        <f t="shared" si="14"/>
        <v>100</v>
      </c>
      <c r="X32" s="1264"/>
      <c r="Y32" s="3494"/>
      <c r="Z32" s="1263" t="str">
        <f t="shared" si="15"/>
        <v>公共部分装修</v>
      </c>
      <c r="AA32" s="1263">
        <f t="shared" si="3"/>
        <v>1</v>
      </c>
      <c r="AB32" s="1263">
        <f t="shared" si="4"/>
        <v>1</v>
      </c>
      <c r="AC32" s="1263">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4"/>
      <c r="Q33" s="1262" t="str">
        <f t="shared" si="11"/>
        <v>成新度</v>
      </c>
      <c r="R33" s="667" t="s">
        <v>14</v>
      </c>
      <c r="S33" s="668" t="e">
        <f t="shared" si="12"/>
        <v>#N/A</v>
      </c>
      <c r="T33" s="667" t="s">
        <v>14</v>
      </c>
      <c r="U33" s="668" t="e">
        <f t="shared" si="13"/>
        <v>#N/A</v>
      </c>
      <c r="V33" s="667" t="s">
        <v>14</v>
      </c>
      <c r="W33" s="668" t="e">
        <f t="shared" si="14"/>
        <v>#N/A</v>
      </c>
      <c r="X33" s="1264"/>
      <c r="Y33" s="3494"/>
      <c r="Z33" s="1263" t="str">
        <f t="shared" si="15"/>
        <v>成新度</v>
      </c>
      <c r="AA33" s="1263" t="e">
        <f t="shared" si="3"/>
        <v>#N/A</v>
      </c>
      <c r="AB33" s="1263" t="e">
        <f t="shared" si="4"/>
        <v>#N/A</v>
      </c>
      <c r="AC33" s="1263"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4"/>
      <c r="Q34" s="530" t="str">
        <f t="shared" si="11"/>
        <v>物业管理</v>
      </c>
      <c r="R34" s="664" t="s">
        <v>14</v>
      </c>
      <c r="S34" s="665">
        <f t="shared" si="12"/>
        <v>100</v>
      </c>
      <c r="T34" s="664" t="s">
        <v>14</v>
      </c>
      <c r="U34" s="665">
        <f t="shared" si="13"/>
        <v>100</v>
      </c>
      <c r="V34" s="664" t="s">
        <v>14</v>
      </c>
      <c r="W34" s="665">
        <f t="shared" si="14"/>
        <v>100</v>
      </c>
      <c r="X34" s="666"/>
      <c r="Y34" s="349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4" t="s">
        <v>1694</v>
      </c>
      <c r="Q35" s="1262" t="str">
        <f t="shared" si="11"/>
        <v>市政基础设施</v>
      </c>
      <c r="R35" s="667" t="s">
        <v>14</v>
      </c>
      <c r="S35" s="668">
        <f t="shared" si="12"/>
        <v>100</v>
      </c>
      <c r="T35" s="667" t="s">
        <v>14</v>
      </c>
      <c r="U35" s="668">
        <f t="shared" si="13"/>
        <v>100</v>
      </c>
      <c r="V35" s="667" t="s">
        <v>14</v>
      </c>
      <c r="W35" s="668">
        <f t="shared" si="14"/>
        <v>100</v>
      </c>
      <c r="X35" s="1264"/>
      <c r="Y35" s="3494" t="s">
        <v>1694</v>
      </c>
      <c r="Z35" s="1263" t="str">
        <f t="shared" si="15"/>
        <v>市政基础设施</v>
      </c>
      <c r="AA35" s="1263">
        <f t="shared" si="3"/>
        <v>1</v>
      </c>
      <c r="AB35" s="1263">
        <f t="shared" si="4"/>
        <v>1</v>
      </c>
      <c r="AC35" s="1263">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4"/>
      <c r="Q36" s="1262" t="str">
        <f t="shared" si="11"/>
        <v>内部装修</v>
      </c>
      <c r="R36" s="667" t="s">
        <v>14</v>
      </c>
      <c r="S36" s="668">
        <f t="shared" si="12"/>
        <v>100</v>
      </c>
      <c r="T36" s="667" t="s">
        <v>14</v>
      </c>
      <c r="U36" s="668">
        <f t="shared" si="13"/>
        <v>100</v>
      </c>
      <c r="V36" s="667" t="s">
        <v>14</v>
      </c>
      <c r="W36" s="668">
        <f t="shared" si="14"/>
        <v>100</v>
      </c>
      <c r="X36" s="1264"/>
      <c r="Y36" s="3494"/>
      <c r="Z36" s="1263" t="str">
        <f t="shared" si="15"/>
        <v>内部装修</v>
      </c>
      <c r="AA36" s="1263">
        <f t="shared" si="3"/>
        <v>1</v>
      </c>
      <c r="AB36" s="1263">
        <f t="shared" si="4"/>
        <v>1</v>
      </c>
      <c r="AC36" s="1263">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4"/>
      <c r="Q37" s="1262" t="str">
        <f t="shared" si="11"/>
        <v>内部装修状况</v>
      </c>
      <c r="R37" s="667" t="s">
        <v>14</v>
      </c>
      <c r="S37" s="668">
        <f t="shared" si="12"/>
        <v>100</v>
      </c>
      <c r="T37" s="667" t="s">
        <v>14</v>
      </c>
      <c r="U37" s="668">
        <f t="shared" si="13"/>
        <v>100</v>
      </c>
      <c r="V37" s="667" t="s">
        <v>14</v>
      </c>
      <c r="W37" s="668">
        <f t="shared" si="14"/>
        <v>100</v>
      </c>
      <c r="X37" s="1264"/>
      <c r="Y37" s="349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4"/>
      <c r="Q38" s="531">
        <f t="shared" si="11"/>
        <v>111</v>
      </c>
      <c r="R38" s="669" t="s">
        <v>14</v>
      </c>
      <c r="S38" s="670">
        <f t="shared" si="12"/>
        <v>100</v>
      </c>
      <c r="T38" s="669" t="s">
        <v>14</v>
      </c>
      <c r="U38" s="670">
        <f t="shared" si="13"/>
        <v>100</v>
      </c>
      <c r="V38" s="669" t="s">
        <v>14</v>
      </c>
      <c r="W38" s="670">
        <f t="shared" si="14"/>
        <v>100</v>
      </c>
      <c r="X38" s="671"/>
      <c r="Y38" s="349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4"/>
      <c r="Q39" s="1262">
        <f t="shared" si="11"/>
        <v>111</v>
      </c>
      <c r="R39" s="667" t="s">
        <v>14</v>
      </c>
      <c r="S39" s="668">
        <f t="shared" si="12"/>
        <v>100</v>
      </c>
      <c r="T39" s="667" t="s">
        <v>14</v>
      </c>
      <c r="U39" s="668">
        <f t="shared" si="13"/>
        <v>100</v>
      </c>
      <c r="V39" s="667" t="s">
        <v>14</v>
      </c>
      <c r="W39" s="668">
        <f t="shared" si="14"/>
        <v>100</v>
      </c>
      <c r="X39" s="1264"/>
      <c r="Y39" s="349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1"/>
      <c r="Q40" s="1262">
        <f t="shared" si="11"/>
        <v>111</v>
      </c>
      <c r="R40" s="667" t="s">
        <v>14</v>
      </c>
      <c r="S40" s="668">
        <f t="shared" si="12"/>
        <v>100</v>
      </c>
      <c r="T40" s="667" t="s">
        <v>14</v>
      </c>
      <c r="U40" s="668">
        <f t="shared" si="13"/>
        <v>100</v>
      </c>
      <c r="V40" s="667" t="s">
        <v>14</v>
      </c>
      <c r="W40" s="668">
        <f t="shared" si="14"/>
        <v>100</v>
      </c>
      <c r="X40" s="1264"/>
      <c r="Y40" s="3531"/>
      <c r="Z40" s="1263">
        <f t="shared" si="15"/>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476" t="str">
        <f>A41</f>
        <v>成交单价（元/平方米）</v>
      </c>
      <c r="Q41" s="3476"/>
      <c r="R41" s="3489">
        <f>E41</f>
        <v>0</v>
      </c>
      <c r="S41" s="3489"/>
      <c r="T41" s="3489">
        <f>G41</f>
        <v>0</v>
      </c>
      <c r="U41" s="3489"/>
      <c r="V41" s="3489">
        <f>I41</f>
        <v>0</v>
      </c>
      <c r="W41" s="3489"/>
      <c r="X41" s="385"/>
      <c r="Y41" s="673"/>
      <c r="Z41" s="385"/>
      <c r="AA41" s="385"/>
      <c r="AB41" s="385"/>
      <c r="AC41" s="385"/>
    </row>
    <row r="42" spans="1:29" ht="15.75" thickBot="1">
      <c r="A42" s="423" t="s">
        <v>1791</v>
      </c>
      <c r="B42" s="424"/>
      <c r="C42" s="1082" t="e">
        <f>R43</f>
        <v>#DIV/0!</v>
      </c>
      <c r="D42" s="2140" t="s">
        <v>2136</v>
      </c>
      <c r="E42" s="1083" t="e">
        <f>R42</f>
        <v>#DIV/0!</v>
      </c>
      <c r="F42" s="2141"/>
      <c r="G42" s="1082" t="e">
        <f>T42</f>
        <v>#DIV/0!</v>
      </c>
      <c r="H42" s="2141"/>
      <c r="I42" s="1083" t="e">
        <f>V42</f>
        <v>#DIV/0!</v>
      </c>
      <c r="J42" s="2141"/>
      <c r="K42" s="2143">
        <f>F42+H42+J42</f>
        <v>0</v>
      </c>
      <c r="L42" s="873"/>
      <c r="M42" s="861"/>
      <c r="N42" s="861"/>
      <c r="O42" s="861"/>
      <c r="P42" s="3476" t="str">
        <f>A42</f>
        <v>比较价值（元/平方米）</v>
      </c>
      <c r="Q42" s="3476"/>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96" t="str">
        <f>A43</f>
        <v>估价对象XX用房的比较价值（楼面单价，元/平方米）</v>
      </c>
      <c r="Q43" s="3497"/>
      <c r="R43" s="3527" t="e">
        <f>IF(F1="售价",ROUND(IF(D42="简单平均",AVERAGE(R42:V42),R42*F42+T42*H42+V42*J42),0),ROUND(IF(D42="简单平均",AVERAGE(R42:V42),R42*F42+T42*H42+V42*J42),1))</f>
        <v>#DIV/0!</v>
      </c>
      <c r="S43" s="3527"/>
      <c r="T43" s="3527"/>
      <c r="U43" s="3527"/>
      <c r="V43" s="3527"/>
      <c r="W43" s="352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2" t="str">
        <f>YEAR(C7)&amp;"-"&amp;MONTH(C7)</f>
        <v>2024-9</v>
      </c>
      <c r="D52" s="1103">
        <f>EDATE(C52,-1)</f>
        <v>45505</v>
      </c>
      <c r="E52" s="1103">
        <f t="shared" ref="E52:O52" si="16">EDATE(D52,-1)</f>
        <v>45474</v>
      </c>
      <c r="F52" s="1103">
        <f t="shared" si="16"/>
        <v>45444</v>
      </c>
      <c r="G52" s="1103">
        <f t="shared" si="16"/>
        <v>45413</v>
      </c>
      <c r="H52" s="1103">
        <f t="shared" si="16"/>
        <v>45383</v>
      </c>
      <c r="I52" s="1103">
        <f t="shared" si="16"/>
        <v>45352</v>
      </c>
      <c r="J52" s="1103">
        <f t="shared" si="16"/>
        <v>45323</v>
      </c>
      <c r="K52" s="1103">
        <f t="shared" si="16"/>
        <v>45292</v>
      </c>
      <c r="L52" s="1103">
        <f t="shared" si="16"/>
        <v>45261</v>
      </c>
      <c r="M52" s="1103">
        <f t="shared" si="16"/>
        <v>45231</v>
      </c>
      <c r="N52" s="1103">
        <f t="shared" si="16"/>
        <v>45200</v>
      </c>
      <c r="O52" s="1103">
        <f t="shared" si="16"/>
        <v>45170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8"/>
      <c r="O54" s="2539"/>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1829</v>
      </c>
      <c r="B1" s="1139" t="s">
        <v>3334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1461</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1767</v>
      </c>
      <c r="B4" s="346"/>
      <c r="C4" s="3477" t="s">
        <v>1768</v>
      </c>
      <c r="D4" s="3478"/>
      <c r="E4" s="3479" t="s">
        <v>1769</v>
      </c>
      <c r="F4" s="3480"/>
      <c r="G4" s="3477" t="s">
        <v>1770</v>
      </c>
      <c r="H4" s="3478"/>
      <c r="I4" s="3477" t="s">
        <v>1771</v>
      </c>
      <c r="J4" s="3478"/>
      <c r="K4" s="537" t="s">
        <v>1772</v>
      </c>
      <c r="L4" s="2486"/>
      <c r="M4" s="2487"/>
      <c r="N4" s="2487"/>
      <c r="O4" s="2487"/>
      <c r="P4" s="3481" t="s">
        <v>1773</v>
      </c>
      <c r="Q4" s="3482"/>
      <c r="R4" s="3464" t="s">
        <v>1769</v>
      </c>
      <c r="S4" s="3465"/>
      <c r="T4" s="3464" t="s">
        <v>1770</v>
      </c>
      <c r="U4" s="3465"/>
      <c r="V4" s="3489" t="s">
        <v>1771</v>
      </c>
      <c r="W4" s="3489"/>
      <c r="X4" s="1264"/>
      <c r="Y4" s="3464" t="s">
        <v>1773</v>
      </c>
      <c r="Z4" s="3465"/>
      <c r="AA4" s="3459" t="s">
        <v>1769</v>
      </c>
      <c r="AB4" s="3460" t="s">
        <v>1770</v>
      </c>
      <c r="AC4" s="3459" t="s">
        <v>1771</v>
      </c>
    </row>
    <row r="5" spans="1:29" ht="15">
      <c r="A5" s="348"/>
      <c r="B5" s="349"/>
      <c r="C5" s="3470" t="s">
        <v>1671</v>
      </c>
      <c r="D5" s="3471"/>
      <c r="E5" s="3468" t="s">
        <v>1672</v>
      </c>
      <c r="F5" s="3469"/>
      <c r="G5" s="3470" t="s">
        <v>1673</v>
      </c>
      <c r="H5" s="3471"/>
      <c r="I5" s="3470" t="s">
        <v>1674</v>
      </c>
      <c r="J5" s="3471"/>
      <c r="K5" s="537"/>
      <c r="L5" s="2486"/>
      <c r="M5" s="2487"/>
      <c r="N5" s="2487"/>
      <c r="O5" s="2487"/>
      <c r="P5" s="3483"/>
      <c r="Q5" s="3484"/>
      <c r="R5" s="3466"/>
      <c r="S5" s="3467"/>
      <c r="T5" s="3466"/>
      <c r="U5" s="3467"/>
      <c r="V5" s="3489"/>
      <c r="W5" s="3489"/>
      <c r="X5" s="1264"/>
      <c r="Y5" s="3466"/>
      <c r="Z5" s="3467"/>
      <c r="AA5" s="3460"/>
      <c r="AB5" s="3460"/>
      <c r="AC5" s="3460"/>
    </row>
    <row r="6" spans="1:29" ht="15.75" thickBot="1">
      <c r="A6" s="350"/>
      <c r="B6" s="351"/>
      <c r="C6" s="3472" t="s">
        <v>1675</v>
      </c>
      <c r="D6" s="3473"/>
      <c r="E6" s="3474" t="s">
        <v>1675</v>
      </c>
      <c r="F6" s="3475"/>
      <c r="G6" s="3472" t="s">
        <v>1675</v>
      </c>
      <c r="H6" s="3473"/>
      <c r="I6" s="3472" t="s">
        <v>1675</v>
      </c>
      <c r="J6" s="3473"/>
      <c r="K6" s="537" t="s">
        <v>1676</v>
      </c>
      <c r="L6" s="2486"/>
      <c r="M6" s="2487"/>
      <c r="N6" s="2487"/>
      <c r="O6" s="2487"/>
      <c r="P6" s="3485"/>
      <c r="Q6" s="3486"/>
      <c r="R6" s="3466"/>
      <c r="S6" s="3467"/>
      <c r="T6" s="3487"/>
      <c r="U6" s="3488"/>
      <c r="V6" s="3489"/>
      <c r="W6" s="3489"/>
      <c r="X6" s="1264"/>
      <c r="Y6" s="3487"/>
      <c r="Z6" s="3488"/>
      <c r="AA6" s="3461"/>
      <c r="AB6" s="3461"/>
      <c r="AC6" s="3461"/>
    </row>
    <row r="7" spans="1:29" s="102" customFormat="1" ht="15.75" thickBot="1">
      <c r="A7" s="352" t="s">
        <v>1677</v>
      </c>
      <c r="B7" s="353"/>
      <c r="C7" s="354">
        <f>'数据-取费表'!B2</f>
        <v>45565</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62" t="s">
        <v>1678</v>
      </c>
      <c r="Q7" s="3490"/>
      <c r="R7" s="664" t="s">
        <v>14</v>
      </c>
      <c r="S7" s="665">
        <f t="shared" ref="S7:S14" si="0">F7</f>
        <v>0</v>
      </c>
      <c r="T7" s="664" t="s">
        <v>14</v>
      </c>
      <c r="U7" s="665">
        <f t="shared" ref="U7:U14" si="1">H7</f>
        <v>0</v>
      </c>
      <c r="V7" s="664" t="s">
        <v>14</v>
      </c>
      <c r="W7" s="665">
        <f t="shared" ref="W7:W14" si="2">J7</f>
        <v>0</v>
      </c>
      <c r="X7" s="666"/>
      <c r="Y7" s="3462" t="s">
        <v>1678</v>
      </c>
      <c r="Z7" s="3463"/>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62" t="s">
        <v>1681</v>
      </c>
      <c r="Q8" s="3463"/>
      <c r="R8" s="664" t="s">
        <v>14</v>
      </c>
      <c r="S8" s="665">
        <f t="shared" si="0"/>
        <v>100</v>
      </c>
      <c r="T8" s="664" t="s">
        <v>14</v>
      </c>
      <c r="U8" s="665">
        <f t="shared" si="1"/>
        <v>100</v>
      </c>
      <c r="V8" s="664" t="s">
        <v>14</v>
      </c>
      <c r="W8" s="665">
        <f t="shared" si="2"/>
        <v>100</v>
      </c>
      <c r="X8" s="666"/>
      <c r="Y8" s="3462" t="s">
        <v>1681</v>
      </c>
      <c r="Z8" s="3463"/>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76" t="s">
        <v>1684</v>
      </c>
      <c r="Q9" s="530" t="str">
        <f t="shared" ref="Q9:Q14" si="6">B9</f>
        <v>用途</v>
      </c>
      <c r="R9" s="664" t="s">
        <v>14</v>
      </c>
      <c r="S9" s="665">
        <f t="shared" si="0"/>
        <v>100</v>
      </c>
      <c r="T9" s="664" t="s">
        <v>14</v>
      </c>
      <c r="U9" s="665">
        <f t="shared" si="1"/>
        <v>100</v>
      </c>
      <c r="V9" s="664" t="s">
        <v>14</v>
      </c>
      <c r="W9" s="665">
        <f t="shared" si="2"/>
        <v>100</v>
      </c>
      <c r="X9" s="666"/>
      <c r="Y9" s="3432" t="s">
        <v>1685</v>
      </c>
      <c r="Z9" s="50" t="str">
        <f t="shared" ref="Z9:Z14" si="7">Q9</f>
        <v>用途</v>
      </c>
      <c r="AA9" s="50">
        <f t="shared" si="3"/>
        <v>1</v>
      </c>
      <c r="AB9" s="50">
        <f t="shared" si="4"/>
        <v>1</v>
      </c>
      <c r="AC9" s="50">
        <f t="shared" si="5"/>
        <v>1</v>
      </c>
    </row>
    <row r="10" spans="1:29" s="366" customFormat="1" ht="27">
      <c r="A10" s="363"/>
      <c r="B10" s="364" t="s">
        <v>1686</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76"/>
      <c r="Q10" s="530" t="str">
        <f t="shared" si="6"/>
        <v>土地使用年限（年）</v>
      </c>
      <c r="R10" s="664" t="s">
        <v>14</v>
      </c>
      <c r="S10" s="665">
        <f t="shared" si="0"/>
        <v>100</v>
      </c>
      <c r="T10" s="664" t="s">
        <v>14</v>
      </c>
      <c r="U10" s="665">
        <f t="shared" si="1"/>
        <v>100</v>
      </c>
      <c r="V10" s="664" t="s">
        <v>14</v>
      </c>
      <c r="W10" s="665">
        <f t="shared" si="2"/>
        <v>100</v>
      </c>
      <c r="X10" s="666"/>
      <c r="Y10" s="34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76"/>
      <c r="Q11" s="530">
        <f t="shared" si="6"/>
        <v>111</v>
      </c>
      <c r="R11" s="664" t="s">
        <v>14</v>
      </c>
      <c r="S11" s="665">
        <f t="shared" si="0"/>
        <v>100</v>
      </c>
      <c r="T11" s="664" t="s">
        <v>14</v>
      </c>
      <c r="U11" s="665">
        <f t="shared" si="1"/>
        <v>100</v>
      </c>
      <c r="V11" s="664" t="s">
        <v>14</v>
      </c>
      <c r="W11" s="665">
        <f t="shared" si="2"/>
        <v>100</v>
      </c>
      <c r="X11" s="666"/>
      <c r="Y11" s="34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76"/>
      <c r="Q12" s="530">
        <f t="shared" si="6"/>
        <v>111</v>
      </c>
      <c r="R12" s="664" t="s">
        <v>14</v>
      </c>
      <c r="S12" s="665">
        <f t="shared" si="0"/>
        <v>100</v>
      </c>
      <c r="T12" s="664" t="s">
        <v>14</v>
      </c>
      <c r="U12" s="665">
        <f t="shared" si="1"/>
        <v>100</v>
      </c>
      <c r="V12" s="664" t="s">
        <v>14</v>
      </c>
      <c r="W12" s="665">
        <f t="shared" si="2"/>
        <v>100</v>
      </c>
      <c r="X12" s="666"/>
      <c r="Y12" s="34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76"/>
      <c r="Q13" s="530">
        <f t="shared" si="6"/>
        <v>111</v>
      </c>
      <c r="R13" s="664" t="s">
        <v>14</v>
      </c>
      <c r="S13" s="665">
        <f t="shared" si="0"/>
        <v>100</v>
      </c>
      <c r="T13" s="664" t="s">
        <v>14</v>
      </c>
      <c r="U13" s="665">
        <f t="shared" si="1"/>
        <v>100</v>
      </c>
      <c r="V13" s="664" t="s">
        <v>14</v>
      </c>
      <c r="W13" s="665">
        <f t="shared" si="2"/>
        <v>100</v>
      </c>
      <c r="X13" s="666"/>
      <c r="Y13" s="3432"/>
      <c r="Z13" s="50">
        <f t="shared" si="7"/>
        <v>111</v>
      </c>
      <c r="AA13" s="50">
        <f t="shared" si="3"/>
        <v>1</v>
      </c>
      <c r="AB13" s="50">
        <f t="shared" si="4"/>
        <v>1</v>
      </c>
      <c r="AC13" s="50">
        <f t="shared" si="5"/>
        <v>1</v>
      </c>
    </row>
    <row r="14" spans="1:29" ht="85.5">
      <c r="A14" s="379" t="s">
        <v>1688</v>
      </c>
      <c r="B14" s="58" t="s">
        <v>1831</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91" t="s">
        <v>1689</v>
      </c>
      <c r="Q14" s="1262" t="str">
        <f t="shared" si="6"/>
        <v>交通便捷度</v>
      </c>
      <c r="R14" s="667" t="s">
        <v>14</v>
      </c>
      <c r="S14" s="668">
        <f t="shared" si="0"/>
        <v>100</v>
      </c>
      <c r="T14" s="667" t="s">
        <v>14</v>
      </c>
      <c r="U14" s="668">
        <f t="shared" si="1"/>
        <v>100</v>
      </c>
      <c r="V14" s="667" t="s">
        <v>14</v>
      </c>
      <c r="W14" s="668">
        <f t="shared" si="2"/>
        <v>100</v>
      </c>
      <c r="X14" s="1264"/>
      <c r="Y14" s="3491" t="s">
        <v>1689</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92"/>
      <c r="Q15" s="1262"/>
      <c r="R15" s="667"/>
      <c r="S15" s="668"/>
      <c r="T15" s="667"/>
      <c r="U15" s="668"/>
      <c r="V15" s="667"/>
      <c r="W15" s="668"/>
      <c r="X15" s="1264"/>
      <c r="Y15" s="3492"/>
      <c r="Z15" s="1263"/>
      <c r="AA15" s="1263">
        <v>1</v>
      </c>
      <c r="AB15" s="1263">
        <v>1</v>
      </c>
      <c r="AC15" s="1263">
        <v>1</v>
      </c>
    </row>
    <row r="16" spans="1:29" ht="42.75">
      <c r="A16" s="367"/>
      <c r="B16" s="390" t="s">
        <v>1810</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92"/>
      <c r="Q16" s="1262" t="str">
        <f>B16</f>
        <v>公共配套设施</v>
      </c>
      <c r="R16" s="667" t="s">
        <v>14</v>
      </c>
      <c r="S16" s="668">
        <f>F16</f>
        <v>100</v>
      </c>
      <c r="T16" s="667" t="s">
        <v>14</v>
      </c>
      <c r="U16" s="668">
        <f>H16</f>
        <v>100</v>
      </c>
      <c r="V16" s="667" t="s">
        <v>14</v>
      </c>
      <c r="W16" s="668">
        <f>J16</f>
        <v>100</v>
      </c>
      <c r="X16" s="1264"/>
      <c r="Y16" s="349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92"/>
      <c r="Q17" s="1262"/>
      <c r="R17" s="667"/>
      <c r="S17" s="668"/>
      <c r="T17" s="667"/>
      <c r="U17" s="668"/>
      <c r="V17" s="667"/>
      <c r="W17" s="668"/>
      <c r="X17" s="1264"/>
      <c r="Y17" s="3492"/>
      <c r="Z17" s="1263"/>
      <c r="AA17" s="1263">
        <v>1</v>
      </c>
      <c r="AB17" s="1263">
        <v>1</v>
      </c>
      <c r="AC17" s="1263">
        <v>1</v>
      </c>
    </row>
    <row r="18" spans="1:29" ht="28.5">
      <c r="A18" s="367"/>
      <c r="B18" s="586" t="s">
        <v>1811</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92"/>
      <c r="Q18" s="1262" t="str">
        <f>B18</f>
        <v>基础设施水平</v>
      </c>
      <c r="R18" s="667" t="s">
        <v>14</v>
      </c>
      <c r="S18" s="668">
        <f>F18</f>
        <v>100</v>
      </c>
      <c r="T18" s="667" t="s">
        <v>14</v>
      </c>
      <c r="U18" s="668">
        <f>H18</f>
        <v>100</v>
      </c>
      <c r="V18" s="667" t="s">
        <v>14</v>
      </c>
      <c r="W18" s="668">
        <f>J18</f>
        <v>100</v>
      </c>
      <c r="X18" s="1264"/>
      <c r="Y18" s="349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492"/>
      <c r="Q19" s="1262"/>
      <c r="R19" s="667"/>
      <c r="S19" s="668"/>
      <c r="T19" s="667"/>
      <c r="U19" s="668"/>
      <c r="V19" s="667"/>
      <c r="W19" s="668"/>
      <c r="X19" s="1264"/>
      <c r="Y19" s="3492"/>
      <c r="Z19" s="1263"/>
      <c r="AA19" s="1263">
        <v>1</v>
      </c>
      <c r="AB19" s="1263">
        <v>1</v>
      </c>
      <c r="AC19" s="1263">
        <v>1</v>
      </c>
    </row>
    <row r="20" spans="1:29" ht="57">
      <c r="A20" s="367"/>
      <c r="B20" s="390" t="s">
        <v>1832</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92"/>
      <c r="Q20" s="1262" t="str">
        <f>B20</f>
        <v>自然及人文环境</v>
      </c>
      <c r="R20" s="667" t="s">
        <v>14</v>
      </c>
      <c r="S20" s="668">
        <f>F20</f>
        <v>100</v>
      </c>
      <c r="T20" s="667" t="s">
        <v>14</v>
      </c>
      <c r="U20" s="668">
        <f>H20</f>
        <v>100</v>
      </c>
      <c r="V20" s="667" t="s">
        <v>14</v>
      </c>
      <c r="W20" s="668">
        <f>J20</f>
        <v>100</v>
      </c>
      <c r="X20" s="1264"/>
      <c r="Y20" s="349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92"/>
      <c r="Q21" s="1262"/>
      <c r="R21" s="667"/>
      <c r="S21" s="668"/>
      <c r="T21" s="667"/>
      <c r="U21" s="668"/>
      <c r="V21" s="667"/>
      <c r="W21" s="668"/>
      <c r="X21" s="1264"/>
      <c r="Y21" s="3492"/>
      <c r="Z21" s="1263"/>
      <c r="AA21" s="1263">
        <v>1</v>
      </c>
      <c r="AB21" s="1263">
        <v>1</v>
      </c>
      <c r="AC21" s="1263">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92"/>
      <c r="Q22" s="1262" t="str">
        <f>B22</f>
        <v>楼层</v>
      </c>
      <c r="R22" s="667" t="s">
        <v>14</v>
      </c>
      <c r="S22" s="668">
        <f>F22</f>
        <v>100</v>
      </c>
      <c r="T22" s="667" t="s">
        <v>14</v>
      </c>
      <c r="U22" s="668">
        <f>H22</f>
        <v>100</v>
      </c>
      <c r="V22" s="667" t="s">
        <v>14</v>
      </c>
      <c r="W22" s="668">
        <f>J22</f>
        <v>100</v>
      </c>
      <c r="X22" s="1264"/>
      <c r="Y22" s="349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92"/>
      <c r="Q23" s="1262">
        <f>B23</f>
        <v>111</v>
      </c>
      <c r="R23" s="667" t="s">
        <v>14</v>
      </c>
      <c r="S23" s="668">
        <f>F23</f>
        <v>100</v>
      </c>
      <c r="T23" s="667" t="s">
        <v>14</v>
      </c>
      <c r="U23" s="668">
        <f>H23</f>
        <v>100</v>
      </c>
      <c r="V23" s="667" t="s">
        <v>14</v>
      </c>
      <c r="W23" s="668">
        <f>J23</f>
        <v>100</v>
      </c>
      <c r="X23" s="1264"/>
      <c r="Y23" s="349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92"/>
      <c r="Q24" s="1262">
        <f t="shared" ref="Q24:Q34" si="11">B24</f>
        <v>111</v>
      </c>
      <c r="R24" s="667" t="s">
        <v>14</v>
      </c>
      <c r="S24" s="668">
        <f>F24</f>
        <v>100</v>
      </c>
      <c r="T24" s="667" t="s">
        <v>14</v>
      </c>
      <c r="U24" s="668">
        <f>H24</f>
        <v>100</v>
      </c>
      <c r="V24" s="667" t="s">
        <v>14</v>
      </c>
      <c r="W24" s="668">
        <f>J24</f>
        <v>100</v>
      </c>
      <c r="X24" s="1264"/>
      <c r="Y24" s="349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92"/>
      <c r="Q25" s="530">
        <f t="shared" si="11"/>
        <v>111</v>
      </c>
      <c r="R25" s="664" t="s">
        <v>14</v>
      </c>
      <c r="S25" s="665">
        <f>F25</f>
        <v>100</v>
      </c>
      <c r="T25" s="664" t="s">
        <v>14</v>
      </c>
      <c r="U25" s="665">
        <f>H25</f>
        <v>100</v>
      </c>
      <c r="V25" s="664" t="s">
        <v>14</v>
      </c>
      <c r="W25" s="665">
        <f>J25</f>
        <v>100</v>
      </c>
      <c r="X25" s="666"/>
      <c r="Y25" s="3492"/>
      <c r="Z25" s="50">
        <f>Q25</f>
        <v>111</v>
      </c>
      <c r="AA25" s="1263">
        <f>D25/F25</f>
        <v>1</v>
      </c>
      <c r="AB25" s="1263">
        <f>D25/H25</f>
        <v>1</v>
      </c>
      <c r="AC25" s="1263">
        <f>D25/J25</f>
        <v>1</v>
      </c>
    </row>
    <row r="26" spans="1:29" ht="28.5">
      <c r="A26" s="404" t="s">
        <v>1692</v>
      </c>
      <c r="B26" s="60" t="s">
        <v>1836</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93" t="s">
        <v>1694</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94" t="s">
        <v>1694</v>
      </c>
      <c r="Z26" s="1263" t="str">
        <f t="shared" ref="Z26:Z34" si="15">Q26</f>
        <v>公共部分装修</v>
      </c>
      <c r="AA26" s="1263">
        <f t="shared" si="3"/>
        <v>1</v>
      </c>
      <c r="AB26" s="1263">
        <f t="shared" si="4"/>
        <v>1</v>
      </c>
      <c r="AC26" s="1263">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94"/>
      <c r="Q27" s="531" t="str">
        <f t="shared" si="11"/>
        <v>成新率</v>
      </c>
      <c r="R27" s="669" t="s">
        <v>14</v>
      </c>
      <c r="S27" s="670" t="e">
        <f t="shared" si="12"/>
        <v>#N/A</v>
      </c>
      <c r="T27" s="669" t="s">
        <v>14</v>
      </c>
      <c r="U27" s="670" t="e">
        <f t="shared" si="13"/>
        <v>#N/A</v>
      </c>
      <c r="V27" s="669" t="s">
        <v>14</v>
      </c>
      <c r="W27" s="670" t="e">
        <f t="shared" si="14"/>
        <v>#N/A</v>
      </c>
      <c r="X27" s="671"/>
      <c r="Y27" s="3494"/>
      <c r="Z27" s="672" t="str">
        <f t="shared" si="15"/>
        <v>成新率</v>
      </c>
      <c r="AA27" s="1263" t="e">
        <f t="shared" si="3"/>
        <v>#N/A</v>
      </c>
      <c r="AB27" s="1263" t="e">
        <f t="shared" si="4"/>
        <v>#N/A</v>
      </c>
      <c r="AC27" s="1263"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94"/>
      <c r="Q28" s="1262" t="str">
        <f t="shared" si="11"/>
        <v>物业等级</v>
      </c>
      <c r="R28" s="667" t="s">
        <v>14</v>
      </c>
      <c r="S28" s="668">
        <f t="shared" si="12"/>
        <v>100</v>
      </c>
      <c r="T28" s="667" t="s">
        <v>14</v>
      </c>
      <c r="U28" s="668">
        <f t="shared" si="13"/>
        <v>100</v>
      </c>
      <c r="V28" s="667" t="s">
        <v>14</v>
      </c>
      <c r="W28" s="668">
        <f t="shared" si="14"/>
        <v>100</v>
      </c>
      <c r="X28" s="1264"/>
      <c r="Y28" s="3494"/>
      <c r="Z28" s="1263" t="str">
        <f t="shared" si="15"/>
        <v>物业等级</v>
      </c>
      <c r="AA28" s="1263">
        <f t="shared" si="3"/>
        <v>1</v>
      </c>
      <c r="AB28" s="1263">
        <f t="shared" si="4"/>
        <v>1</v>
      </c>
      <c r="AC28" s="1263">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94"/>
      <c r="Q29" s="1262" t="str">
        <f t="shared" si="11"/>
        <v>有无电梯</v>
      </c>
      <c r="R29" s="667" t="s">
        <v>14</v>
      </c>
      <c r="S29" s="668">
        <f t="shared" si="12"/>
        <v>100</v>
      </c>
      <c r="T29" s="667" t="s">
        <v>14</v>
      </c>
      <c r="U29" s="668">
        <f t="shared" si="13"/>
        <v>100</v>
      </c>
      <c r="V29" s="667" t="s">
        <v>14</v>
      </c>
      <c r="W29" s="668">
        <f t="shared" si="14"/>
        <v>100</v>
      </c>
      <c r="X29" s="1264"/>
      <c r="Y29" s="3494"/>
      <c r="Z29" s="1263" t="str">
        <f t="shared" si="15"/>
        <v>有无电梯</v>
      </c>
      <c r="AA29" s="1263">
        <f t="shared" si="3"/>
        <v>1</v>
      </c>
      <c r="AB29" s="1263">
        <f t="shared" si="4"/>
        <v>1</v>
      </c>
      <c r="AC29" s="1263">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94"/>
      <c r="Q30" s="1262" t="str">
        <f t="shared" si="11"/>
        <v>建筑面积</v>
      </c>
      <c r="R30" s="667" t="s">
        <v>14</v>
      </c>
      <c r="S30" s="668" t="e">
        <f t="shared" si="12"/>
        <v>#N/A</v>
      </c>
      <c r="T30" s="667" t="s">
        <v>14</v>
      </c>
      <c r="U30" s="668" t="e">
        <f t="shared" si="13"/>
        <v>#N/A</v>
      </c>
      <c r="V30" s="667" t="s">
        <v>14</v>
      </c>
      <c r="W30" s="668" t="e">
        <f t="shared" si="14"/>
        <v>#N/A</v>
      </c>
      <c r="X30" s="1264"/>
      <c r="Y30" s="3494"/>
      <c r="Z30" s="1263" t="str">
        <f t="shared" si="15"/>
        <v>建筑面积</v>
      </c>
      <c r="AA30" s="1263" t="e">
        <f t="shared" si="3"/>
        <v>#N/A</v>
      </c>
      <c r="AB30" s="1263" t="e">
        <f t="shared" si="4"/>
        <v>#N/A</v>
      </c>
      <c r="AC30" s="1263"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94"/>
      <c r="Q31" s="530" t="str">
        <f t="shared" si="11"/>
        <v>是否封闭</v>
      </c>
      <c r="R31" s="664" t="s">
        <v>14</v>
      </c>
      <c r="S31" s="665">
        <f t="shared" si="12"/>
        <v>100</v>
      </c>
      <c r="T31" s="664" t="s">
        <v>14</v>
      </c>
      <c r="U31" s="665">
        <f t="shared" si="13"/>
        <v>100</v>
      </c>
      <c r="V31" s="664" t="s">
        <v>14</v>
      </c>
      <c r="W31" s="665">
        <f t="shared" si="14"/>
        <v>100</v>
      </c>
      <c r="X31" s="666"/>
      <c r="Y31" s="34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94" t="s">
        <v>1694</v>
      </c>
      <c r="Q32" s="1262">
        <f t="shared" si="11"/>
        <v>111</v>
      </c>
      <c r="R32" s="667" t="s">
        <v>14</v>
      </c>
      <c r="S32" s="668">
        <f t="shared" si="12"/>
        <v>100</v>
      </c>
      <c r="T32" s="667" t="s">
        <v>14</v>
      </c>
      <c r="U32" s="668">
        <f t="shared" si="13"/>
        <v>100</v>
      </c>
      <c r="V32" s="667" t="s">
        <v>14</v>
      </c>
      <c r="W32" s="668">
        <f t="shared" si="14"/>
        <v>100</v>
      </c>
      <c r="X32" s="1264"/>
      <c r="Y32" s="3494" t="s">
        <v>1694</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94"/>
      <c r="Q33" s="1262">
        <f t="shared" si="11"/>
        <v>111</v>
      </c>
      <c r="R33" s="667" t="s">
        <v>14</v>
      </c>
      <c r="S33" s="668">
        <f t="shared" si="12"/>
        <v>100</v>
      </c>
      <c r="T33" s="667" t="s">
        <v>14</v>
      </c>
      <c r="U33" s="668">
        <f t="shared" si="13"/>
        <v>100</v>
      </c>
      <c r="V33" s="667" t="s">
        <v>14</v>
      </c>
      <c r="W33" s="668">
        <f t="shared" si="14"/>
        <v>100</v>
      </c>
      <c r="X33" s="1264"/>
      <c r="Y33" s="349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94"/>
      <c r="Q34" s="1262">
        <f t="shared" si="11"/>
        <v>111</v>
      </c>
      <c r="R34" s="667" t="s">
        <v>14</v>
      </c>
      <c r="S34" s="668">
        <f t="shared" si="12"/>
        <v>100</v>
      </c>
      <c r="T34" s="667" t="s">
        <v>14</v>
      </c>
      <c r="U34" s="668">
        <f t="shared" si="13"/>
        <v>100</v>
      </c>
      <c r="V34" s="667" t="s">
        <v>14</v>
      </c>
      <c r="W34" s="668">
        <f t="shared" si="14"/>
        <v>100</v>
      </c>
      <c r="X34" s="1264"/>
      <c r="Y34" s="3494"/>
      <c r="Z34" s="1263">
        <f t="shared" si="15"/>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4"/>
      <c r="M35" s="2487"/>
      <c r="N35" s="2487"/>
      <c r="O35" s="2487"/>
      <c r="P35" s="3476" t="str">
        <f>A35</f>
        <v>成交单价（元/平方米）</v>
      </c>
      <c r="Q35" s="3476"/>
      <c r="R35" s="3489">
        <f>E35</f>
        <v>0</v>
      </c>
      <c r="S35" s="3489"/>
      <c r="T35" s="3489">
        <f>G35</f>
        <v>0</v>
      </c>
      <c r="U35" s="3489"/>
      <c r="V35" s="3489">
        <f>I35</f>
        <v>0</v>
      </c>
      <c r="W35" s="3489"/>
      <c r="X35" s="385"/>
      <c r="Y35" s="673"/>
      <c r="Z35" s="385"/>
      <c r="AA35" s="385"/>
      <c r="AB35" s="385"/>
      <c r="AC35" s="385"/>
    </row>
    <row r="36" spans="1:30" ht="15.75" thickBot="1">
      <c r="A36" s="423" t="s">
        <v>1791</v>
      </c>
      <c r="B36" s="424"/>
      <c r="C36" s="1082" t="e">
        <f>R37</f>
        <v>#DIV/0!</v>
      </c>
      <c r="D36" s="2140" t="s">
        <v>2136</v>
      </c>
      <c r="E36" s="1083" t="e">
        <f>R36</f>
        <v>#DIV/0!</v>
      </c>
      <c r="F36" s="2141"/>
      <c r="G36" s="1082" t="e">
        <f>T36</f>
        <v>#DIV/0!</v>
      </c>
      <c r="H36" s="2141"/>
      <c r="I36" s="1083" t="e">
        <f>V36</f>
        <v>#DIV/0!</v>
      </c>
      <c r="J36" s="2141"/>
      <c r="K36" s="2143">
        <f>F36+H36+J36</f>
        <v>0</v>
      </c>
      <c r="L36" s="2494"/>
      <c r="M36" s="2487"/>
      <c r="N36" s="2487"/>
      <c r="O36" s="2487"/>
      <c r="P36" s="3476" t="str">
        <f>A36</f>
        <v>比较价值（元/平方米）</v>
      </c>
      <c r="Q36" s="3476"/>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4"/>
      <c r="M37" s="2487"/>
      <c r="N37" s="2487"/>
      <c r="O37" s="2487"/>
      <c r="P37" s="3496" t="str">
        <f>A37</f>
        <v>估价对象XX用房的比较价值（楼面单价，元/平方米）</v>
      </c>
      <c r="Q37" s="3497"/>
      <c r="R37" s="3549" t="e">
        <f>IF(F1="售价",ROUND(IF(D36="简单平均",AVERAGE(R36:W36),R36*F36+T36*H36+V36*J36),0),ROUND(IF(D36="简单平均",AVERAGE(R36:V36),R36*F36+T36*H36+V36*J36),1))</f>
        <v>#DIV/0!</v>
      </c>
      <c r="S37" s="3549"/>
      <c r="T37" s="3549"/>
      <c r="U37" s="3549"/>
      <c r="V37" s="3549"/>
      <c r="W37" s="354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1796</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1677</v>
      </c>
      <c r="B46" s="441"/>
      <c r="C46" s="1102" t="str">
        <f>YEAR(C7)&amp;"-"&amp;MONTH(C7)</f>
        <v>2024-9</v>
      </c>
      <c r="D46" s="1103">
        <f>EDATE(C46,-1)</f>
        <v>45505</v>
      </c>
      <c r="E46" s="1103">
        <f t="shared" ref="E46:O46" si="16">EDATE(D46,-1)</f>
        <v>45474</v>
      </c>
      <c r="F46" s="1103">
        <f t="shared" si="16"/>
        <v>45444</v>
      </c>
      <c r="G46" s="1103">
        <f t="shared" si="16"/>
        <v>45413</v>
      </c>
      <c r="H46" s="1103">
        <f t="shared" si="16"/>
        <v>45383</v>
      </c>
      <c r="I46" s="1103">
        <f t="shared" si="16"/>
        <v>45352</v>
      </c>
      <c r="J46" s="1103">
        <f t="shared" si="16"/>
        <v>45323</v>
      </c>
      <c r="K46" s="1103">
        <f t="shared" si="16"/>
        <v>45292</v>
      </c>
      <c r="L46" s="1103">
        <f t="shared" si="16"/>
        <v>45261</v>
      </c>
      <c r="M46" s="1103">
        <f t="shared" si="16"/>
        <v>45231</v>
      </c>
      <c r="N46" s="1103">
        <f t="shared" si="16"/>
        <v>45200</v>
      </c>
      <c r="O46" s="1103">
        <f t="shared" si="16"/>
        <v>45170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1714</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1679</v>
      </c>
      <c r="B49" s="444"/>
      <c r="C49" s="456" t="s">
        <v>1774</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1717</v>
      </c>
      <c r="B51" s="460" t="s">
        <v>1683</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1686</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1861</v>
      </c>
      <c r="C63" s="509" t="s">
        <v>1719</v>
      </c>
      <c r="D63" s="509" t="s">
        <v>1720</v>
      </c>
      <c r="E63" s="509" t="s">
        <v>1721</v>
      </c>
      <c r="F63" s="509" t="s">
        <v>1722</v>
      </c>
      <c r="G63" s="509" t="s">
        <v>1723</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1811</v>
      </c>
      <c r="C65" s="581" t="s">
        <v>1797</v>
      </c>
      <c r="D65" s="581" t="s">
        <v>1798</v>
      </c>
      <c r="E65" s="581" t="s">
        <v>1799</v>
      </c>
      <c r="F65" s="581" t="s">
        <v>1800</v>
      </c>
      <c r="G65" s="581" t="s">
        <v>1801</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1731</v>
      </c>
      <c r="C67" s="509" t="s">
        <v>1719</v>
      </c>
      <c r="D67" s="509" t="s">
        <v>1720</v>
      </c>
      <c r="E67" s="509" t="s">
        <v>1721</v>
      </c>
      <c r="F67" s="509" t="s">
        <v>1722</v>
      </c>
      <c r="G67" s="509" t="s">
        <v>1723</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1850</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1692</v>
      </c>
      <c r="B77" s="460" t="s">
        <v>1738</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1854</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1862</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1864</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1829</v>
      </c>
      <c r="B1" s="1139" t="s">
        <v>3333</v>
      </c>
      <c r="C1" s="1140" t="s">
        <v>1660</v>
      </c>
      <c r="D1" s="1141"/>
      <c r="E1" s="3131"/>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1461</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1767</v>
      </c>
      <c r="B4" s="346"/>
      <c r="C4" s="3477" t="s">
        <v>1768</v>
      </c>
      <c r="D4" s="3478"/>
      <c r="E4" s="3479" t="s">
        <v>1769</v>
      </c>
      <c r="F4" s="3480"/>
      <c r="G4" s="3477" t="s">
        <v>1770</v>
      </c>
      <c r="H4" s="3478"/>
      <c r="I4" s="3477" t="s">
        <v>1771</v>
      </c>
      <c r="J4" s="3478"/>
      <c r="K4" s="537" t="s">
        <v>1772</v>
      </c>
      <c r="L4" s="2486"/>
      <c r="M4" s="2487"/>
      <c r="N4" s="2487"/>
      <c r="O4" s="2487"/>
      <c r="P4" s="3481" t="s">
        <v>1773</v>
      </c>
      <c r="Q4" s="3482"/>
      <c r="R4" s="3464" t="s">
        <v>1769</v>
      </c>
      <c r="S4" s="3465"/>
      <c r="T4" s="3464" t="s">
        <v>1770</v>
      </c>
      <c r="U4" s="3465"/>
      <c r="V4" s="3489" t="s">
        <v>1771</v>
      </c>
      <c r="W4" s="3489"/>
      <c r="X4" s="1264"/>
      <c r="Y4" s="3464" t="s">
        <v>1773</v>
      </c>
      <c r="Z4" s="3465"/>
      <c r="AA4" s="3459" t="s">
        <v>1769</v>
      </c>
      <c r="AB4" s="3460" t="s">
        <v>1770</v>
      </c>
      <c r="AC4" s="3459" t="s">
        <v>1771</v>
      </c>
    </row>
    <row r="5" spans="1:29" ht="15">
      <c r="A5" s="348"/>
      <c r="B5" s="349"/>
      <c r="C5" s="3470" t="s">
        <v>1671</v>
      </c>
      <c r="D5" s="3471"/>
      <c r="E5" s="3468" t="s">
        <v>1672</v>
      </c>
      <c r="F5" s="3469"/>
      <c r="G5" s="3470" t="s">
        <v>1673</v>
      </c>
      <c r="H5" s="3471"/>
      <c r="I5" s="3470" t="s">
        <v>1674</v>
      </c>
      <c r="J5" s="3471"/>
      <c r="K5" s="537"/>
      <c r="L5" s="2486"/>
      <c r="M5" s="2487"/>
      <c r="N5" s="2487"/>
      <c r="O5" s="2487"/>
      <c r="P5" s="3483"/>
      <c r="Q5" s="3484"/>
      <c r="R5" s="3466"/>
      <c r="S5" s="3467"/>
      <c r="T5" s="3466"/>
      <c r="U5" s="3467"/>
      <c r="V5" s="3489"/>
      <c r="W5" s="3489"/>
      <c r="X5" s="1264"/>
      <c r="Y5" s="3466"/>
      <c r="Z5" s="3467"/>
      <c r="AA5" s="3460"/>
      <c r="AB5" s="3460"/>
      <c r="AC5" s="3460"/>
    </row>
    <row r="6" spans="1:29" ht="15.75" thickBot="1">
      <c r="A6" s="350"/>
      <c r="B6" s="351"/>
      <c r="C6" s="3472" t="s">
        <v>1675</v>
      </c>
      <c r="D6" s="3473"/>
      <c r="E6" s="3474" t="s">
        <v>1675</v>
      </c>
      <c r="F6" s="3475"/>
      <c r="G6" s="3472" t="s">
        <v>1675</v>
      </c>
      <c r="H6" s="3473"/>
      <c r="I6" s="3472" t="s">
        <v>1675</v>
      </c>
      <c r="J6" s="3473"/>
      <c r="K6" s="537" t="s">
        <v>1676</v>
      </c>
      <c r="L6" s="2486"/>
      <c r="M6" s="2487"/>
      <c r="N6" s="2487"/>
      <c r="O6" s="2487"/>
      <c r="P6" s="3485"/>
      <c r="Q6" s="3486"/>
      <c r="R6" s="3466"/>
      <c r="S6" s="3467"/>
      <c r="T6" s="3487"/>
      <c r="U6" s="3488"/>
      <c r="V6" s="3489"/>
      <c r="W6" s="3489"/>
      <c r="X6" s="1264"/>
      <c r="Y6" s="3487"/>
      <c r="Z6" s="3488"/>
      <c r="AA6" s="3461"/>
      <c r="AB6" s="3461"/>
      <c r="AC6" s="3461"/>
    </row>
    <row r="7" spans="1:29" s="102" customFormat="1" ht="15.75" thickBot="1">
      <c r="A7" s="352" t="s">
        <v>1677</v>
      </c>
      <c r="B7" s="353"/>
      <c r="C7" s="354">
        <f>'数据-取费表'!B2</f>
        <v>45565</v>
      </c>
      <c r="D7" s="355">
        <v>100</v>
      </c>
      <c r="E7" s="356"/>
      <c r="F7" s="357">
        <f>SUMIF(48:48,YEAR(E7)&amp;"-"&amp;MONTH(E7),49:49)</f>
        <v>0</v>
      </c>
      <c r="G7" s="356"/>
      <c r="H7" s="355">
        <f>SUMIF(48:48,YEAR(G7)&amp;"-"&amp;MONTH(G7),49:49)</f>
        <v>0</v>
      </c>
      <c r="I7" s="356"/>
      <c r="J7" s="355">
        <f>SUMIF(48:48,YEAR(I7)&amp;"-"&amp;MONTH(I7),49:49)</f>
        <v>0</v>
      </c>
      <c r="K7" s="38"/>
      <c r="L7" s="2488"/>
      <c r="M7" s="2439"/>
      <c r="N7" s="2439"/>
      <c r="O7" s="2439"/>
      <c r="P7" s="3462" t="s">
        <v>1678</v>
      </c>
      <c r="Q7" s="3490"/>
      <c r="R7" s="664" t="s">
        <v>14</v>
      </c>
      <c r="S7" s="665">
        <f t="shared" ref="S7:S14" si="0">F7</f>
        <v>0</v>
      </c>
      <c r="T7" s="664" t="s">
        <v>14</v>
      </c>
      <c r="U7" s="665">
        <f t="shared" ref="U7:U14" si="1">H7</f>
        <v>0</v>
      </c>
      <c r="V7" s="664" t="s">
        <v>14</v>
      </c>
      <c r="W7" s="665">
        <f t="shared" ref="W7:W14" si="2">J7</f>
        <v>0</v>
      </c>
      <c r="X7" s="666"/>
      <c r="Y7" s="3462" t="s">
        <v>1678</v>
      </c>
      <c r="Z7" s="3463"/>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62" t="s">
        <v>1681</v>
      </c>
      <c r="Q8" s="3463"/>
      <c r="R8" s="664" t="s">
        <v>14</v>
      </c>
      <c r="S8" s="665">
        <f t="shared" si="0"/>
        <v>100</v>
      </c>
      <c r="T8" s="664" t="s">
        <v>14</v>
      </c>
      <c r="U8" s="665">
        <f t="shared" si="1"/>
        <v>100</v>
      </c>
      <c r="V8" s="664" t="s">
        <v>14</v>
      </c>
      <c r="W8" s="665">
        <f t="shared" si="2"/>
        <v>100</v>
      </c>
      <c r="X8" s="666"/>
      <c r="Y8" s="3462" t="s">
        <v>1681</v>
      </c>
      <c r="Z8" s="3463"/>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76" t="s">
        <v>1684</v>
      </c>
      <c r="Q9" s="530" t="str">
        <f t="shared" ref="Q9:Q14" si="6">B9</f>
        <v>用途</v>
      </c>
      <c r="R9" s="664" t="s">
        <v>14</v>
      </c>
      <c r="S9" s="665">
        <f t="shared" si="0"/>
        <v>100</v>
      </c>
      <c r="T9" s="664" t="s">
        <v>14</v>
      </c>
      <c r="U9" s="665">
        <f t="shared" si="1"/>
        <v>100</v>
      </c>
      <c r="V9" s="664" t="s">
        <v>14</v>
      </c>
      <c r="W9" s="665">
        <f t="shared" si="2"/>
        <v>100</v>
      </c>
      <c r="X9" s="666"/>
      <c r="Y9" s="3432" t="s">
        <v>1685</v>
      </c>
      <c r="Z9" s="50" t="str">
        <f t="shared" ref="Z9:Z14" si="7">Q9</f>
        <v>用途</v>
      </c>
      <c r="AA9" s="50">
        <f t="shared" si="3"/>
        <v>1</v>
      </c>
      <c r="AB9" s="50">
        <f t="shared" si="4"/>
        <v>1</v>
      </c>
      <c r="AC9" s="50">
        <f t="shared" si="5"/>
        <v>1</v>
      </c>
    </row>
    <row r="10" spans="1:29" s="366" customFormat="1" ht="27">
      <c r="A10" s="565"/>
      <c r="B10" s="566" t="s">
        <v>1686</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76"/>
      <c r="Q10" s="530" t="str">
        <f t="shared" si="6"/>
        <v>土地使用年限（年）</v>
      </c>
      <c r="R10" s="664" t="s">
        <v>14</v>
      </c>
      <c r="S10" s="665">
        <f t="shared" si="0"/>
        <v>100</v>
      </c>
      <c r="T10" s="664" t="s">
        <v>14</v>
      </c>
      <c r="U10" s="665">
        <f t="shared" si="1"/>
        <v>100</v>
      </c>
      <c r="V10" s="664" t="s">
        <v>14</v>
      </c>
      <c r="W10" s="665">
        <f t="shared" si="2"/>
        <v>100</v>
      </c>
      <c r="X10" s="666"/>
      <c r="Y10" s="34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76"/>
      <c r="Q11" s="530">
        <f t="shared" si="6"/>
        <v>111</v>
      </c>
      <c r="R11" s="664" t="s">
        <v>14</v>
      </c>
      <c r="S11" s="665">
        <f t="shared" si="0"/>
        <v>100</v>
      </c>
      <c r="T11" s="664" t="s">
        <v>14</v>
      </c>
      <c r="U11" s="665">
        <f t="shared" si="1"/>
        <v>100</v>
      </c>
      <c r="V11" s="664" t="s">
        <v>14</v>
      </c>
      <c r="W11" s="665">
        <f t="shared" si="2"/>
        <v>100</v>
      </c>
      <c r="X11" s="666"/>
      <c r="Y11" s="34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76"/>
      <c r="Q12" s="530">
        <f t="shared" si="6"/>
        <v>111</v>
      </c>
      <c r="R12" s="664" t="s">
        <v>14</v>
      </c>
      <c r="S12" s="665">
        <f t="shared" si="0"/>
        <v>100</v>
      </c>
      <c r="T12" s="664" t="s">
        <v>14</v>
      </c>
      <c r="U12" s="665">
        <f t="shared" si="1"/>
        <v>100</v>
      </c>
      <c r="V12" s="664" t="s">
        <v>14</v>
      </c>
      <c r="W12" s="665">
        <f t="shared" si="2"/>
        <v>100</v>
      </c>
      <c r="X12" s="666"/>
      <c r="Y12" s="343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76"/>
      <c r="Q13" s="530">
        <f t="shared" si="6"/>
        <v>111</v>
      </c>
      <c r="R13" s="664" t="s">
        <v>14</v>
      </c>
      <c r="S13" s="665">
        <f t="shared" si="0"/>
        <v>100</v>
      </c>
      <c r="T13" s="664" t="s">
        <v>14</v>
      </c>
      <c r="U13" s="665">
        <f t="shared" si="1"/>
        <v>100</v>
      </c>
      <c r="V13" s="664" t="s">
        <v>14</v>
      </c>
      <c r="W13" s="665">
        <f t="shared" si="2"/>
        <v>100</v>
      </c>
      <c r="X13" s="666"/>
      <c r="Y13" s="3432"/>
      <c r="Z13" s="50">
        <f t="shared" si="7"/>
        <v>111</v>
      </c>
      <c r="AA13" s="50">
        <f t="shared" si="3"/>
        <v>1</v>
      </c>
      <c r="AB13" s="50">
        <f t="shared" si="4"/>
        <v>1</v>
      </c>
      <c r="AC13" s="50">
        <f t="shared" si="5"/>
        <v>1</v>
      </c>
    </row>
    <row r="14" spans="1:29" ht="85.5">
      <c r="A14" s="345" t="s">
        <v>1688</v>
      </c>
      <c r="B14" s="554" t="s">
        <v>1831</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91" t="s">
        <v>1689</v>
      </c>
      <c r="Q14" s="1262" t="str">
        <f t="shared" si="6"/>
        <v>交通便捷度</v>
      </c>
      <c r="R14" s="667" t="s">
        <v>14</v>
      </c>
      <c r="S14" s="668">
        <f t="shared" si="0"/>
        <v>100</v>
      </c>
      <c r="T14" s="667" t="s">
        <v>14</v>
      </c>
      <c r="U14" s="668">
        <f t="shared" si="1"/>
        <v>100</v>
      </c>
      <c r="V14" s="667" t="s">
        <v>14</v>
      </c>
      <c r="W14" s="668">
        <f t="shared" si="2"/>
        <v>100</v>
      </c>
      <c r="X14" s="1264"/>
      <c r="Y14" s="3491" t="s">
        <v>1689</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92"/>
      <c r="Q15" s="1262"/>
      <c r="R15" s="667"/>
      <c r="S15" s="668"/>
      <c r="T15" s="667"/>
      <c r="U15" s="668"/>
      <c r="V15" s="667"/>
      <c r="W15" s="668"/>
      <c r="X15" s="1264"/>
      <c r="Y15" s="3492"/>
      <c r="Z15" s="1263"/>
      <c r="AA15" s="1263">
        <v>1</v>
      </c>
      <c r="AB15" s="1263">
        <v>1</v>
      </c>
      <c r="AC15" s="1263">
        <v>1</v>
      </c>
    </row>
    <row r="16" spans="1:29" ht="42.75">
      <c r="A16" s="348"/>
      <c r="B16" s="556" t="s">
        <v>1810</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92"/>
      <c r="Q16" s="1262" t="str">
        <f>B16</f>
        <v>公共配套设施</v>
      </c>
      <c r="R16" s="667" t="s">
        <v>14</v>
      </c>
      <c r="S16" s="668">
        <f>F16</f>
        <v>100</v>
      </c>
      <c r="T16" s="667" t="s">
        <v>14</v>
      </c>
      <c r="U16" s="668">
        <f>H16</f>
        <v>100</v>
      </c>
      <c r="V16" s="667" t="s">
        <v>14</v>
      </c>
      <c r="W16" s="668">
        <f>J16</f>
        <v>100</v>
      </c>
      <c r="X16" s="1264"/>
      <c r="Y16" s="349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92"/>
      <c r="Q17" s="1262"/>
      <c r="R17" s="667"/>
      <c r="S17" s="668"/>
      <c r="T17" s="667"/>
      <c r="U17" s="668"/>
      <c r="V17" s="667"/>
      <c r="W17" s="668"/>
      <c r="X17" s="1264"/>
      <c r="Y17" s="3492"/>
      <c r="Z17" s="1263"/>
      <c r="AA17" s="1263">
        <v>1</v>
      </c>
      <c r="AB17" s="1263">
        <v>1</v>
      </c>
      <c r="AC17" s="1263">
        <v>1</v>
      </c>
    </row>
    <row r="18" spans="1:29" ht="28.5">
      <c r="A18" s="348"/>
      <c r="B18" s="557" t="s">
        <v>1811</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92"/>
      <c r="Q18" s="1262" t="str">
        <f>B18</f>
        <v>基础设施水平</v>
      </c>
      <c r="R18" s="667" t="s">
        <v>14</v>
      </c>
      <c r="S18" s="668">
        <f>F18</f>
        <v>100</v>
      </c>
      <c r="T18" s="667" t="s">
        <v>14</v>
      </c>
      <c r="U18" s="668">
        <f>H18</f>
        <v>100</v>
      </c>
      <c r="V18" s="667" t="s">
        <v>14</v>
      </c>
      <c r="W18" s="668">
        <f>J18</f>
        <v>100</v>
      </c>
      <c r="X18" s="1264"/>
      <c r="Y18" s="349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492"/>
      <c r="Q19" s="1262"/>
      <c r="R19" s="667"/>
      <c r="S19" s="668"/>
      <c r="T19" s="667"/>
      <c r="U19" s="668"/>
      <c r="V19" s="667"/>
      <c r="W19" s="668"/>
      <c r="X19" s="1264"/>
      <c r="Y19" s="3492"/>
      <c r="Z19" s="1263"/>
      <c r="AA19" s="1263">
        <v>1</v>
      </c>
      <c r="AB19" s="1263">
        <v>1</v>
      </c>
      <c r="AC19" s="1263">
        <v>1</v>
      </c>
    </row>
    <row r="20" spans="1:29" ht="57">
      <c r="A20" s="348"/>
      <c r="B20" s="556" t="s">
        <v>1832</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92"/>
      <c r="Q20" s="1262" t="str">
        <f>B20</f>
        <v>自然及人文环境</v>
      </c>
      <c r="R20" s="667" t="s">
        <v>14</v>
      </c>
      <c r="S20" s="668">
        <f>F20</f>
        <v>100</v>
      </c>
      <c r="T20" s="667" t="s">
        <v>14</v>
      </c>
      <c r="U20" s="668">
        <f>H20</f>
        <v>100</v>
      </c>
      <c r="V20" s="667" t="s">
        <v>14</v>
      </c>
      <c r="W20" s="668">
        <f>J20</f>
        <v>100</v>
      </c>
      <c r="X20" s="1264"/>
      <c r="Y20" s="349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92"/>
      <c r="Q21" s="1262"/>
      <c r="R21" s="667"/>
      <c r="S21" s="668"/>
      <c r="T21" s="667"/>
      <c r="U21" s="668"/>
      <c r="V21" s="667"/>
      <c r="W21" s="668"/>
      <c r="X21" s="1264"/>
      <c r="Y21" s="3492"/>
      <c r="Z21" s="1263"/>
      <c r="AA21" s="1263">
        <v>1</v>
      </c>
      <c r="AB21" s="1263">
        <v>1</v>
      </c>
      <c r="AC21" s="1263">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92"/>
      <c r="Q22" s="1262" t="str">
        <f>B22</f>
        <v>楼层</v>
      </c>
      <c r="R22" s="667" t="s">
        <v>14</v>
      </c>
      <c r="S22" s="668">
        <f>F22</f>
        <v>100</v>
      </c>
      <c r="T22" s="667" t="s">
        <v>14</v>
      </c>
      <c r="U22" s="668">
        <f>H22</f>
        <v>100</v>
      </c>
      <c r="V22" s="667" t="s">
        <v>14</v>
      </c>
      <c r="W22" s="668">
        <f>J22</f>
        <v>100</v>
      </c>
      <c r="X22" s="1264"/>
      <c r="Y22" s="349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92"/>
      <c r="Q23" s="1262">
        <f>B23</f>
        <v>111</v>
      </c>
      <c r="R23" s="667" t="s">
        <v>14</v>
      </c>
      <c r="S23" s="668">
        <f>F23</f>
        <v>100</v>
      </c>
      <c r="T23" s="667" t="s">
        <v>14</v>
      </c>
      <c r="U23" s="668">
        <f>H23</f>
        <v>100</v>
      </c>
      <c r="V23" s="667" t="s">
        <v>14</v>
      </c>
      <c r="W23" s="668">
        <f>J23</f>
        <v>100</v>
      </c>
      <c r="X23" s="1264"/>
      <c r="Y23" s="349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92"/>
      <c r="Q24" s="1262">
        <f t="shared" ref="Q24:Q36" si="11">B24</f>
        <v>111</v>
      </c>
      <c r="R24" s="667" t="s">
        <v>14</v>
      </c>
      <c r="S24" s="668">
        <f>F24</f>
        <v>100</v>
      </c>
      <c r="T24" s="667" t="s">
        <v>14</v>
      </c>
      <c r="U24" s="668">
        <f>H24</f>
        <v>100</v>
      </c>
      <c r="V24" s="667" t="s">
        <v>14</v>
      </c>
      <c r="W24" s="668">
        <f>J24</f>
        <v>100</v>
      </c>
      <c r="X24" s="1264"/>
      <c r="Y24" s="349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92"/>
      <c r="Q25" s="530">
        <f t="shared" si="11"/>
        <v>111</v>
      </c>
      <c r="R25" s="664" t="s">
        <v>14</v>
      </c>
      <c r="S25" s="665">
        <f>F25</f>
        <v>100</v>
      </c>
      <c r="T25" s="664" t="s">
        <v>14</v>
      </c>
      <c r="U25" s="665">
        <f>H25</f>
        <v>100</v>
      </c>
      <c r="V25" s="664" t="s">
        <v>14</v>
      </c>
      <c r="W25" s="665">
        <f>J25</f>
        <v>100</v>
      </c>
      <c r="X25" s="666"/>
      <c r="Y25" s="3492"/>
      <c r="Z25" s="50">
        <f>Q25</f>
        <v>111</v>
      </c>
      <c r="AA25" s="1263">
        <f>D25/F25</f>
        <v>1</v>
      </c>
      <c r="AB25" s="1263">
        <f>D25/H25</f>
        <v>1</v>
      </c>
      <c r="AC25" s="1263">
        <f>D25/J25</f>
        <v>1</v>
      </c>
    </row>
    <row r="26" spans="1:29" ht="28.5">
      <c r="A26" s="574" t="s">
        <v>1692</v>
      </c>
      <c r="B26" s="59" t="s">
        <v>1834</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93" t="s">
        <v>1694</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94" t="s">
        <v>1694</v>
      </c>
      <c r="Z26" s="1263" t="str">
        <f t="shared" ref="Z26:Z36" si="15">Q26</f>
        <v>配套类型</v>
      </c>
      <c r="AA26" s="1263" t="e">
        <f t="shared" si="3"/>
        <v>#DIV/0!</v>
      </c>
      <c r="AB26" s="1263" t="e">
        <f t="shared" si="4"/>
        <v>#DIV/0!</v>
      </c>
      <c r="AC26" s="1263"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94"/>
      <c r="Q27" s="531" t="str">
        <f t="shared" si="11"/>
        <v>项目停车位配比</v>
      </c>
      <c r="R27" s="669" t="s">
        <v>14</v>
      </c>
      <c r="S27" s="670">
        <f t="shared" si="12"/>
        <v>100</v>
      </c>
      <c r="T27" s="669" t="s">
        <v>14</v>
      </c>
      <c r="U27" s="670">
        <f t="shared" si="13"/>
        <v>100</v>
      </c>
      <c r="V27" s="669" t="s">
        <v>14</v>
      </c>
      <c r="W27" s="670">
        <f t="shared" si="14"/>
        <v>100</v>
      </c>
      <c r="X27" s="671"/>
      <c r="Y27" s="3494"/>
      <c r="Z27" s="672" t="str">
        <f t="shared" si="15"/>
        <v>项目停车位配比</v>
      </c>
      <c r="AA27" s="1263">
        <f t="shared" si="3"/>
        <v>1</v>
      </c>
      <c r="AB27" s="1263">
        <f t="shared" si="4"/>
        <v>1</v>
      </c>
      <c r="AC27" s="1263">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94"/>
      <c r="Q28" s="1262" t="str">
        <f t="shared" si="11"/>
        <v>公共部分装修</v>
      </c>
      <c r="R28" s="667" t="s">
        <v>14</v>
      </c>
      <c r="S28" s="668">
        <f t="shared" si="12"/>
        <v>100</v>
      </c>
      <c r="T28" s="667" t="s">
        <v>14</v>
      </c>
      <c r="U28" s="668">
        <f t="shared" si="13"/>
        <v>100</v>
      </c>
      <c r="V28" s="667" t="s">
        <v>14</v>
      </c>
      <c r="W28" s="668">
        <f t="shared" si="14"/>
        <v>100</v>
      </c>
      <c r="X28" s="1264"/>
      <c r="Y28" s="3494"/>
      <c r="Z28" s="1263" t="str">
        <f t="shared" si="15"/>
        <v>公共部分装修</v>
      </c>
      <c r="AA28" s="1263">
        <f t="shared" si="3"/>
        <v>1</v>
      </c>
      <c r="AB28" s="1263">
        <f t="shared" si="4"/>
        <v>1</v>
      </c>
      <c r="AC28" s="1263">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94"/>
      <c r="Q29" s="1262" t="str">
        <f t="shared" si="11"/>
        <v>成新率</v>
      </c>
      <c r="R29" s="667" t="s">
        <v>14</v>
      </c>
      <c r="S29" s="668" t="e">
        <f t="shared" si="12"/>
        <v>#N/A</v>
      </c>
      <c r="T29" s="667" t="s">
        <v>14</v>
      </c>
      <c r="U29" s="668" t="e">
        <f t="shared" si="13"/>
        <v>#N/A</v>
      </c>
      <c r="V29" s="667" t="s">
        <v>14</v>
      </c>
      <c r="W29" s="668" t="e">
        <f t="shared" si="14"/>
        <v>#N/A</v>
      </c>
      <c r="X29" s="1264"/>
      <c r="Y29" s="3494"/>
      <c r="Z29" s="1263" t="str">
        <f t="shared" si="15"/>
        <v>成新率</v>
      </c>
      <c r="AA29" s="1263" t="e">
        <f t="shared" si="3"/>
        <v>#N/A</v>
      </c>
      <c r="AB29" s="1263" t="e">
        <f t="shared" si="4"/>
        <v>#N/A</v>
      </c>
      <c r="AC29" s="1263"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94"/>
      <c r="Q30" s="1262" t="str">
        <f t="shared" si="11"/>
        <v>物业等级</v>
      </c>
      <c r="R30" s="667" t="s">
        <v>14</v>
      </c>
      <c r="S30" s="668">
        <f t="shared" si="12"/>
        <v>100</v>
      </c>
      <c r="T30" s="667" t="s">
        <v>14</v>
      </c>
      <c r="U30" s="668">
        <f t="shared" si="13"/>
        <v>100</v>
      </c>
      <c r="V30" s="667" t="s">
        <v>14</v>
      </c>
      <c r="W30" s="668">
        <f t="shared" si="14"/>
        <v>100</v>
      </c>
      <c r="X30" s="1264"/>
      <c r="Y30" s="3494"/>
      <c r="Z30" s="1263" t="str">
        <f t="shared" si="15"/>
        <v>物业等级</v>
      </c>
      <c r="AA30" s="1263">
        <f t="shared" si="3"/>
        <v>1</v>
      </c>
      <c r="AB30" s="1263">
        <f t="shared" si="4"/>
        <v>1</v>
      </c>
      <c r="AC30" s="1263">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94"/>
      <c r="Q31" s="530" t="str">
        <f t="shared" si="11"/>
        <v>停车位面积</v>
      </c>
      <c r="R31" s="664" t="s">
        <v>14</v>
      </c>
      <c r="S31" s="665" t="e">
        <f t="shared" si="12"/>
        <v>#N/A</v>
      </c>
      <c r="T31" s="664" t="s">
        <v>14</v>
      </c>
      <c r="U31" s="665" t="e">
        <f t="shared" si="13"/>
        <v>#N/A</v>
      </c>
      <c r="V31" s="664" t="s">
        <v>14</v>
      </c>
      <c r="W31" s="665" t="e">
        <f t="shared" si="14"/>
        <v>#N/A</v>
      </c>
      <c r="X31" s="666"/>
      <c r="Y31" s="3494"/>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94" t="s">
        <v>1694</v>
      </c>
      <c r="Q32" s="1262" t="str">
        <f t="shared" si="11"/>
        <v>车位类型</v>
      </c>
      <c r="R32" s="667" t="s">
        <v>14</v>
      </c>
      <c r="S32" s="668">
        <f t="shared" si="12"/>
        <v>100</v>
      </c>
      <c r="T32" s="667" t="s">
        <v>14</v>
      </c>
      <c r="U32" s="668">
        <f t="shared" si="13"/>
        <v>100</v>
      </c>
      <c r="V32" s="667" t="s">
        <v>14</v>
      </c>
      <c r="W32" s="668">
        <f t="shared" si="14"/>
        <v>100</v>
      </c>
      <c r="X32" s="1264"/>
      <c r="Y32" s="3494" t="s">
        <v>1694</v>
      </c>
      <c r="Z32" s="1263" t="str">
        <f t="shared" si="15"/>
        <v>车位类型</v>
      </c>
      <c r="AA32" s="1263">
        <f t="shared" si="3"/>
        <v>1</v>
      </c>
      <c r="AB32" s="1263">
        <f t="shared" si="4"/>
        <v>1</v>
      </c>
      <c r="AC32" s="1263">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94"/>
      <c r="Q33" s="1262" t="str">
        <f t="shared" si="11"/>
        <v>是否直接入户</v>
      </c>
      <c r="R33" s="667" t="s">
        <v>14</v>
      </c>
      <c r="S33" s="668">
        <f t="shared" si="12"/>
        <v>100</v>
      </c>
      <c r="T33" s="667" t="s">
        <v>14</v>
      </c>
      <c r="U33" s="668">
        <f t="shared" si="13"/>
        <v>100</v>
      </c>
      <c r="V33" s="667" t="s">
        <v>14</v>
      </c>
      <c r="W33" s="668">
        <f t="shared" si="14"/>
        <v>100</v>
      </c>
      <c r="X33" s="1264"/>
      <c r="Y33" s="349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94"/>
      <c r="Q34" s="1262">
        <f t="shared" si="11"/>
        <v>111</v>
      </c>
      <c r="R34" s="667" t="s">
        <v>14</v>
      </c>
      <c r="S34" s="668">
        <f t="shared" si="12"/>
        <v>100</v>
      </c>
      <c r="T34" s="667" t="s">
        <v>14</v>
      </c>
      <c r="U34" s="668">
        <f t="shared" si="13"/>
        <v>100</v>
      </c>
      <c r="V34" s="667" t="s">
        <v>14</v>
      </c>
      <c r="W34" s="668">
        <f t="shared" si="14"/>
        <v>100</v>
      </c>
      <c r="X34" s="1264"/>
      <c r="Y34" s="349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94"/>
      <c r="Q35" s="531">
        <f t="shared" si="11"/>
        <v>111</v>
      </c>
      <c r="R35" s="669" t="s">
        <v>14</v>
      </c>
      <c r="S35" s="670">
        <f t="shared" si="12"/>
        <v>100</v>
      </c>
      <c r="T35" s="669" t="s">
        <v>14</v>
      </c>
      <c r="U35" s="670">
        <f t="shared" si="13"/>
        <v>100</v>
      </c>
      <c r="V35" s="669" t="s">
        <v>14</v>
      </c>
      <c r="W35" s="670">
        <f t="shared" si="14"/>
        <v>100</v>
      </c>
      <c r="X35" s="671"/>
      <c r="Y35" s="349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94"/>
      <c r="Q36" s="1262">
        <f t="shared" si="11"/>
        <v>111</v>
      </c>
      <c r="R36" s="667" t="s">
        <v>14</v>
      </c>
      <c r="S36" s="668">
        <f t="shared" si="12"/>
        <v>100</v>
      </c>
      <c r="T36" s="667" t="s">
        <v>14</v>
      </c>
      <c r="U36" s="668">
        <f t="shared" si="13"/>
        <v>100</v>
      </c>
      <c r="V36" s="667" t="s">
        <v>14</v>
      </c>
      <c r="W36" s="668">
        <f t="shared" si="14"/>
        <v>100</v>
      </c>
      <c r="X36" s="1264"/>
      <c r="Y36" s="3494"/>
      <c r="Z36" s="1263">
        <f t="shared" si="15"/>
        <v>111</v>
      </c>
      <c r="AA36" s="1263">
        <f t="shared" si="3"/>
        <v>1</v>
      </c>
      <c r="AB36" s="1263">
        <f t="shared" si="4"/>
        <v>1</v>
      </c>
      <c r="AC36" s="1263">
        <f t="shared" si="5"/>
        <v>1</v>
      </c>
    </row>
    <row r="37" spans="1:29" ht="15">
      <c r="A37" s="416" t="s">
        <v>1842</v>
      </c>
      <c r="B37" s="1820" t="s">
        <v>3354</v>
      </c>
      <c r="C37" s="1081" t="s">
        <v>0</v>
      </c>
      <c r="D37" s="418"/>
      <c r="E37" s="419"/>
      <c r="F37" s="420"/>
      <c r="G37" s="421"/>
      <c r="H37" s="422"/>
      <c r="I37" s="419"/>
      <c r="J37" s="422"/>
      <c r="K37" s="545"/>
      <c r="L37" s="2494"/>
      <c r="M37" s="2487"/>
      <c r="N37" s="2487"/>
      <c r="O37" s="2487"/>
      <c r="P37" s="3476" t="str">
        <f>A37</f>
        <v>成交单价</v>
      </c>
      <c r="Q37" s="3476"/>
      <c r="R37" s="3489">
        <f>E37</f>
        <v>0</v>
      </c>
      <c r="S37" s="3489"/>
      <c r="T37" s="3489">
        <f>G37</f>
        <v>0</v>
      </c>
      <c r="U37" s="3489"/>
      <c r="V37" s="3489">
        <f>I37</f>
        <v>0</v>
      </c>
      <c r="W37" s="3489"/>
      <c r="X37" s="385"/>
      <c r="Y37" s="673"/>
      <c r="Z37" s="385"/>
      <c r="AA37" s="385"/>
      <c r="AB37" s="385"/>
      <c r="AC37" s="385"/>
    </row>
    <row r="38" spans="1:29" ht="15.75" thickBot="1">
      <c r="A38" s="423" t="s">
        <v>1843</v>
      </c>
      <c r="B38" s="424" t="str">
        <f>B37</f>
        <v>元/平方米</v>
      </c>
      <c r="C38" s="1082" t="e">
        <f>R39</f>
        <v>#DIV/0!</v>
      </c>
      <c r="D38" s="2140" t="s">
        <v>2136</v>
      </c>
      <c r="E38" s="1083" t="e">
        <f>R38</f>
        <v>#DIV/0!</v>
      </c>
      <c r="F38" s="2141"/>
      <c r="G38" s="1082" t="e">
        <f>T38</f>
        <v>#DIV/0!</v>
      </c>
      <c r="H38" s="2141"/>
      <c r="I38" s="1083" t="e">
        <f>V38</f>
        <v>#DIV/0!</v>
      </c>
      <c r="J38" s="2141"/>
      <c r="K38" s="2143">
        <f>F38+H38+J38</f>
        <v>0</v>
      </c>
      <c r="L38" s="2494"/>
      <c r="M38" s="2487"/>
      <c r="N38" s="2487"/>
      <c r="O38" s="2487"/>
      <c r="P38" s="3476" t="str">
        <f>A38</f>
        <v>比较价值（元/平方米）</v>
      </c>
      <c r="Q38" s="3476"/>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4"/>
      <c r="M39" s="2487"/>
      <c r="N39" s="2487"/>
      <c r="O39" s="2487"/>
      <c r="P39" s="3496" t="str">
        <f>A39</f>
        <v>估价对象XX用房的比较价值（楼面单价，元/平方米）</v>
      </c>
      <c r="Q39" s="3497"/>
      <c r="R39" s="3549" t="e">
        <f>IF(F1="售价",ROUND(IF(D38="简单平均",AVERAGE(R38:W38),R38*F38+T38*H38+V38*J38),0),ROUND(IF(D38="简单平均",AVERAGE(R38:V38),R38*F38+T38*H38+V38*J38),1))</f>
        <v>#DIV/0!</v>
      </c>
      <c r="S39" s="3549"/>
      <c r="T39" s="3549"/>
      <c r="U39" s="3549"/>
      <c r="V39" s="3549"/>
      <c r="W39" s="354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1848</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1849</v>
      </c>
      <c r="B48" s="441"/>
      <c r="C48" s="1102" t="str">
        <f>YEAR(C7)&amp;"-"&amp;MONTH(C7)</f>
        <v>2024-9</v>
      </c>
      <c r="D48" s="1103">
        <f>EDATE(C48,-1)</f>
        <v>45505</v>
      </c>
      <c r="E48" s="1103">
        <f t="shared" ref="E48:O48" si="16">EDATE(D48,-1)</f>
        <v>45474</v>
      </c>
      <c r="F48" s="1103">
        <f t="shared" si="16"/>
        <v>45444</v>
      </c>
      <c r="G48" s="1103">
        <f t="shared" si="16"/>
        <v>45413</v>
      </c>
      <c r="H48" s="1103">
        <f t="shared" si="16"/>
        <v>45383</v>
      </c>
      <c r="I48" s="1103">
        <f t="shared" si="16"/>
        <v>45352</v>
      </c>
      <c r="J48" s="1103">
        <f t="shared" si="16"/>
        <v>45323</v>
      </c>
      <c r="K48" s="1103">
        <f t="shared" si="16"/>
        <v>45292</v>
      </c>
      <c r="L48" s="1103">
        <f t="shared" si="16"/>
        <v>45261</v>
      </c>
      <c r="M48" s="1103">
        <f t="shared" si="16"/>
        <v>45231</v>
      </c>
      <c r="N48" s="1103">
        <f t="shared" si="16"/>
        <v>45200</v>
      </c>
      <c r="O48" s="1103">
        <f t="shared" si="16"/>
        <v>45170</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1714</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1679</v>
      </c>
      <c r="B51" s="444"/>
      <c r="C51" s="456" t="s">
        <v>1774</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1717</v>
      </c>
      <c r="B53" s="460" t="s">
        <v>1683</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1686</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1725</v>
      </c>
      <c r="C65" s="509" t="s">
        <v>1719</v>
      </c>
      <c r="D65" s="509" t="s">
        <v>1720</v>
      </c>
      <c r="E65" s="509" t="s">
        <v>1721</v>
      </c>
      <c r="F65" s="509" t="s">
        <v>1722</v>
      </c>
      <c r="G65" s="509" t="s">
        <v>1723</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1811</v>
      </c>
      <c r="C67" s="581" t="s">
        <v>1797</v>
      </c>
      <c r="D67" s="581" t="s">
        <v>1798</v>
      </c>
      <c r="E67" s="581" t="s">
        <v>1799</v>
      </c>
      <c r="F67" s="581" t="s">
        <v>1800</v>
      </c>
      <c r="G67" s="581" t="s">
        <v>1801</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1731</v>
      </c>
      <c r="C69" s="509" t="s">
        <v>1719</v>
      </c>
      <c r="D69" s="509" t="s">
        <v>1720</v>
      </c>
      <c r="E69" s="509" t="s">
        <v>1721</v>
      </c>
      <c r="F69" s="509" t="s">
        <v>1722</v>
      </c>
      <c r="G69" s="509" t="s">
        <v>1723</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1850</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1692</v>
      </c>
      <c r="B79" s="460" t="s">
        <v>1851</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1852</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1738</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1854</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1856</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1857</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1767</v>
      </c>
      <c r="B4" s="346"/>
      <c r="C4" s="3477" t="s">
        <v>1768</v>
      </c>
      <c r="D4" s="3478"/>
      <c r="E4" s="3479" t="s">
        <v>1769</v>
      </c>
      <c r="F4" s="3480"/>
      <c r="G4" s="3477" t="s">
        <v>1770</v>
      </c>
      <c r="H4" s="3478"/>
      <c r="I4" s="3477" t="s">
        <v>1771</v>
      </c>
      <c r="J4" s="3478"/>
      <c r="K4" s="537" t="s">
        <v>1772</v>
      </c>
      <c r="L4" s="2486"/>
      <c r="M4" s="2487"/>
      <c r="N4" s="2487"/>
      <c r="O4" s="2487"/>
      <c r="P4" s="3481" t="s">
        <v>1773</v>
      </c>
      <c r="Q4" s="3482"/>
      <c r="R4" s="3464" t="s">
        <v>1769</v>
      </c>
      <c r="S4" s="3465"/>
      <c r="T4" s="3464" t="s">
        <v>1770</v>
      </c>
      <c r="U4" s="3465"/>
      <c r="V4" s="3489" t="s">
        <v>1771</v>
      </c>
      <c r="W4" s="3489"/>
      <c r="X4" s="1264"/>
      <c r="Y4" s="3464" t="s">
        <v>1773</v>
      </c>
      <c r="Z4" s="3465"/>
      <c r="AA4" s="3459" t="s">
        <v>1769</v>
      </c>
      <c r="AB4" s="3460" t="s">
        <v>1770</v>
      </c>
      <c r="AC4" s="3459" t="s">
        <v>1771</v>
      </c>
    </row>
    <row r="5" spans="1:29" ht="15">
      <c r="A5" s="348"/>
      <c r="B5" s="349"/>
      <c r="C5" s="3470" t="s">
        <v>1671</v>
      </c>
      <c r="D5" s="3471"/>
      <c r="E5" s="3468" t="s">
        <v>1672</v>
      </c>
      <c r="F5" s="3469"/>
      <c r="G5" s="3470" t="s">
        <v>1673</v>
      </c>
      <c r="H5" s="3471"/>
      <c r="I5" s="3470" t="s">
        <v>1674</v>
      </c>
      <c r="J5" s="3471"/>
      <c r="K5" s="537"/>
      <c r="L5" s="2486"/>
      <c r="M5" s="2487"/>
      <c r="N5" s="2487"/>
      <c r="O5" s="2487"/>
      <c r="P5" s="3483"/>
      <c r="Q5" s="3484"/>
      <c r="R5" s="3466"/>
      <c r="S5" s="3467"/>
      <c r="T5" s="3466"/>
      <c r="U5" s="3467"/>
      <c r="V5" s="3489"/>
      <c r="W5" s="3489"/>
      <c r="X5" s="1264"/>
      <c r="Y5" s="3466"/>
      <c r="Z5" s="3467"/>
      <c r="AA5" s="3460"/>
      <c r="AB5" s="3460"/>
      <c r="AC5" s="3460"/>
    </row>
    <row r="6" spans="1:29" ht="15.75" thickBot="1">
      <c r="A6" s="350"/>
      <c r="B6" s="351"/>
      <c r="C6" s="3550" t="s">
        <v>1917</v>
      </c>
      <c r="D6" s="3551"/>
      <c r="E6" s="3552" t="s">
        <v>1917</v>
      </c>
      <c r="F6" s="3553"/>
      <c r="G6" s="3550" t="s">
        <v>1917</v>
      </c>
      <c r="H6" s="3551"/>
      <c r="I6" s="3550" t="s">
        <v>1917</v>
      </c>
      <c r="J6" s="3551"/>
      <c r="K6" s="537" t="s">
        <v>1676</v>
      </c>
      <c r="L6" s="2486"/>
      <c r="M6" s="2487"/>
      <c r="N6" s="2487"/>
      <c r="O6" s="2487"/>
      <c r="P6" s="3485"/>
      <c r="Q6" s="3486"/>
      <c r="R6" s="3466"/>
      <c r="S6" s="3467"/>
      <c r="T6" s="3487"/>
      <c r="U6" s="3488"/>
      <c r="V6" s="3489"/>
      <c r="W6" s="3489"/>
      <c r="X6" s="1264"/>
      <c r="Y6" s="3487"/>
      <c r="Z6" s="3488"/>
      <c r="AA6" s="3461"/>
      <c r="AB6" s="3461"/>
      <c r="AC6" s="3461"/>
    </row>
    <row r="7" spans="1:29" s="102" customFormat="1" ht="15.75" thickBot="1">
      <c r="A7" s="352" t="s">
        <v>1677</v>
      </c>
      <c r="B7" s="353"/>
      <c r="C7" s="354">
        <f>'数据-取费表'!B2</f>
        <v>45565</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62" t="s">
        <v>1678</v>
      </c>
      <c r="Q7" s="3490"/>
      <c r="R7" s="664" t="s">
        <v>14</v>
      </c>
      <c r="S7" s="665">
        <f t="shared" ref="S7:S15" si="0">F7</f>
        <v>0</v>
      </c>
      <c r="T7" s="664" t="s">
        <v>14</v>
      </c>
      <c r="U7" s="665">
        <f t="shared" ref="U7:U15" si="1">H7</f>
        <v>0</v>
      </c>
      <c r="V7" s="664" t="s">
        <v>14</v>
      </c>
      <c r="W7" s="665">
        <f t="shared" ref="W7:W15" si="2">J7</f>
        <v>0</v>
      </c>
      <c r="X7" s="666"/>
      <c r="Y7" s="3462" t="s">
        <v>1678</v>
      </c>
      <c r="Z7" s="3463"/>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62" t="s">
        <v>1681</v>
      </c>
      <c r="Q8" s="3463"/>
      <c r="R8" s="664" t="s">
        <v>14</v>
      </c>
      <c r="S8" s="665">
        <f t="shared" si="0"/>
        <v>0</v>
      </c>
      <c r="T8" s="664" t="s">
        <v>14</v>
      </c>
      <c r="U8" s="665">
        <f t="shared" si="1"/>
        <v>0</v>
      </c>
      <c r="V8" s="664" t="s">
        <v>14</v>
      </c>
      <c r="W8" s="665">
        <f t="shared" si="2"/>
        <v>0</v>
      </c>
      <c r="X8" s="666"/>
      <c r="Y8" s="3462" t="s">
        <v>1681</v>
      </c>
      <c r="Z8" s="3463"/>
      <c r="AA8" s="50" t="e">
        <f t="shared" ref="AA8:AA40" si="3">D8/F8</f>
        <v>#DIV/0!</v>
      </c>
      <c r="AB8" s="50" t="e">
        <f t="shared" ref="AB8:AB40" si="4">D8/H8</f>
        <v>#DIV/0!</v>
      </c>
      <c r="AC8" s="50" t="e">
        <f t="shared" ref="AC8:AC40" si="5">D8/J8</f>
        <v>#DIV/0!</v>
      </c>
    </row>
    <row r="9" spans="1:29" s="102" customFormat="1">
      <c r="A9" s="359"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76" t="s">
        <v>1684</v>
      </c>
      <c r="Q9" s="530" t="str">
        <f t="shared" ref="Q9:Q15" si="6">B9</f>
        <v>用途</v>
      </c>
      <c r="R9" s="664" t="s">
        <v>14</v>
      </c>
      <c r="S9" s="665">
        <f t="shared" si="0"/>
        <v>100</v>
      </c>
      <c r="T9" s="664" t="s">
        <v>14</v>
      </c>
      <c r="U9" s="665">
        <f t="shared" si="1"/>
        <v>100</v>
      </c>
      <c r="V9" s="664" t="s">
        <v>14</v>
      </c>
      <c r="W9" s="665">
        <f t="shared" si="2"/>
        <v>100</v>
      </c>
      <c r="X9" s="666"/>
      <c r="Y9" s="343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476"/>
      <c r="Q10" s="530" t="str">
        <f t="shared" si="6"/>
        <v>土地使用年限（年）</v>
      </c>
      <c r="R10" s="664" t="s">
        <v>14</v>
      </c>
      <c r="S10" s="665">
        <f t="shared" si="0"/>
        <v>100</v>
      </c>
      <c r="T10" s="664" t="s">
        <v>14</v>
      </c>
      <c r="U10" s="665">
        <f t="shared" si="1"/>
        <v>100</v>
      </c>
      <c r="V10" s="664" t="s">
        <v>14</v>
      </c>
      <c r="W10" s="665">
        <f t="shared" si="2"/>
        <v>100</v>
      </c>
      <c r="X10" s="666"/>
      <c r="Y10" s="3432"/>
      <c r="Z10" s="50" t="str">
        <f t="shared" si="7"/>
        <v>土地使用年限（年）</v>
      </c>
      <c r="AA10" s="50">
        <f t="shared" si="3"/>
        <v>1</v>
      </c>
      <c r="AB10" s="50">
        <f t="shared" si="4"/>
        <v>1</v>
      </c>
      <c r="AC10" s="50">
        <f t="shared" si="5"/>
        <v>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76"/>
      <c r="Q11" s="530" t="str">
        <f t="shared" si="6"/>
        <v>容积率</v>
      </c>
      <c r="R11" s="664" t="s">
        <v>14</v>
      </c>
      <c r="S11" s="665" t="e">
        <f t="shared" si="0"/>
        <v>#N/A</v>
      </c>
      <c r="T11" s="664" t="s">
        <v>14</v>
      </c>
      <c r="U11" s="665" t="e">
        <f t="shared" si="1"/>
        <v>#N/A</v>
      </c>
      <c r="V11" s="664" t="s">
        <v>14</v>
      </c>
      <c r="W11" s="665" t="e">
        <f t="shared" si="2"/>
        <v>#N/A</v>
      </c>
      <c r="X11" s="666"/>
      <c r="Y11" s="34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76"/>
      <c r="Q12" s="530">
        <f t="shared" si="6"/>
        <v>111</v>
      </c>
      <c r="R12" s="664" t="s">
        <v>14</v>
      </c>
      <c r="S12" s="665">
        <f t="shared" si="0"/>
        <v>100</v>
      </c>
      <c r="T12" s="664" t="s">
        <v>14</v>
      </c>
      <c r="U12" s="665">
        <f t="shared" si="1"/>
        <v>100</v>
      </c>
      <c r="V12" s="664" t="s">
        <v>14</v>
      </c>
      <c r="W12" s="665">
        <f t="shared" si="2"/>
        <v>100</v>
      </c>
      <c r="X12" s="666"/>
      <c r="Y12" s="34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76"/>
      <c r="Q13" s="530">
        <f t="shared" si="6"/>
        <v>111</v>
      </c>
      <c r="R13" s="664" t="s">
        <v>14</v>
      </c>
      <c r="S13" s="665">
        <f t="shared" si="0"/>
        <v>100</v>
      </c>
      <c r="T13" s="664" t="s">
        <v>14</v>
      </c>
      <c r="U13" s="665">
        <f t="shared" si="1"/>
        <v>100</v>
      </c>
      <c r="V13" s="664" t="s">
        <v>14</v>
      </c>
      <c r="W13" s="665">
        <f t="shared" si="2"/>
        <v>100</v>
      </c>
      <c r="X13" s="666"/>
      <c r="Y13" s="343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76"/>
      <c r="Q14" s="530">
        <f t="shared" si="6"/>
        <v>111</v>
      </c>
      <c r="R14" s="664" t="s">
        <v>14</v>
      </c>
      <c r="S14" s="665">
        <f t="shared" si="0"/>
        <v>100</v>
      </c>
      <c r="T14" s="664" t="s">
        <v>14</v>
      </c>
      <c r="U14" s="665">
        <f t="shared" si="1"/>
        <v>100</v>
      </c>
      <c r="V14" s="664" t="s">
        <v>14</v>
      </c>
      <c r="W14" s="665">
        <f t="shared" si="2"/>
        <v>100</v>
      </c>
      <c r="X14" s="666"/>
      <c r="Y14" s="3432"/>
      <c r="Z14" s="50">
        <f t="shared" si="7"/>
        <v>111</v>
      </c>
      <c r="AA14" s="50">
        <f t="shared" si="3"/>
        <v>1</v>
      </c>
      <c r="AB14" s="50">
        <f t="shared" si="4"/>
        <v>1</v>
      </c>
      <c r="AC14" s="50">
        <f t="shared" si="5"/>
        <v>1</v>
      </c>
    </row>
    <row r="15" spans="1:29" ht="57">
      <c r="A15" s="379" t="s">
        <v>1688</v>
      </c>
      <c r="B15" s="554" t="s">
        <v>1918</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91" t="s">
        <v>1689</v>
      </c>
      <c r="Q15" s="1262" t="str">
        <f t="shared" si="6"/>
        <v>产业集聚程度</v>
      </c>
      <c r="R15" s="667" t="s">
        <v>14</v>
      </c>
      <c r="S15" s="668">
        <f t="shared" si="0"/>
        <v>100</v>
      </c>
      <c r="T15" s="667" t="s">
        <v>14</v>
      </c>
      <c r="U15" s="668">
        <f t="shared" si="1"/>
        <v>100</v>
      </c>
      <c r="V15" s="667" t="s">
        <v>14</v>
      </c>
      <c r="W15" s="668">
        <f t="shared" si="2"/>
        <v>100</v>
      </c>
      <c r="X15" s="1264"/>
      <c r="Y15" s="3491" t="s">
        <v>1689</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92"/>
      <c r="Q16" s="1262"/>
      <c r="R16" s="667"/>
      <c r="S16" s="668"/>
      <c r="T16" s="667"/>
      <c r="U16" s="668"/>
      <c r="V16" s="667"/>
      <c r="W16" s="668"/>
      <c r="X16" s="1264"/>
      <c r="Y16" s="3492"/>
      <c r="Z16" s="1263"/>
      <c r="AA16" s="1263">
        <v>1</v>
      </c>
      <c r="AB16" s="1263">
        <v>1</v>
      </c>
      <c r="AC16" s="1263">
        <v>1</v>
      </c>
    </row>
    <row r="17" spans="1:29" ht="85.5">
      <c r="A17" s="367"/>
      <c r="B17" s="556" t="s">
        <v>1831</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92"/>
      <c r="Q17" s="1262" t="str">
        <f>B17</f>
        <v>交通便捷度</v>
      </c>
      <c r="R17" s="667" t="s">
        <v>14</v>
      </c>
      <c r="S17" s="668">
        <f>F17</f>
        <v>100</v>
      </c>
      <c r="T17" s="667" t="s">
        <v>14</v>
      </c>
      <c r="U17" s="668">
        <f>H17</f>
        <v>100</v>
      </c>
      <c r="V17" s="667" t="s">
        <v>14</v>
      </c>
      <c r="W17" s="668">
        <f>J17</f>
        <v>100</v>
      </c>
      <c r="X17" s="1264"/>
      <c r="Y17" s="349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92"/>
      <c r="Q18" s="1262"/>
      <c r="R18" s="667"/>
      <c r="S18" s="668"/>
      <c r="T18" s="667"/>
      <c r="U18" s="668"/>
      <c r="V18" s="667"/>
      <c r="W18" s="668"/>
      <c r="X18" s="1264"/>
      <c r="Y18" s="3492"/>
      <c r="Z18" s="1263"/>
      <c r="AA18" s="1263">
        <v>1</v>
      </c>
      <c r="AB18" s="1263">
        <v>1</v>
      </c>
      <c r="AC18" s="1263">
        <v>1</v>
      </c>
    </row>
    <row r="19" spans="1:29" ht="15">
      <c r="A19" s="367"/>
      <c r="B19" s="556" t="s">
        <v>1869</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92"/>
      <c r="Q19" s="1262" t="str">
        <f t="shared" ref="Q19:Q33" si="8">B19</f>
        <v>区域土地利用方向</v>
      </c>
      <c r="R19" s="667" t="s">
        <v>14</v>
      </c>
      <c r="S19" s="668">
        <f>F19</f>
        <v>100</v>
      </c>
      <c r="T19" s="667" t="s">
        <v>14</v>
      </c>
      <c r="U19" s="668">
        <f>H19</f>
        <v>100</v>
      </c>
      <c r="V19" s="667" t="s">
        <v>14</v>
      </c>
      <c r="W19" s="668">
        <f>J19</f>
        <v>100</v>
      </c>
      <c r="X19" s="1264"/>
      <c r="Y19" s="349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92"/>
      <c r="Q20" s="1262"/>
      <c r="R20" s="667"/>
      <c r="S20" s="668"/>
      <c r="T20" s="667"/>
      <c r="U20" s="668"/>
      <c r="V20" s="667"/>
      <c r="W20" s="668"/>
      <c r="X20" s="1264"/>
      <c r="Y20" s="3492"/>
      <c r="Z20" s="1263"/>
      <c r="AA20" s="1263"/>
      <c r="AB20" s="1263"/>
      <c r="AC20" s="1263"/>
    </row>
    <row r="21" spans="1:29" ht="71.25">
      <c r="A21" s="348"/>
      <c r="B21" s="556" t="s">
        <v>1919</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92"/>
      <c r="Q21" s="1262" t="str">
        <f t="shared" si="8"/>
        <v>环境状况</v>
      </c>
      <c r="R21" s="667" t="s">
        <v>14</v>
      </c>
      <c r="S21" s="668">
        <f>F21</f>
        <v>100</v>
      </c>
      <c r="T21" s="667" t="s">
        <v>14</v>
      </c>
      <c r="U21" s="668">
        <f>H21</f>
        <v>100</v>
      </c>
      <c r="V21" s="667" t="s">
        <v>14</v>
      </c>
      <c r="W21" s="668">
        <f>J21</f>
        <v>100</v>
      </c>
      <c r="X21" s="1264"/>
      <c r="Y21" s="349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92"/>
      <c r="Q22" s="1262"/>
      <c r="R22" s="667"/>
      <c r="S22" s="668"/>
      <c r="T22" s="667"/>
      <c r="U22" s="668"/>
      <c r="V22" s="667"/>
      <c r="W22" s="668"/>
      <c r="X22" s="1264"/>
      <c r="Y22" s="3492"/>
      <c r="Z22" s="1263"/>
      <c r="AA22" s="1263">
        <v>1</v>
      </c>
      <c r="AB22" s="1263">
        <v>1</v>
      </c>
      <c r="AC22" s="1263">
        <v>1</v>
      </c>
    </row>
    <row r="23" spans="1:29" s="102" customFormat="1" ht="42.75">
      <c r="A23" s="443"/>
      <c r="B23" s="557" t="s">
        <v>1776</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92"/>
      <c r="Q23" s="530" t="str">
        <f t="shared" si="8"/>
        <v>公共配套设施</v>
      </c>
      <c r="R23" s="664" t="s">
        <v>14</v>
      </c>
      <c r="S23" s="665">
        <f>F23</f>
        <v>100</v>
      </c>
      <c r="T23" s="664" t="s">
        <v>14</v>
      </c>
      <c r="U23" s="665">
        <f>H23</f>
        <v>100</v>
      </c>
      <c r="V23" s="664" t="s">
        <v>14</v>
      </c>
      <c r="W23" s="665">
        <f>J23</f>
        <v>100</v>
      </c>
      <c r="X23" s="666"/>
      <c r="Y23" s="349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92"/>
      <c r="Q24" s="530"/>
      <c r="R24" s="664"/>
      <c r="S24" s="665"/>
      <c r="T24" s="664"/>
      <c r="U24" s="665"/>
      <c r="V24" s="664"/>
      <c r="W24" s="665"/>
      <c r="X24" s="666"/>
      <c r="Y24" s="3492"/>
      <c r="Z24" s="50"/>
      <c r="AA24" s="50">
        <v>1</v>
      </c>
      <c r="AB24" s="50">
        <v>1</v>
      </c>
      <c r="AC24" s="50">
        <v>1</v>
      </c>
    </row>
    <row r="25" spans="1:29" s="102" customFormat="1" ht="28.5">
      <c r="A25" s="443"/>
      <c r="B25" s="557" t="s">
        <v>1777</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92"/>
      <c r="Q25" s="530" t="str">
        <f t="shared" ref="Q25" si="9">B25</f>
        <v>基础设施水平</v>
      </c>
      <c r="R25" s="664" t="s">
        <v>14</v>
      </c>
      <c r="S25" s="665">
        <f>F25</f>
        <v>100</v>
      </c>
      <c r="T25" s="664" t="s">
        <v>14</v>
      </c>
      <c r="U25" s="665">
        <f>H25</f>
        <v>100</v>
      </c>
      <c r="V25" s="664" t="s">
        <v>14</v>
      </c>
      <c r="W25" s="665">
        <f>J25</f>
        <v>100</v>
      </c>
      <c r="X25" s="666"/>
      <c r="Y25" s="349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92"/>
      <c r="Q26" s="530"/>
      <c r="R26" s="664"/>
      <c r="S26" s="665"/>
      <c r="T26" s="664"/>
      <c r="U26" s="665"/>
      <c r="V26" s="664"/>
      <c r="W26" s="665"/>
      <c r="X26" s="666"/>
      <c r="Y26" s="3492"/>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9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92"/>
      <c r="Z27" s="1263" t="str">
        <f t="shared" ref="Z27:Z40" si="13">Q27</f>
        <v>临街状况</v>
      </c>
      <c r="AA27" s="1263">
        <f t="shared" si="3"/>
        <v>1</v>
      </c>
      <c r="AB27" s="1263">
        <f t="shared" si="4"/>
        <v>1</v>
      </c>
      <c r="AC27" s="1263">
        <f t="shared" si="5"/>
        <v>1</v>
      </c>
    </row>
    <row r="28" spans="1:29" ht="27">
      <c r="A28" s="367"/>
      <c r="B28" s="557" t="s">
        <v>1813</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92"/>
      <c r="Q28" s="1262" t="str">
        <f t="shared" si="8"/>
        <v>毗邻道路的类型与等级</v>
      </c>
      <c r="R28" s="667" t="s">
        <v>14</v>
      </c>
      <c r="S28" s="668">
        <f t="shared" si="10"/>
        <v>100</v>
      </c>
      <c r="T28" s="667" t="s">
        <v>14</v>
      </c>
      <c r="U28" s="668">
        <f t="shared" si="11"/>
        <v>100</v>
      </c>
      <c r="V28" s="667" t="s">
        <v>14</v>
      </c>
      <c r="W28" s="668">
        <f t="shared" si="12"/>
        <v>100</v>
      </c>
      <c r="X28" s="1264"/>
      <c r="Y28" s="349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92"/>
      <c r="Q29" s="1262"/>
      <c r="R29" s="667"/>
      <c r="S29" s="668"/>
      <c r="T29" s="667"/>
      <c r="U29" s="668"/>
      <c r="V29" s="667"/>
      <c r="W29" s="668"/>
      <c r="X29" s="1264"/>
      <c r="Y29" s="3492"/>
      <c r="Z29" s="1263"/>
      <c r="AA29" s="1263">
        <v>1</v>
      </c>
      <c r="AB29" s="1263">
        <v>1</v>
      </c>
      <c r="AC29" s="1263">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92"/>
      <c r="Q30" s="1262" t="str">
        <f t="shared" si="8"/>
        <v>土地级别</v>
      </c>
      <c r="R30" s="667" t="s">
        <v>14</v>
      </c>
      <c r="S30" s="668">
        <f t="shared" si="10"/>
        <v>100</v>
      </c>
      <c r="T30" s="667" t="s">
        <v>14</v>
      </c>
      <c r="U30" s="668">
        <f t="shared" si="11"/>
        <v>100</v>
      </c>
      <c r="V30" s="667" t="s">
        <v>14</v>
      </c>
      <c r="W30" s="668">
        <f t="shared" si="12"/>
        <v>100</v>
      </c>
      <c r="X30" s="1264"/>
      <c r="Y30" s="349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92"/>
      <c r="Q31" s="1262">
        <f t="shared" si="8"/>
        <v>111</v>
      </c>
      <c r="R31" s="667" t="s">
        <v>14</v>
      </c>
      <c r="S31" s="668">
        <f t="shared" si="10"/>
        <v>100</v>
      </c>
      <c r="T31" s="667" t="s">
        <v>14</v>
      </c>
      <c r="U31" s="668">
        <f t="shared" si="11"/>
        <v>100</v>
      </c>
      <c r="V31" s="667" t="s">
        <v>14</v>
      </c>
      <c r="W31" s="668">
        <f t="shared" si="12"/>
        <v>100</v>
      </c>
      <c r="X31" s="1264"/>
      <c r="Y31" s="349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93" t="s">
        <v>1694</v>
      </c>
      <c r="Q32" s="1262">
        <f t="shared" si="8"/>
        <v>111</v>
      </c>
      <c r="R32" s="667" t="s">
        <v>14</v>
      </c>
      <c r="S32" s="668">
        <f t="shared" si="10"/>
        <v>100</v>
      </c>
      <c r="T32" s="667" t="s">
        <v>14</v>
      </c>
      <c r="U32" s="668">
        <f t="shared" si="11"/>
        <v>100</v>
      </c>
      <c r="V32" s="667" t="s">
        <v>14</v>
      </c>
      <c r="W32" s="668">
        <f t="shared" si="12"/>
        <v>100</v>
      </c>
      <c r="X32" s="1264"/>
      <c r="Y32" s="3494" t="s">
        <v>1694</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94"/>
      <c r="Q33" s="1262">
        <f t="shared" si="8"/>
        <v>111</v>
      </c>
      <c r="R33" s="669" t="s">
        <v>14</v>
      </c>
      <c r="S33" s="670">
        <f t="shared" si="10"/>
        <v>100</v>
      </c>
      <c r="T33" s="669" t="s">
        <v>14</v>
      </c>
      <c r="U33" s="670">
        <f t="shared" si="11"/>
        <v>100</v>
      </c>
      <c r="V33" s="669" t="s">
        <v>14</v>
      </c>
      <c r="W33" s="670">
        <f t="shared" si="12"/>
        <v>100</v>
      </c>
      <c r="X33" s="671"/>
      <c r="Y33" s="3494"/>
      <c r="Z33" s="672">
        <f t="shared" si="13"/>
        <v>111</v>
      </c>
      <c r="AA33" s="1263">
        <f t="shared" si="3"/>
        <v>1</v>
      </c>
      <c r="AB33" s="1263">
        <f t="shared" si="4"/>
        <v>1</v>
      </c>
      <c r="AC33" s="1263">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94"/>
      <c r="Q34" s="1262" t="str">
        <f>B34</f>
        <v>宗地面积</v>
      </c>
      <c r="R34" s="667" t="s">
        <v>14</v>
      </c>
      <c r="S34" s="668" t="e">
        <f t="shared" si="10"/>
        <v>#N/A</v>
      </c>
      <c r="T34" s="667" t="s">
        <v>14</v>
      </c>
      <c r="U34" s="668" t="e">
        <f t="shared" si="11"/>
        <v>#N/A</v>
      </c>
      <c r="V34" s="667" t="s">
        <v>14</v>
      </c>
      <c r="W34" s="668" t="e">
        <f t="shared" si="12"/>
        <v>#N/A</v>
      </c>
      <c r="X34" s="1264"/>
      <c r="Y34" s="3494"/>
      <c r="Z34" s="1263" t="str">
        <f t="shared" si="13"/>
        <v>宗地面积</v>
      </c>
      <c r="AA34" s="1263" t="e">
        <f t="shared" si="3"/>
        <v>#N/A</v>
      </c>
      <c r="AB34" s="1263" t="e">
        <f t="shared" si="4"/>
        <v>#N/A</v>
      </c>
      <c r="AC34" s="1263" t="e">
        <f t="shared" si="5"/>
        <v>#N/A</v>
      </c>
    </row>
    <row r="35" spans="1:31" ht="15">
      <c r="A35" s="409"/>
      <c r="B35" s="364" t="s">
        <v>1873</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94"/>
      <c r="Q35" s="1262" t="str">
        <f t="shared" ref="Q35:Q40" si="14">B35</f>
        <v>宗地形状</v>
      </c>
      <c r="R35" s="667" t="s">
        <v>14</v>
      </c>
      <c r="S35" s="668">
        <f t="shared" si="10"/>
        <v>100</v>
      </c>
      <c r="T35" s="667" t="s">
        <v>14</v>
      </c>
      <c r="U35" s="668">
        <f t="shared" si="11"/>
        <v>100</v>
      </c>
      <c r="V35" s="667" t="s">
        <v>14</v>
      </c>
      <c r="W35" s="668">
        <f t="shared" si="12"/>
        <v>100</v>
      </c>
      <c r="X35" s="1264"/>
      <c r="Y35" s="3494"/>
      <c r="Z35" s="1263" t="str">
        <f t="shared" si="13"/>
        <v>宗地形状</v>
      </c>
      <c r="AA35" s="1263">
        <f t="shared" si="3"/>
        <v>1</v>
      </c>
      <c r="AB35" s="1263">
        <f t="shared" si="4"/>
        <v>1</v>
      </c>
      <c r="AC35" s="1263">
        <f t="shared" si="5"/>
        <v>1</v>
      </c>
    </row>
    <row r="36" spans="1:31" s="102" customFormat="1" ht="15">
      <c r="A36" s="410"/>
      <c r="B36" s="364" t="s">
        <v>1875</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94"/>
      <c r="Q36" s="1262" t="str">
        <f t="shared" si="14"/>
        <v>宗地开发程度</v>
      </c>
      <c r="R36" s="664" t="s">
        <v>14</v>
      </c>
      <c r="S36" s="665">
        <f t="shared" si="10"/>
        <v>100</v>
      </c>
      <c r="T36" s="664" t="s">
        <v>14</v>
      </c>
      <c r="U36" s="665">
        <f t="shared" si="11"/>
        <v>100</v>
      </c>
      <c r="V36" s="664" t="s">
        <v>14</v>
      </c>
      <c r="W36" s="665">
        <f t="shared" si="12"/>
        <v>100</v>
      </c>
      <c r="X36" s="666"/>
      <c r="Y36" s="3494"/>
      <c r="Z36" s="50" t="str">
        <f t="shared" si="13"/>
        <v>宗地开发程度</v>
      </c>
      <c r="AA36" s="50">
        <f t="shared" si="3"/>
        <v>1</v>
      </c>
      <c r="AB36" s="50">
        <f t="shared" si="4"/>
        <v>1</v>
      </c>
      <c r="AC36" s="50">
        <f t="shared" si="5"/>
        <v>1</v>
      </c>
    </row>
    <row r="37" spans="1:31" ht="15">
      <c r="A37" s="409"/>
      <c r="B37" s="364" t="s">
        <v>1876</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94" t="s">
        <v>1694</v>
      </c>
      <c r="Q37" s="1262" t="str">
        <f t="shared" si="14"/>
        <v>工程地质条件</v>
      </c>
      <c r="R37" s="667" t="s">
        <v>14</v>
      </c>
      <c r="S37" s="668">
        <f t="shared" si="10"/>
        <v>100</v>
      </c>
      <c r="T37" s="667" t="s">
        <v>14</v>
      </c>
      <c r="U37" s="668">
        <f t="shared" si="11"/>
        <v>100</v>
      </c>
      <c r="V37" s="667" t="s">
        <v>14</v>
      </c>
      <c r="W37" s="668">
        <f t="shared" si="12"/>
        <v>100</v>
      </c>
      <c r="X37" s="1264"/>
      <c r="Y37" s="3494" t="s">
        <v>1694</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94"/>
      <c r="Q38" s="1262">
        <f t="shared" si="14"/>
        <v>111</v>
      </c>
      <c r="R38" s="667" t="s">
        <v>14</v>
      </c>
      <c r="S38" s="668">
        <f t="shared" si="10"/>
        <v>100</v>
      </c>
      <c r="T38" s="667" t="s">
        <v>14</v>
      </c>
      <c r="U38" s="668">
        <f t="shared" si="11"/>
        <v>100</v>
      </c>
      <c r="V38" s="667" t="s">
        <v>14</v>
      </c>
      <c r="W38" s="668">
        <f t="shared" si="12"/>
        <v>100</v>
      </c>
      <c r="X38" s="1264"/>
      <c r="Y38" s="349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94"/>
      <c r="Q39" s="1262">
        <f t="shared" si="14"/>
        <v>111</v>
      </c>
      <c r="R39" s="667" t="s">
        <v>14</v>
      </c>
      <c r="S39" s="668">
        <f t="shared" si="10"/>
        <v>100</v>
      </c>
      <c r="T39" s="667" t="s">
        <v>14</v>
      </c>
      <c r="U39" s="668">
        <f t="shared" si="11"/>
        <v>100</v>
      </c>
      <c r="V39" s="667" t="s">
        <v>14</v>
      </c>
      <c r="W39" s="668">
        <f t="shared" si="12"/>
        <v>100</v>
      </c>
      <c r="X39" s="1264"/>
      <c r="Y39" s="3494"/>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94"/>
      <c r="Q40" s="1262">
        <f t="shared" si="14"/>
        <v>111</v>
      </c>
      <c r="R40" s="669" t="s">
        <v>14</v>
      </c>
      <c r="S40" s="670">
        <f t="shared" si="10"/>
        <v>100</v>
      </c>
      <c r="T40" s="669" t="s">
        <v>14</v>
      </c>
      <c r="U40" s="670">
        <f t="shared" si="11"/>
        <v>100</v>
      </c>
      <c r="V40" s="669" t="s">
        <v>14</v>
      </c>
      <c r="W40" s="670">
        <f t="shared" si="12"/>
        <v>100</v>
      </c>
      <c r="X40" s="671"/>
      <c r="Y40" s="3494"/>
      <c r="Z40" s="672">
        <f t="shared" si="13"/>
        <v>111</v>
      </c>
      <c r="AA40" s="1263">
        <f t="shared" si="3"/>
        <v>1</v>
      </c>
      <c r="AB40" s="1263">
        <f t="shared" si="4"/>
        <v>1</v>
      </c>
      <c r="AC40" s="1263">
        <f t="shared" si="5"/>
        <v>1</v>
      </c>
    </row>
    <row r="41" spans="1:31" ht="15">
      <c r="A41" s="416" t="s">
        <v>1842</v>
      </c>
      <c r="B41" s="1829" t="s">
        <v>1920</v>
      </c>
      <c r="C41" s="602" t="s">
        <v>0</v>
      </c>
      <c r="D41" s="418"/>
      <c r="E41" s="419"/>
      <c r="F41" s="420"/>
      <c r="G41" s="421"/>
      <c r="H41" s="422"/>
      <c r="I41" s="419"/>
      <c r="J41" s="422"/>
      <c r="K41" s="674"/>
      <c r="L41" s="2494"/>
      <c r="M41" s="2487"/>
      <c r="N41" s="2487"/>
      <c r="O41" s="2487"/>
      <c r="P41" s="3476" t="str">
        <f>A41</f>
        <v>成交单价</v>
      </c>
      <c r="Q41" s="3476"/>
      <c r="R41" s="3489">
        <f>E41</f>
        <v>0</v>
      </c>
      <c r="S41" s="3489"/>
      <c r="T41" s="3489">
        <f>G41</f>
        <v>0</v>
      </c>
      <c r="U41" s="3489"/>
      <c r="V41" s="3489">
        <f>I41</f>
        <v>0</v>
      </c>
      <c r="W41" s="3489"/>
      <c r="X41" s="385"/>
      <c r="Y41" s="673"/>
      <c r="Z41" s="385"/>
      <c r="AA41" s="385"/>
      <c r="AB41" s="385"/>
      <c r="AC41" s="385"/>
    </row>
    <row r="42" spans="1:31" ht="15.75" thickBot="1">
      <c r="A42" s="423" t="s">
        <v>1791</v>
      </c>
      <c r="B42" s="603"/>
      <c r="C42" s="426" t="e">
        <f>R43</f>
        <v>#DIV/0!</v>
      </c>
      <c r="D42" s="2140" t="s">
        <v>2136</v>
      </c>
      <c r="E42" s="426" t="e">
        <f>R42</f>
        <v>#DIV/0!</v>
      </c>
      <c r="F42" s="2141"/>
      <c r="G42" s="425" t="e">
        <f>T42</f>
        <v>#DIV/0!</v>
      </c>
      <c r="H42" s="2141"/>
      <c r="I42" s="426" t="e">
        <f>V42</f>
        <v>#DIV/0!</v>
      </c>
      <c r="J42" s="2141"/>
      <c r="K42" s="2143">
        <f>F42+H42+J42</f>
        <v>0</v>
      </c>
      <c r="L42" s="2494"/>
      <c r="M42" s="2487"/>
      <c r="N42" s="2487"/>
      <c r="O42" s="2487"/>
      <c r="P42" s="3476" t="str">
        <f>A42</f>
        <v>比较价值（元/平方米）</v>
      </c>
      <c r="Q42" s="3476"/>
      <c r="R42" s="3495" t="e">
        <f>ROUND(PRODUCT(R41,AA7:AA40),0)</f>
        <v>#DIV/0!</v>
      </c>
      <c r="S42" s="3495"/>
      <c r="T42" s="3495" t="e">
        <f>ROUND(PRODUCT(T41,AB7:AB40),0)</f>
        <v>#DIV/0!</v>
      </c>
      <c r="U42" s="3495"/>
      <c r="V42" s="3495" t="e">
        <f>ROUND(PRODUCT(V41,AC7:AC40),0)</f>
        <v>#DIV/0!</v>
      </c>
      <c r="W42" s="349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4"/>
      <c r="M43" s="2487"/>
      <c r="N43" s="2487"/>
      <c r="O43" s="2487"/>
      <c r="P43" s="3496" t="str">
        <f>A43</f>
        <v>估价对象XX用房的比较价值（楼面单价，元/平方米）</v>
      </c>
      <c r="Q43" s="3497"/>
      <c r="R43" s="3498" t="e">
        <f>ROUND(IF(D42="简单平均",AVERAGE(R42:W42),R42*F42+T42*H42+V42*J42),0)</f>
        <v>#DIV/0!</v>
      </c>
      <c r="S43" s="3498"/>
      <c r="T43" s="3498"/>
      <c r="U43" s="3498"/>
      <c r="V43" s="3498"/>
      <c r="W43" s="349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1879</v>
      </c>
      <c r="B50" s="605" t="s">
        <v>1880</v>
      </c>
      <c r="C50" s="1830" t="s">
        <v>1881</v>
      </c>
      <c r="D50" s="1831" t="s">
        <v>1882</v>
      </c>
      <c r="E50" s="606" t="s">
        <v>1883</v>
      </c>
      <c r="F50" s="607" t="s">
        <v>1884</v>
      </c>
      <c r="G50" s="3477" t="s">
        <v>1885</v>
      </c>
      <c r="H50" s="3499"/>
      <c r="I50" s="1263" t="s">
        <v>1921</v>
      </c>
      <c r="J50" s="1263">
        <f>项目基本情况!F35</f>
        <v>0</v>
      </c>
      <c r="K50" s="1833"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1888</v>
      </c>
      <c r="B51" s="609" t="e">
        <f>C43</f>
        <v>#DIV/0!</v>
      </c>
      <c r="C51" s="610">
        <v>1</v>
      </c>
      <c r="D51" s="890">
        <v>1</v>
      </c>
      <c r="E51" s="610">
        <f>'数据-汇总表'!E8+'数据-汇总表'!E9</f>
        <v>23729.450000000004</v>
      </c>
      <c r="F51" s="611" t="e">
        <f t="shared" ref="F51:F60" si="15">ROUND(B51*E51/10000,0)</f>
        <v>#DIV/0!</v>
      </c>
      <c r="G51" s="3500"/>
      <c r="H51" s="347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1889</v>
      </c>
      <c r="B52" s="210" t="e">
        <f>ROUND($C$43*C52*D52,0)</f>
        <v>#DIV/0!</v>
      </c>
      <c r="C52" s="163">
        <f t="shared" ref="C52:C60" si="16">IF($C$50="北京市系数",I52,J52)</f>
        <v>0.5</v>
      </c>
      <c r="D52" s="891">
        <v>0.25</v>
      </c>
      <c r="E52" s="614"/>
      <c r="F52" s="611" t="e">
        <f t="shared" si="15"/>
        <v>#DIV/0!</v>
      </c>
      <c r="G52" s="2750" t="s">
        <v>1890</v>
      </c>
      <c r="H52" s="834" t="str">
        <f>项目基本情况!B37</f>
        <v>九级</v>
      </c>
      <c r="I52" s="727">
        <f>SUMIF(修正!A57:A68,H52,修正!B57:B68)</f>
        <v>0.5</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1891</v>
      </c>
      <c r="B53" s="210" t="e">
        <f t="shared" ref="B53:B60" si="17">ROUND($C$43*C53*D53,0)</f>
        <v>#DIV/0!</v>
      </c>
      <c r="C53" s="163">
        <f t="shared" si="16"/>
        <v>0.2</v>
      </c>
      <c r="D53" s="891">
        <v>0.25</v>
      </c>
      <c r="E53" s="614"/>
      <c r="F53" s="611" t="e">
        <f t="shared" si="15"/>
        <v>#DIV/0!</v>
      </c>
      <c r="G53" s="2751"/>
      <c r="H53" s="834" t="str">
        <f>项目基本情况!B37</f>
        <v>九级</v>
      </c>
      <c r="I53" s="727">
        <f>SUMIF(修正!A57:A68,H53,修正!C57:C68)</f>
        <v>0.2</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1892</v>
      </c>
      <c r="B54" s="210" t="e">
        <f t="shared" si="17"/>
        <v>#DIV/0!</v>
      </c>
      <c r="C54" s="163">
        <f t="shared" si="16"/>
        <v>0.2</v>
      </c>
      <c r="D54" s="891">
        <v>0.25</v>
      </c>
      <c r="E54" s="614"/>
      <c r="F54" s="611" t="e">
        <f t="shared" si="15"/>
        <v>#DIV/0!</v>
      </c>
      <c r="G54" s="2751"/>
      <c r="H54" s="834" t="str">
        <f>项目基本情况!B37</f>
        <v>九级</v>
      </c>
      <c r="I54" s="727">
        <f>SUMIF(修正!A57:A68,H54,修正!D57:D68)</f>
        <v>0.2</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1893</v>
      </c>
      <c r="B56" s="210" t="e">
        <f t="shared" si="17"/>
        <v>#DIV/0!</v>
      </c>
      <c r="C56" s="163">
        <f t="shared" si="16"/>
        <v>0.2</v>
      </c>
      <c r="D56" s="891">
        <v>0.25</v>
      </c>
      <c r="E56" s="209">
        <f>'数据-汇总表'!E11</f>
        <v>0</v>
      </c>
      <c r="F56" s="611" t="e">
        <f t="shared" si="15"/>
        <v>#DIV/0!</v>
      </c>
      <c r="G56" s="1834" t="s">
        <v>1894</v>
      </c>
      <c r="H56" s="834" t="str">
        <f>项目基本情况!C37</f>
        <v>九级</v>
      </c>
      <c r="I56" s="727">
        <f>SUMIF(修正!A57:A68,H56,修正!E57:E68)</f>
        <v>0.2</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1895</v>
      </c>
      <c r="B57" s="210" t="e">
        <f t="shared" si="17"/>
        <v>#DIV/0!</v>
      </c>
      <c r="C57" s="163">
        <f t="shared" si="16"/>
        <v>0.2</v>
      </c>
      <c r="D57" s="891">
        <v>0.25</v>
      </c>
      <c r="E57" s="209">
        <f>'数据-汇总表'!E12</f>
        <v>2354.37</v>
      </c>
      <c r="F57" s="611" t="e">
        <f t="shared" si="15"/>
        <v>#DIV/0!</v>
      </c>
      <c r="G57" s="839" t="s">
        <v>1896</v>
      </c>
      <c r="H57" s="834" t="str">
        <f>IF(G57="商业",项目基本情况!B37,IF(G57="办公",项目基本情况!C37,IF(G57="住宅",项目基本情况!D37,项目基本情况!E37)))</f>
        <v>九级</v>
      </c>
      <c r="I57" s="727">
        <f>SUMIF(修正!A57:A68,H57,修正!F57:F68)</f>
        <v>0.2</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1897</v>
      </c>
      <c r="B58" s="210" t="e">
        <f t="shared" si="17"/>
        <v>#DIV/0!</v>
      </c>
      <c r="C58" s="163">
        <f t="shared" si="16"/>
        <v>0.1</v>
      </c>
      <c r="D58" s="891">
        <v>0.25</v>
      </c>
      <c r="E58" s="209">
        <f>'数据-汇总表'!E13</f>
        <v>10240.049999999999</v>
      </c>
      <c r="F58" s="611" t="e">
        <f t="shared" si="15"/>
        <v>#DIV/0!</v>
      </c>
      <c r="G58" s="839" t="s">
        <v>1898</v>
      </c>
      <c r="H58" s="834" t="str">
        <f>IF(G58="商业",项目基本情况!B37,IF(G58="办公",项目基本情况!C37,IF(G58="住宅",项目基本情况!D37,项目基本情况!E37)))</f>
        <v>九级</v>
      </c>
      <c r="I58" s="727">
        <f>SUMIF(修正!A57:A68,H58,修正!G57:G68)</f>
        <v>0.1</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1899</v>
      </c>
      <c r="B59" s="210" t="e">
        <f t="shared" si="17"/>
        <v>#DIV/0!</v>
      </c>
      <c r="C59" s="163">
        <f t="shared" si="16"/>
        <v>0.1</v>
      </c>
      <c r="D59" s="891">
        <v>0.25</v>
      </c>
      <c r="E59" s="209">
        <f>'数据-汇总表'!E14</f>
        <v>0</v>
      </c>
      <c r="F59" s="611" t="e">
        <f t="shared" si="15"/>
        <v>#DIV/0!</v>
      </c>
      <c r="G59" s="1834" t="s">
        <v>1890</v>
      </c>
      <c r="H59" s="834" t="str">
        <f>项目基本情况!B37</f>
        <v>九级</v>
      </c>
      <c r="I59" s="727">
        <f>SUMIF(修正!A57:A68,H59,修正!G57:G68)</f>
        <v>0.1</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1900</v>
      </c>
      <c r="B60" s="210" t="e">
        <f t="shared" si="17"/>
        <v>#DIV/0!</v>
      </c>
      <c r="C60" s="163">
        <f t="shared" si="16"/>
        <v>0.1</v>
      </c>
      <c r="D60" s="891">
        <v>0.25</v>
      </c>
      <c r="E60" s="209">
        <f>'数据-汇总表'!E15</f>
        <v>0</v>
      </c>
      <c r="F60" s="611" t="e">
        <f t="shared" si="15"/>
        <v>#DIV/0!</v>
      </c>
      <c r="G60" s="1835" t="s">
        <v>1894</v>
      </c>
      <c r="H60" s="844" t="str">
        <f>项目基本情况!C37</f>
        <v>九级</v>
      </c>
      <c r="I60" s="727">
        <f>SUMIF(修正!A57:A68,H60,修正!G57:G68)</f>
        <v>0.1</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1901</v>
      </c>
      <c r="B61" s="616" t="s">
        <v>22</v>
      </c>
      <c r="C61" s="616" t="s">
        <v>23</v>
      </c>
      <c r="D61" s="616" t="s">
        <v>392</v>
      </c>
      <c r="E61" s="616">
        <f>IF(B41="楼面地价",SUM(E51:E60),'数据-汇总表'!D3)</f>
        <v>14295.23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7"/>
      <c r="Q63" s="2487"/>
      <c r="R63" s="2487"/>
      <c r="S63" s="2487"/>
      <c r="T63" s="2487"/>
      <c r="U63" s="2487"/>
      <c r="V63" s="2487"/>
      <c r="W63" s="2487"/>
      <c r="X63" s="2487"/>
      <c r="Y63" s="2487"/>
      <c r="Z63" s="2487"/>
      <c r="AA63" s="2487"/>
      <c r="AB63" s="2487"/>
      <c r="AC63" s="2487"/>
      <c r="AD63" s="2487"/>
      <c r="AE63" s="2487"/>
    </row>
    <row r="64" spans="1:31" ht="21.75" thickBot="1">
      <c r="A64" s="658" t="s">
        <v>1796</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1902</v>
      </c>
      <c r="B65" s="1046"/>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1922</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1714</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1679</v>
      </c>
      <c r="B68" s="444"/>
      <c r="C68" s="456" t="s">
        <v>1774</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1717</v>
      </c>
      <c r="B70" s="460" t="s">
        <v>1683</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1686</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1688</v>
      </c>
      <c r="B83" s="460" t="s">
        <v>1827</v>
      </c>
      <c r="C83" s="504" t="s">
        <v>1719</v>
      </c>
      <c r="D83" s="504" t="s">
        <v>1720</v>
      </c>
      <c r="E83" s="504" t="s">
        <v>1721</v>
      </c>
      <c r="F83" s="504" t="s">
        <v>1722</v>
      </c>
      <c r="G83" s="504" t="s">
        <v>1723</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1724</v>
      </c>
      <c r="C85" s="509" t="s">
        <v>1719</v>
      </c>
      <c r="D85" s="509" t="s">
        <v>1720</v>
      </c>
      <c r="E85" s="509" t="s">
        <v>1721</v>
      </c>
      <c r="F85" s="509" t="s">
        <v>1722</v>
      </c>
      <c r="G85" s="509" t="s">
        <v>1723</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1813</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1871</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1912</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1914</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1915</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57" t="s">
        <v>2082</v>
      </c>
      <c r="D1" s="3558"/>
      <c r="E1" s="3558"/>
      <c r="F1" s="3558"/>
      <c r="G1" s="3558"/>
      <c r="H1" s="3558"/>
      <c r="I1" s="3558"/>
      <c r="J1" s="3558"/>
      <c r="K1" s="3558"/>
      <c r="L1" s="3558"/>
      <c r="M1" s="3558"/>
      <c r="N1" s="3558"/>
      <c r="O1" s="3558"/>
      <c r="P1" s="3558"/>
      <c r="Q1" s="3558"/>
      <c r="R1" s="3558"/>
      <c r="S1" s="3559"/>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2085</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2086</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2087</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2091</v>
      </c>
      <c r="B17" s="1986"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2093</v>
      </c>
      <c r="E19" s="1252"/>
      <c r="F19" s="1252"/>
      <c r="G19" s="1252"/>
      <c r="H19" s="996"/>
      <c r="I19" s="151"/>
      <c r="J19" s="151"/>
      <c r="K19" s="151"/>
      <c r="L19" s="151"/>
      <c r="M19" s="151"/>
      <c r="N19" s="151"/>
      <c r="O19" s="151"/>
      <c r="P19" s="151"/>
      <c r="Q19" s="151"/>
      <c r="R19" s="151"/>
      <c r="S19" s="121"/>
    </row>
    <row r="20" spans="1:45" ht="16.5" thickBot="1">
      <c r="A20" s="632" t="s">
        <v>2094</v>
      </c>
      <c r="B20" s="286" t="e">
        <f ca="1">IF(D20="——",S22,S22-F20)</f>
        <v>#REF!</v>
      </c>
      <c r="C20" s="151"/>
      <c r="D20" s="1988"/>
      <c r="E20" s="1253"/>
      <c r="F20" s="929" t="e">
        <f ca="1">SUMIF(INDIRECT("'"&amp;H20&amp;"'"&amp;"!A:A"),"承租人权益价值",INDIRECT("'"&amp;H20&amp;"'"&amp;"!c:c"))</f>
        <v>#REF!</v>
      </c>
      <c r="G20" s="929" t="s">
        <v>2095</v>
      </c>
      <c r="H20" s="1989"/>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54" t="s">
        <v>27</v>
      </c>
      <c r="D22" s="3555"/>
      <c r="E22" s="3555"/>
      <c r="F22" s="3555"/>
      <c r="G22" s="3555"/>
      <c r="H22" s="3555"/>
      <c r="I22" s="3555"/>
      <c r="J22" s="3555"/>
      <c r="K22" s="3555"/>
      <c r="L22" s="3555"/>
      <c r="M22" s="3555"/>
      <c r="N22" s="3555"/>
      <c r="O22" s="3555"/>
      <c r="P22" s="3555"/>
      <c r="Q22" s="355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2079</v>
      </c>
      <c r="B1" s="4"/>
      <c r="C1" s="4"/>
      <c r="D1" s="4"/>
      <c r="E1" s="4"/>
      <c r="F1" s="2544"/>
      <c r="G1" s="2544"/>
      <c r="H1" s="2544"/>
      <c r="I1" s="2544"/>
      <c r="J1" s="2544"/>
      <c r="K1" s="2544"/>
      <c r="L1" s="2544"/>
      <c r="M1" s="2544"/>
      <c r="N1" s="2544"/>
      <c r="O1" s="2544"/>
      <c r="P1" s="2544"/>
    </row>
    <row r="2" spans="1:16" ht="15.75">
      <c r="A2" s="1983" t="s">
        <v>2071</v>
      </c>
      <c r="B2" s="2387" t="e">
        <f ca="1">SUMIF(B6:B13,"&lt;&gt;#ref!",B6:B13)</f>
        <v>#DIV/0!</v>
      </c>
      <c r="C2" s="1983" t="s">
        <v>2072</v>
      </c>
      <c r="D2" s="1983" t="s">
        <v>2073</v>
      </c>
      <c r="E2" s="2397">
        <f ca="1">SUMIF(E6:E13,"&lt;&gt;#ref!",E6:E13)</f>
        <v>0</v>
      </c>
      <c r="F2" s="2544"/>
      <c r="G2" s="2544"/>
      <c r="H2" s="2544"/>
      <c r="I2" s="2544"/>
      <c r="J2" s="2544"/>
      <c r="K2" s="2544"/>
      <c r="L2" s="2544"/>
      <c r="M2" s="2544"/>
      <c r="N2" s="2544"/>
      <c r="O2" s="2544"/>
      <c r="P2" s="2544"/>
    </row>
    <row r="3" spans="1:16" ht="15.75">
      <c r="A3" s="1983" t="s">
        <v>2074</v>
      </c>
      <c r="B3" s="2387" t="e">
        <f ca="1">ROUND(B2*10000/E2,0)</f>
        <v>#DIV/0!</v>
      </c>
      <c r="C3" s="1983" t="s">
        <v>2080</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2075</v>
      </c>
      <c r="B5" s="2395" t="s">
        <v>2076</v>
      </c>
      <c r="C5" s="1984"/>
      <c r="D5" s="2544"/>
      <c r="E5" s="2396" t="s">
        <v>2077</v>
      </c>
      <c r="F5" s="2544"/>
      <c r="G5" s="2544"/>
      <c r="H5" s="2544"/>
      <c r="I5" s="2544"/>
      <c r="J5" s="2544"/>
      <c r="K5" s="2544"/>
      <c r="L5" s="2544"/>
      <c r="M5" s="2544"/>
      <c r="N5" s="2544"/>
      <c r="O5" s="2544"/>
      <c r="P5" s="2544"/>
    </row>
    <row r="6" spans="1:16" ht="15.75">
      <c r="A6" s="2394" t="s">
        <v>2078</v>
      </c>
      <c r="B6" s="2387" t="e">
        <f ca="1">SUMIF(INDIRECT("'"&amp;A6&amp;"'"&amp;"!A:A"),"总价",INDIRECT("'"&amp;A6&amp;"'"&amp;"!B:B"))</f>
        <v>#DIV/0!</v>
      </c>
      <c r="C6" s="1983" t="s">
        <v>2072</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2072</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2072</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2072</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2072</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2072</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1924</v>
      </c>
      <c r="B1" s="189"/>
      <c r="C1" s="193" t="s">
        <v>1925</v>
      </c>
      <c r="D1" s="333">
        <f>SUM(D33:D34,D37:D42)</f>
        <v>0</v>
      </c>
      <c r="E1" s="1841"/>
      <c r="F1" s="1841"/>
      <c r="G1" s="1841"/>
      <c r="H1" s="1841"/>
      <c r="I1" s="1841"/>
      <c r="J1" s="1841"/>
      <c r="K1" s="1056"/>
      <c r="L1" s="1842" t="s">
        <v>1926</v>
      </c>
      <c r="M1" s="810">
        <f>SUMPRODUCT((区片价!B5:B9=I2)*(区片价!C3:G3=E2)*(区片价!C5:G9))</f>
        <v>0</v>
      </c>
      <c r="N1" s="813">
        <f>SUMPRODUCT((因素修正幅度!B5:B9=I2)*(因素修正幅度!C3:G3=E2)*(因素修正幅度!C5:G9))</f>
        <v>0</v>
      </c>
      <c r="O1" s="1843"/>
      <c r="P1" s="1843"/>
      <c r="Q1" s="1056"/>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75">
      <c r="A2" s="193" t="s">
        <v>1932</v>
      </c>
      <c r="B2" s="196" t="e">
        <f>C30</f>
        <v>#DIV/0!</v>
      </c>
      <c r="C2" s="1845" t="s">
        <v>1933</v>
      </c>
      <c r="D2" s="162" t="s">
        <v>1934</v>
      </c>
      <c r="E2" s="3120"/>
      <c r="F2" s="162" t="s">
        <v>1935</v>
      </c>
      <c r="G2" s="163" t="str">
        <f>IF(E2="商业",项目基本情况!B37,IF(E2="办公",项目基本情况!C37,IF(E2="住宅",项目基本情况!D37,IF(E2="工业",项目基本情况!E37,项目基本情况!F37))))</f>
        <v>九级</v>
      </c>
      <c r="H2" s="162" t="s">
        <v>1936</v>
      </c>
      <c r="I2" s="163">
        <f>IF(E2="商业",项目基本情况!B38,IF(E2="办公",项目基本情况!C38,IF(E2="住宅",项目基本情况!D38,IF(E2="工业",项目基本情况!E38,项目基本情况!F38))))</f>
        <v>0</v>
      </c>
      <c r="J2" s="1841"/>
      <c r="K2" s="1056"/>
      <c r="L2" s="1846" t="s">
        <v>1937</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1.5418000000000001</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1938</v>
      </c>
      <c r="B3" s="196" t="e">
        <f>ROUND(B2*10000/D1,0)</f>
        <v>#DIV/0!</v>
      </c>
      <c r="C3" s="1845" t="s">
        <v>1939</v>
      </c>
      <c r="D3" s="162" t="s">
        <v>1940</v>
      </c>
      <c r="E3" s="3118"/>
      <c r="F3" s="1847"/>
      <c r="G3" s="708">
        <f>IF(F3="宗地容积率",'数据-汇总表'!I4,IF(F3="估价对象容积率",'数据-汇总表'!I6,'数据-汇总表'!I7))</f>
        <v>0</v>
      </c>
      <c r="H3" s="162" t="s">
        <v>1941</v>
      </c>
      <c r="I3" s="729"/>
      <c r="J3" s="1841" t="s">
        <v>1942</v>
      </c>
      <c r="K3" s="1056"/>
      <c r="L3" s="1846" t="s">
        <v>1943</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1.1883999999999999</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567"/>
      <c r="B4" s="3568"/>
      <c r="C4" s="3568"/>
      <c r="D4" s="3569"/>
      <c r="E4" s="3569"/>
      <c r="F4" s="3569"/>
      <c r="G4" s="3569"/>
      <c r="H4" s="3569"/>
      <c r="I4" s="3569"/>
      <c r="J4" s="3570"/>
      <c r="K4" s="1056"/>
      <c r="L4" s="1846" t="s">
        <v>1944</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0.96940000000000004</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1945</v>
      </c>
      <c r="C5" s="709" t="e">
        <f>ROUND(IF(E2="商业",C6*C7*C17+C20,(IF(E2="住宅",C6*C13*C17+C20,IF(E2="办公",C6*C12*C17+C20,C6+C20)))),0)</f>
        <v>#DIV/0!</v>
      </c>
      <c r="D5" s="1251" t="e">
        <f>ROUND(C6*C17+C20,0)</f>
        <v>#DIV/0!</v>
      </c>
      <c r="E5" s="1251"/>
      <c r="F5" s="1850"/>
      <c r="G5" s="1851"/>
      <c r="H5" s="1851"/>
      <c r="I5" s="1851"/>
      <c r="J5" s="1852"/>
      <c r="K5" s="1853"/>
      <c r="L5" s="1846" t="s">
        <v>1946</v>
      </c>
      <c r="M5" s="811">
        <f>SUMPRODUCT((区片价!B87:B126=I2)*(区片价!C3:G3=E2)*(区片价!C87:G126))</f>
        <v>0</v>
      </c>
      <c r="N5" s="813">
        <f>SUMPRODUCT((因素修正幅度!B87:B126=I2)*(因素修正幅度!C3:G3=E2)*(因素修正幅度!C87:G126))</f>
        <v>0</v>
      </c>
      <c r="O5" s="1056"/>
      <c r="P5" s="1056"/>
      <c r="Q5" s="1056"/>
      <c r="R5" s="1128">
        <v>4</v>
      </c>
      <c r="S5" s="3063">
        <f>ROUND(SUMPRODUCT((B106:B110=R5)*(C105:N105=G2)*(C106:N110)),4)</f>
        <v>0.82299999999999995</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1947</v>
      </c>
      <c r="B6" s="1859" t="s">
        <v>1948</v>
      </c>
      <c r="C6" s="710">
        <f>SUMIF(L1:L12,G2,M1:M12)</f>
        <v>0</v>
      </c>
      <c r="D6" s="1860"/>
      <c r="E6" s="1861"/>
      <c r="F6" s="1861"/>
      <c r="G6" s="1862"/>
      <c r="H6" s="1862"/>
      <c r="I6" s="1862"/>
      <c r="J6" s="1863"/>
      <c r="K6" s="1291"/>
      <c r="L6" s="1846" t="s">
        <v>1949</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0.74980000000000002</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3237</v>
      </c>
      <c r="B7" s="1864" t="s">
        <v>1950</v>
      </c>
      <c r="C7" s="711" t="e">
        <f>IF(C8="不临65条商业街",1,ROUND(1+(1.6*E8+1.2*E9+0.8*E10+0.4*E11)*C9,4))</f>
        <v>#DIV/0!</v>
      </c>
      <c r="D7" s="1865" t="s">
        <v>1951</v>
      </c>
      <c r="E7" s="730"/>
      <c r="F7" s="1866"/>
      <c r="G7" s="1867"/>
      <c r="H7" s="1867"/>
      <c r="I7" s="1867"/>
      <c r="J7" s="1868"/>
      <c r="K7" s="1291"/>
      <c r="L7" s="1846" t="s">
        <v>1952</v>
      </c>
      <c r="M7" s="811">
        <f>SUMPRODUCT((区片价!B190:B233=I2)*(区片价!C3:G3=E2)*(区片价!C190:G233))</f>
        <v>0</v>
      </c>
      <c r="N7" s="813">
        <f>SUMPRODUCT((因素修正幅度!B190:B233=I2)*(因素修正幅度!C3:G3=E2)*(因素修正幅度!C190:G233))</f>
        <v>0</v>
      </c>
      <c r="O7" s="1056"/>
      <c r="P7" s="1056"/>
      <c r="Q7" s="1056"/>
      <c r="R7" s="1128">
        <v>6</v>
      </c>
      <c r="S7" s="3117"/>
      <c r="T7" s="3063" t="e">
        <f t="shared" si="0"/>
        <v>#DIV/0!</v>
      </c>
      <c r="U7" s="1129"/>
      <c r="V7" s="3063" t="e">
        <f t="shared" si="1"/>
        <v>#DIV/0!</v>
      </c>
      <c r="W7" s="1266" t="s">
        <v>1953</v>
      </c>
      <c r="X7" s="1130" t="str">
        <f>G2</f>
        <v>九级</v>
      </c>
      <c r="Y7" s="1130" t="s">
        <v>1954</v>
      </c>
      <c r="Z7" s="1131">
        <f>G3</f>
        <v>0</v>
      </c>
      <c r="AA7" s="1132"/>
      <c r="AB7" s="1132"/>
      <c r="AC7" s="1133"/>
      <c r="AD7" s="1134"/>
      <c r="AE7" s="1134"/>
      <c r="AF7" s="1134"/>
      <c r="AG7" s="1134"/>
      <c r="AH7" s="1134"/>
      <c r="AI7" s="1134"/>
      <c r="AJ7" s="1135"/>
    </row>
    <row r="8" spans="1:36" ht="15">
      <c r="A8" s="3009"/>
      <c r="B8" s="162" t="s">
        <v>1955</v>
      </c>
      <c r="C8" s="1869"/>
      <c r="D8" s="712" t="s">
        <v>112</v>
      </c>
      <c r="E8" s="713" t="e">
        <f>ROUND(C11/E7,4)</f>
        <v>#DIV/0!</v>
      </c>
      <c r="F8" s="1870" t="s">
        <v>1956</v>
      </c>
      <c r="G8" s="1871"/>
      <c r="H8" s="1871"/>
      <c r="I8" s="1871"/>
      <c r="J8" s="1872"/>
      <c r="K8" s="1056"/>
      <c r="L8" s="1846" t="s">
        <v>1957</v>
      </c>
      <c r="M8" s="811">
        <f>SUMPRODUCT((区片价!B234:B276=I2)*(区片价!C3:G3=E2)*(区片价!C234:G276))</f>
        <v>0</v>
      </c>
      <c r="N8" s="813">
        <f>SUMPRODUCT((因素修正幅度!B234:B276=I2)*(因素修正幅度!C3:G3=E2)*(因素修正幅度!C234:G276))</f>
        <v>0</v>
      </c>
      <c r="O8" s="1056"/>
      <c r="P8" s="1056"/>
      <c r="Q8" s="1056"/>
      <c r="R8" s="1128">
        <v>7</v>
      </c>
      <c r="S8" s="1129"/>
      <c r="T8" s="3063" t="e">
        <f t="shared" si="0"/>
        <v>#DIV/0!</v>
      </c>
      <c r="U8" s="1129"/>
      <c r="V8" s="3063" t="e">
        <f t="shared" si="1"/>
        <v>#DIV/0!</v>
      </c>
      <c r="W8" s="3564" t="s">
        <v>1958</v>
      </c>
      <c r="X8" s="3565"/>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9"/>
      <c r="B9" s="162" t="s">
        <v>1971</v>
      </c>
      <c r="C9" s="714">
        <f>SUMIF(修正!C71:C138,C8,修正!E71:E138)</f>
        <v>0</v>
      </c>
      <c r="D9" s="163" t="s">
        <v>113</v>
      </c>
      <c r="E9" s="163" t="e">
        <f>ROUND(C11/E7,4)</f>
        <v>#DIV/0!</v>
      </c>
      <c r="F9" s="1870" t="s">
        <v>1972</v>
      </c>
      <c r="G9" s="1871"/>
      <c r="H9" s="1871"/>
      <c r="I9" s="1871"/>
      <c r="J9" s="1872"/>
      <c r="K9" s="1056"/>
      <c r="L9" s="1846" t="s">
        <v>1973</v>
      </c>
      <c r="M9" s="811">
        <f>SUMPRODUCT((区片价!B277:B326=I2)*(区片价!C3:G3=E2)*(区片价!C277:G326))</f>
        <v>0</v>
      </c>
      <c r="N9" s="813">
        <f>SUMPRODUCT((因素修正幅度!B277:B326=I2)*(因素修正幅度!C3:G3=E2)*(因素修正幅度!C277:G326))</f>
        <v>0</v>
      </c>
      <c r="O9" s="1056"/>
      <c r="P9" s="1056"/>
      <c r="Q9" s="1056"/>
      <c r="R9" s="1128">
        <v>8</v>
      </c>
      <c r="S9" s="1129"/>
      <c r="T9" s="3063" t="e">
        <f t="shared" si="0"/>
        <v>#DIV/0!</v>
      </c>
      <c r="U9" s="1129"/>
      <c r="V9" s="3063" t="e">
        <f t="shared" si="1"/>
        <v>#DIV/0!</v>
      </c>
      <c r="W9" s="3566"/>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1974</v>
      </c>
      <c r="C10" s="163">
        <f>SUMIF(修正!C71:C138,C8,修正!F71:F138)</f>
        <v>0</v>
      </c>
      <c r="D10" s="163" t="s">
        <v>114</v>
      </c>
      <c r="E10" s="163" t="e">
        <f>ROUND(C11/E7,4)</f>
        <v>#DIV/0!</v>
      </c>
      <c r="F10" s="1870" t="s">
        <v>1975</v>
      </c>
      <c r="G10" s="1871"/>
      <c r="H10" s="1871"/>
      <c r="I10" s="1871"/>
      <c r="J10" s="1872"/>
      <c r="K10" s="1056"/>
      <c r="L10" s="1846" t="s">
        <v>1976</v>
      </c>
      <c r="M10" s="811">
        <f>SUMPRODUCT((区片价!B327:B357=I2)*(区片价!C3:G3=E2)*(区片价!C327:G357))</f>
        <v>0</v>
      </c>
      <c r="N10" s="813">
        <f>SUMPRODUCT((因素修正幅度!B327:B357=I2)*(因素修正幅度!C3:G3=E2)*(因素修正幅度!C327:G357))</f>
        <v>0</v>
      </c>
      <c r="O10" s="1056"/>
      <c r="P10" s="1056"/>
      <c r="Q10" s="1056"/>
      <c r="R10" s="1128">
        <v>9</v>
      </c>
      <c r="S10" s="1129"/>
      <c r="T10" s="3063" t="e">
        <f t="shared" si="0"/>
        <v>#DIV/0!</v>
      </c>
      <c r="U10" s="1129"/>
      <c r="V10" s="3063" t="e">
        <f t="shared" si="1"/>
        <v>#DIV/0!</v>
      </c>
      <c r="W10" s="356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1977</v>
      </c>
      <c r="C11" s="715">
        <f>C10/4</f>
        <v>0</v>
      </c>
      <c r="D11" s="715" t="s">
        <v>115</v>
      </c>
      <c r="E11" s="715" t="e">
        <f>ROUND(C11/E7,4)</f>
        <v>#DIV/0!</v>
      </c>
      <c r="F11" s="1874" t="s">
        <v>1978</v>
      </c>
      <c r="G11" s="1875"/>
      <c r="H11" s="1875"/>
      <c r="I11" s="1875"/>
      <c r="J11" s="1876"/>
      <c r="K11" s="1056"/>
      <c r="L11" s="1846" t="s">
        <v>1979</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5" t="s">
        <v>1982</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1980</v>
      </c>
      <c r="C13" s="711">
        <f>ROUND(C16*D16*E16*F16*G16*H16*I16*J16,4)</f>
        <v>0</v>
      </c>
      <c r="D13" s="1878" t="s">
        <v>1981</v>
      </c>
      <c r="E13" s="1879"/>
      <c r="F13" s="1879"/>
      <c r="G13" s="1880"/>
      <c r="H13" s="1880"/>
      <c r="I13" s="1880"/>
      <c r="J13" s="1881"/>
      <c r="K13" s="1056"/>
      <c r="L13" s="3"/>
      <c r="M13" s="4"/>
      <c r="N13" s="3010"/>
      <c r="O13" s="1056"/>
      <c r="P13" s="1056"/>
      <c r="Q13" s="1056"/>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1983</v>
      </c>
      <c r="C14" s="1883" t="s">
        <v>1984</v>
      </c>
      <c r="D14" s="1260" t="s">
        <v>1985</v>
      </c>
      <c r="E14" s="27" t="s">
        <v>1986</v>
      </c>
      <c r="F14" s="3020" t="s">
        <v>3243</v>
      </c>
      <c r="G14" s="3020" t="s">
        <v>3243</v>
      </c>
      <c r="H14" s="3020" t="s">
        <v>3243</v>
      </c>
      <c r="I14" s="3020" t="s">
        <v>3243</v>
      </c>
      <c r="J14" s="3020" t="s">
        <v>3243</v>
      </c>
      <c r="K14" s="1056"/>
      <c r="L14" s="1056"/>
      <c r="M14" s="1056"/>
      <c r="N14" s="1056"/>
      <c r="O14" s="1056"/>
      <c r="P14" s="1056"/>
      <c r="Q14" s="1056"/>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6"/>
      <c r="L15" s="1056"/>
      <c r="M15" s="1056"/>
      <c r="N15" s="1056"/>
      <c r="O15" s="1056"/>
      <c r="P15" s="1056"/>
      <c r="Q15" s="1056"/>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1987</v>
      </c>
      <c r="C16" s="3024"/>
      <c r="D16" s="3024"/>
      <c r="E16" s="3024"/>
      <c r="F16" s="3024">
        <v>1</v>
      </c>
      <c r="G16" s="3024">
        <v>1</v>
      </c>
      <c r="H16" s="3024">
        <v>1</v>
      </c>
      <c r="I16" s="3024">
        <v>1</v>
      </c>
      <c r="J16" s="3025">
        <v>1</v>
      </c>
      <c r="K16" s="1056"/>
      <c r="L16" s="1843"/>
      <c r="M16" s="1843"/>
      <c r="N16" s="1843"/>
      <c r="O16" s="1843"/>
      <c r="P16" s="1843"/>
      <c r="Q16" s="1056"/>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571" t="s">
        <v>3254</v>
      </c>
      <c r="B20" s="159" t="s">
        <v>1992</v>
      </c>
      <c r="C20" s="3031" t="e">
        <f>ROUND(IF(F21="与级别开发程度一致",0,(G21-E21)/C21),0)</f>
        <v>#DIV/0!</v>
      </c>
      <c r="D20" s="3046" t="s">
        <v>1996</v>
      </c>
      <c r="E20" s="3047"/>
      <c r="F20" s="3577" t="s">
        <v>1993</v>
      </c>
      <c r="G20" s="3578"/>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572"/>
      <c r="B21" s="2001" t="s">
        <v>1995</v>
      </c>
      <c r="C21" s="2002">
        <f>IF(E3="M4科研用地",SUMPRODUCT((修正!A2:A7=E3)*(修正!B1:M1=G2)*(修正!B2:M7)),SUMPRODUCT((修正!A2:A7=E2)*(修正!B1:M1=G2)*(修正!B2:M7)))</f>
        <v>0</v>
      </c>
      <c r="D21" s="179" t="str">
        <f>IF(OR(G2="八级",G2="九级",G2="十级",G2="十一级",G2="十二级"),"五通一平","七通一平")</f>
        <v>五通一平</v>
      </c>
      <c r="E21" s="1992">
        <f>SUMPRODUCT((修正!B1:M1=G2)*(修正!B17:M17))</f>
        <v>185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1998</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1999</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5" t="s">
        <v>2000</v>
      </c>
      <c r="E23" s="717">
        <v>44197</v>
      </c>
      <c r="F23" s="1895" t="s">
        <v>2001</v>
      </c>
      <c r="G23" s="718">
        <f>'数据-取费表'!B2</f>
        <v>45565</v>
      </c>
      <c r="H23" s="3048" t="s">
        <v>3256</v>
      </c>
      <c r="I23" s="3049" t="str">
        <f>IF(H23="季度增幅（自定义）",SUMIF(N25:N28,E2,O25:O28),"")</f>
        <v/>
      </c>
      <c r="J23" s="3141" t="s">
        <v>3255</v>
      </c>
      <c r="K23" s="1061"/>
      <c r="L23" s="1896" t="s">
        <v>2002</v>
      </c>
      <c r="M23" s="1240">
        <f>ROUND(SUMIF(地价!B2:G2,E2,地价!B16:G16),0)</f>
        <v>0</v>
      </c>
      <c r="N23" s="1897" t="s">
        <v>2003</v>
      </c>
      <c r="O23" s="719">
        <f>ROUNDDOWN(DATEDIF(E23,G23,"M")/3,0)</f>
        <v>14</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2004</v>
      </c>
      <c r="C24" s="720" t="e">
        <f>ROUND(POWER(1+G24,J24-I24)*(POWER(1+G24,I24)-1)/(POWER(1+G24,J24)-1),4)</f>
        <v>#DIV/0!</v>
      </c>
      <c r="D24" s="1901" t="s">
        <v>2005</v>
      </c>
      <c r="E24" s="1247">
        <f>存贷款利率!E26/100</f>
        <v>4.3499999999999997E-2</v>
      </c>
      <c r="F24" s="1901" t="s">
        <v>1997</v>
      </c>
      <c r="G24" s="724">
        <f>SUMIF(M30:Q30,E2,M33:Q33)</f>
        <v>0</v>
      </c>
      <c r="H24" s="1901" t="s">
        <v>2006</v>
      </c>
      <c r="I24" s="725" t="e">
        <f>SUMIF('数据-取费表'!C6:C15,E2,'数据-取费表'!F6:F15)/COUNTIF('数据-取费表'!C6:C15,E2)</f>
        <v>#DIV/0!</v>
      </c>
      <c r="J24" s="726">
        <f>IF(E2="住宅",70,IF(E2="商业",40,50))</f>
        <v>50</v>
      </c>
      <c r="K24" s="1061"/>
      <c r="L24" s="1902" t="s">
        <v>2007</v>
      </c>
      <c r="M24" s="1241">
        <f>ROUND(SUMPRODUCT((地价!A4:A16=YEAR(G23)&amp;"-"&amp;ROUNDUP(MONTH(G23)/3,0))*(地价!B2:G2=E2)*(地价!B4:G16)),0)</f>
        <v>0</v>
      </c>
      <c r="N24" s="1903" t="s">
        <v>2008</v>
      </c>
      <c r="O24" s="1904" t="s">
        <v>2009</v>
      </c>
      <c r="P24" s="1905" t="s">
        <v>2010</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3335</v>
      </c>
      <c r="C25" s="461">
        <f>IF(B25="容积率修正",IF(G3&lt;10,D26,J26),C27)</f>
        <v>0</v>
      </c>
      <c r="D25" s="1908"/>
      <c r="E25" s="1908"/>
      <c r="F25" s="1908"/>
      <c r="G25" s="1908"/>
      <c r="H25" s="1908"/>
      <c r="I25" s="1908"/>
      <c r="J25" s="1909"/>
      <c r="K25" s="1061"/>
      <c r="L25" s="2552"/>
      <c r="M25" s="2552"/>
      <c r="N25" s="1910" t="s">
        <v>2011</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2012</v>
      </c>
      <c r="B26" s="1911" t="s">
        <v>2013</v>
      </c>
      <c r="C26" s="1911" t="s">
        <v>3257</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3258</v>
      </c>
      <c r="J26" s="374" t="str">
        <f>IF(G3&gt;=10,D115,"——")</f>
        <v>——</v>
      </c>
      <c r="K26" s="1061"/>
      <c r="L26" s="2552"/>
      <c r="M26" s="2552"/>
      <c r="N26" s="1910" t="s">
        <v>2014</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2015</v>
      </c>
      <c r="B27" s="1912" t="s">
        <v>2016</v>
      </c>
      <c r="C27" s="791">
        <f>ROUND(IF(I3&lt;6,SUMPRODUCT((B106:B110=I3)*(C105:N105=G2)*(C106:N110)),SUMIF(C105:N105,G2,C112:N112)),4)</f>
        <v>0</v>
      </c>
      <c r="D27" s="1841"/>
      <c r="E27" s="1841"/>
      <c r="F27" s="1913"/>
      <c r="G27" s="1914"/>
      <c r="H27" s="1915"/>
      <c r="I27" s="1916"/>
      <c r="J27" s="1917"/>
      <c r="K27" s="1056"/>
      <c r="L27" s="1843"/>
      <c r="M27" s="1843"/>
      <c r="N27" s="1910" t="s">
        <v>2017</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2018</v>
      </c>
      <c r="C28" s="716">
        <f>SUMIF(A47:A101,E2,B47:B101)</f>
        <v>0</v>
      </c>
      <c r="D28" s="1893"/>
      <c r="E28" s="1918"/>
      <c r="F28" s="1918"/>
      <c r="G28" s="1918"/>
      <c r="H28" s="1918"/>
      <c r="I28" s="1918"/>
      <c r="J28" s="1919"/>
      <c r="K28" s="1061"/>
      <c r="L28" s="2552"/>
      <c r="M28" s="2552"/>
      <c r="N28" s="1920"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2020</v>
      </c>
      <c r="C29" s="721"/>
      <c r="D29" s="1867"/>
      <c r="E29" s="1867"/>
      <c r="F29" s="1922"/>
      <c r="G29" s="1867"/>
      <c r="H29" s="1867"/>
      <c r="I29" s="1867"/>
      <c r="J29" s="1868"/>
      <c r="K29" s="1056"/>
      <c r="L29" s="1843"/>
      <c r="M29" s="1843"/>
      <c r="N29" s="2549" t="s">
        <v>2021</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2022</v>
      </c>
      <c r="C30" s="2144" t="e">
        <f>IF(B25="容积率修正",E33+SUM(E37:E42),SUM(V2:V16)+SUM(E37:E42))</f>
        <v>#DIV/0!</v>
      </c>
      <c r="D30" s="1924"/>
      <c r="E30" s="1841"/>
      <c r="F30" s="1925"/>
      <c r="G30" s="1841"/>
      <c r="H30" s="1841"/>
      <c r="I30" s="1841"/>
      <c r="J30" s="1926"/>
      <c r="K30" s="1056"/>
      <c r="L30" s="3055" t="s">
        <v>1934</v>
      </c>
      <c r="M30" s="3056" t="s">
        <v>1988</v>
      </c>
      <c r="N30" s="3056" t="s">
        <v>1989</v>
      </c>
      <c r="O30" s="3056" t="s">
        <v>1990</v>
      </c>
      <c r="P30" s="3056" t="s">
        <v>1991</v>
      </c>
      <c r="Q30" s="3059"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2023</v>
      </c>
      <c r="C31" s="722" t="e">
        <f>E34+SUM(I37:I42)</f>
        <v>#DIV/0!</v>
      </c>
      <c r="D31" s="1928"/>
      <c r="E31" s="1929"/>
      <c r="F31" s="1930"/>
      <c r="G31" s="1929"/>
      <c r="H31" s="1929"/>
      <c r="I31" s="1929"/>
      <c r="J31" s="1931"/>
      <c r="K31" s="1056"/>
      <c r="L31" s="3057" t="s">
        <v>1994</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2024</v>
      </c>
      <c r="C32" s="1934" t="s">
        <v>2025</v>
      </c>
      <c r="D32" s="1934" t="s">
        <v>2026</v>
      </c>
      <c r="E32" s="1935" t="s">
        <v>2027</v>
      </c>
      <c r="F32" s="1936"/>
      <c r="G32" s="1880"/>
      <c r="H32" s="1880"/>
      <c r="I32" s="1880"/>
      <c r="J32" s="1881"/>
      <c r="K32" s="1056"/>
      <c r="L32" s="3058" t="s">
        <v>1997</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2028</v>
      </c>
      <c r="C33" s="167" t="e">
        <f>ROUND(C5*C22*C23*C24*C25*C28,0)</f>
        <v>#DIV/0!</v>
      </c>
      <c r="D33" s="1939"/>
      <c r="E33" s="727" t="e">
        <f>ROUND(C33*D33/10000,0)</f>
        <v>#DIV/0!</v>
      </c>
      <c r="F33" s="3050" t="s">
        <v>3260</v>
      </c>
      <c r="G33" s="1940"/>
      <c r="H33" s="1940"/>
      <c r="I33" s="1940"/>
      <c r="J33" s="1941"/>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2029</v>
      </c>
      <c r="C34" s="179" t="e">
        <f>ROUND(IF(E2="工业",C33*M42,IF(B25="楼层修正",SUM(V2:V16)*M41*10000/D34,C33*M41)),0)</f>
        <v>#DIV/0!</v>
      </c>
      <c r="D34" s="1944"/>
      <c r="E34" s="727" t="e">
        <f>ROUND(IF(B25="楼层修正",SUM(V2:V16)*M40,C34*D34/10000),0)</f>
        <v>#DIV/0!</v>
      </c>
      <c r="F34" s="1945" t="s">
        <v>2030</v>
      </c>
      <c r="G34" s="1946"/>
      <c r="H34" s="1946"/>
      <c r="I34" s="1946"/>
      <c r="J34" s="1947"/>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2031</v>
      </c>
      <c r="C35" s="3051" t="s">
        <v>3261</v>
      </c>
      <c r="D35" s="1880"/>
      <c r="E35" s="1950"/>
      <c r="F35" s="1950"/>
      <c r="G35" s="1878" t="s">
        <v>2032</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2025</v>
      </c>
      <c r="D36" s="433" t="s">
        <v>2026</v>
      </c>
      <c r="E36" s="433" t="s">
        <v>2027</v>
      </c>
      <c r="F36" s="333" t="s">
        <v>2033</v>
      </c>
      <c r="G36" s="1953" t="s">
        <v>2025</v>
      </c>
      <c r="H36" s="1953" t="s">
        <v>2026</v>
      </c>
      <c r="I36" s="1953" t="s">
        <v>2027</v>
      </c>
      <c r="J36" s="235"/>
      <c r="K36" s="1963" t="s">
        <v>3265</v>
      </c>
      <c r="L36" s="3142">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75"/>
      <c r="B37" s="1954" t="s">
        <v>2034</v>
      </c>
      <c r="C37" s="167" t="e">
        <f>ROUND(D5*C22*C23*C24*C28*F37,0)</f>
        <v>#DIV/0!</v>
      </c>
      <c r="D37" s="1939"/>
      <c r="E37" s="163" t="e">
        <f>ROUND(C37*D37/10000,0)</f>
        <v>#DIV/0!</v>
      </c>
      <c r="F37" s="163">
        <f>SUMIF(修正!A57:A68,G2,修正!B57:B68)</f>
        <v>0.5</v>
      </c>
      <c r="G37" s="163" t="e">
        <f>ROUND(IF(E2="工业",C37*$M$42,C37*$M$41),0)</f>
        <v>#DIV/0!</v>
      </c>
      <c r="H37" s="163">
        <f>D37</f>
        <v>0</v>
      </c>
      <c r="I37" s="163" t="e">
        <f>ROUND(G37*H37/10000,0)</f>
        <v>#DIV/0!</v>
      </c>
      <c r="J37" s="2754"/>
      <c r="K37" s="3061" t="s">
        <v>3266</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76"/>
      <c r="B38" s="1883" t="s">
        <v>2035</v>
      </c>
      <c r="C38" s="167" t="e">
        <f>ROUND(D5*C22*C23*C24*C28*F38,0)</f>
        <v>#DIV/0!</v>
      </c>
      <c r="D38" s="1939"/>
      <c r="E38" s="163" t="e">
        <f t="shared" ref="E38:E42" si="4">ROUND(C38*D38/10000,0)</f>
        <v>#DIV/0!</v>
      </c>
      <c r="F38" s="163">
        <f>SUMIF(修正!A57:A68,G2,修正!C57:C68)</f>
        <v>0.2</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76"/>
      <c r="B39" s="1883" t="s">
        <v>3259</v>
      </c>
      <c r="C39" s="167" t="e">
        <f>ROUND(D5*C22*C23*C24*C28*F39,0)</f>
        <v>#DIV/0!</v>
      </c>
      <c r="D39" s="1939"/>
      <c r="E39" s="163" t="e">
        <f t="shared" si="4"/>
        <v>#DIV/0!</v>
      </c>
      <c r="F39" s="163">
        <f>SUMIF(修正!A57:A68,G2,修正!D57:D68)</f>
        <v>0.2</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2036</v>
      </c>
      <c r="C40" s="163" t="e">
        <f>ROUND(D5*C22*C23*C24*C28*F40,0)</f>
        <v>#DIV/0!</v>
      </c>
      <c r="D40" s="1939"/>
      <c r="E40" s="163" t="e">
        <f t="shared" si="4"/>
        <v>#DIV/0!</v>
      </c>
      <c r="F40" s="167">
        <f>SUMIF(修正!A57:A68,G2,修正!E57:E68)</f>
        <v>0.2</v>
      </c>
      <c r="G40" s="163" t="e">
        <f>ROUND(IF(E2="工业",C40*$M$42,C40*$M$41),0)</f>
        <v>#DIV/0!</v>
      </c>
      <c r="H40" s="163">
        <f t="shared" si="5"/>
        <v>0</v>
      </c>
      <c r="I40" s="163" t="e">
        <f t="shared" si="6"/>
        <v>#DIV/0!</v>
      </c>
      <c r="J40" s="939"/>
      <c r="L40" s="1956" t="s">
        <v>2037</v>
      </c>
      <c r="M40" s="1957"/>
      <c r="Z40" s="1057"/>
      <c r="AA40" s="1057"/>
      <c r="AB40" s="1057"/>
      <c r="AC40" s="1057"/>
      <c r="AD40" s="1057"/>
      <c r="AE40" s="1057"/>
      <c r="AF40" s="1057"/>
      <c r="AG40" s="1057"/>
      <c r="AH40" s="1057"/>
      <c r="AI40" s="1057"/>
      <c r="AJ40" s="1057"/>
    </row>
    <row r="41" spans="1:37" s="1056" customFormat="1">
      <c r="A41" s="1955"/>
      <c r="B41" s="1883" t="s">
        <v>2038</v>
      </c>
      <c r="C41" s="163" t="e">
        <f>ROUND(D5*C22*C23*C44*C28*F41,0)</f>
        <v>#DIV/0!</v>
      </c>
      <c r="D41" s="1939"/>
      <c r="E41" s="163" t="e">
        <f t="shared" si="4"/>
        <v>#DIV/0!</v>
      </c>
      <c r="F41" s="167">
        <f>SUMIF(修正!A57:A68,G2,修正!F57:F68)</f>
        <v>0.2</v>
      </c>
      <c r="G41" s="163" t="e">
        <f>ROUND(IF(E2="工业",C41*$M$42,C41*$M$41),0)</f>
        <v>#DIV/0!</v>
      </c>
      <c r="H41" s="163">
        <f t="shared" si="5"/>
        <v>0</v>
      </c>
      <c r="I41" s="163" t="e">
        <f t="shared" si="6"/>
        <v>#DIV/0!</v>
      </c>
      <c r="J41" s="939"/>
      <c r="L41" s="3062" t="s">
        <v>3267</v>
      </c>
      <c r="M41" s="1958">
        <v>0.25</v>
      </c>
      <c r="Z41" s="1057"/>
      <c r="AA41" s="1057"/>
      <c r="AB41" s="1057"/>
      <c r="AC41" s="1057"/>
      <c r="AD41" s="1057"/>
      <c r="AE41" s="1057"/>
      <c r="AF41" s="1057"/>
      <c r="AG41" s="1057"/>
      <c r="AH41" s="1057"/>
      <c r="AI41" s="1057"/>
      <c r="AJ41" s="1057"/>
    </row>
    <row r="42" spans="1:37" s="1056" customFormat="1" ht="13.5" thickBot="1">
      <c r="A42" s="1942"/>
      <c r="B42" s="1959" t="s">
        <v>2039</v>
      </c>
      <c r="C42" s="179" t="e">
        <f>ROUND(D5*C22*C23*C44*C28*F42,0)</f>
        <v>#DIV/0!</v>
      </c>
      <c r="D42" s="1944"/>
      <c r="E42" s="179" t="e">
        <f t="shared" si="4"/>
        <v>#DIV/0!</v>
      </c>
      <c r="F42" s="723">
        <f>SUMIF(修正!A57:A68,G2,修正!G57:G68)</f>
        <v>0.1</v>
      </c>
      <c r="G42" s="179" t="e">
        <f>ROUND(IF(E2="工业",C42*$M$42,C42*$M$41),0)</f>
        <v>#DIV/0!</v>
      </c>
      <c r="H42" s="179">
        <f t="shared" si="5"/>
        <v>0</v>
      </c>
      <c r="I42" s="179" t="e">
        <f t="shared" si="6"/>
        <v>#DIV/0!</v>
      </c>
      <c r="J42" s="1960"/>
      <c r="L42" s="1961" t="s">
        <v>1991</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2120</v>
      </c>
      <c r="C44" s="333" t="e">
        <f>ROUND(POWER(1+E44,H44-G44)*(POWER(1+E44,G44)-1)/(POWER(1+E44,H44)-1),4)</f>
        <v>#DIV/0!</v>
      </c>
      <c r="D44" s="163" t="s">
        <v>1997</v>
      </c>
      <c r="E44" s="1990">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2040</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2041</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2042</v>
      </c>
      <c r="B49" s="1261" t="s">
        <v>2043</v>
      </c>
      <c r="C49" s="1261" t="s">
        <v>2044</v>
      </c>
      <c r="D49" s="1261" t="s">
        <v>2045</v>
      </c>
      <c r="E49" s="701" t="s">
        <v>2046</v>
      </c>
      <c r="F49" s="1970" t="s">
        <v>2047</v>
      </c>
      <c r="G49" s="1261" t="s">
        <v>310</v>
      </c>
      <c r="H49" s="1971" t="s">
        <v>2048</v>
      </c>
      <c r="I49" s="1261"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69" t="s">
        <v>2050</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2051</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3269</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2052</v>
      </c>
      <c r="B53" s="1973" t="s">
        <v>2053</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2054</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2055</v>
      </c>
      <c r="B55" s="1974" t="s">
        <v>2056</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2057</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2058</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2059</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2060</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2042</v>
      </c>
      <c r="B60" s="1261"/>
      <c r="C60" s="1261" t="s">
        <v>2044</v>
      </c>
      <c r="D60" s="1261" t="s">
        <v>2045</v>
      </c>
      <c r="E60" s="701" t="s">
        <v>2046</v>
      </c>
      <c r="F60" s="1970" t="s">
        <v>2061</v>
      </c>
      <c r="G60" s="1261" t="s">
        <v>310</v>
      </c>
      <c r="H60" s="1971" t="s">
        <v>2048</v>
      </c>
      <c r="I60" s="1261"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69" t="s">
        <v>2062</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2051</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3269</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2052</v>
      </c>
      <c r="B64" s="1973" t="s">
        <v>2053</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2054</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2055</v>
      </c>
      <c r="B66" s="1974" t="s">
        <v>2056</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2057</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2058</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2059</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2063</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2042</v>
      </c>
      <c r="B71" s="1261"/>
      <c r="C71" s="1261" t="s">
        <v>2044</v>
      </c>
      <c r="D71" s="1261" t="s">
        <v>2045</v>
      </c>
      <c r="E71" s="701" t="s">
        <v>2046</v>
      </c>
      <c r="F71" s="1970" t="s">
        <v>2061</v>
      </c>
      <c r="G71" s="1261" t="s">
        <v>310</v>
      </c>
      <c r="H71" s="1971" t="s">
        <v>2048</v>
      </c>
      <c r="I71" s="1261"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69" t="s">
        <v>2064</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2051</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3269</v>
      </c>
      <c r="B74" s="1261">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2065</v>
      </c>
      <c r="B75" s="1261">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2057</v>
      </c>
      <c r="B76" s="1239" t="str">
        <f>估价对象房地状况!C21</f>
        <v>估价对象所在区域公共配套设施齐备情况</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2058</v>
      </c>
      <c r="B77" s="1239" t="str">
        <f>估价对象房地状况!C22</f>
        <v>估价对象所在区域基础设施水平</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2055</v>
      </c>
      <c r="B78" s="1974" t="s">
        <v>2056</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2059</v>
      </c>
      <c r="B79" s="1972" t="str">
        <f>估价对象房地状况!C20</f>
        <v>区域自然环境：；人文环境；综合评价环境状况一般</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2066</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2067</v>
      </c>
      <c r="B81" s="1967">
        <f>1+E83</f>
        <v>1</v>
      </c>
      <c r="C81" s="699"/>
      <c r="D81" s="699"/>
      <c r="E81" s="700"/>
      <c r="F81" s="1968"/>
      <c r="G81" s="3"/>
      <c r="H81" s="3"/>
      <c r="I81" s="3"/>
      <c r="J81" s="4"/>
      <c r="K81" s="4"/>
      <c r="L81" s="4"/>
      <c r="M81" s="4"/>
      <c r="N81" s="4"/>
      <c r="Z81" s="1844"/>
      <c r="AA81" s="1894"/>
      <c r="AG81" s="1058"/>
      <c r="AK81" s="1894"/>
    </row>
    <row r="82" spans="1:37" ht="24.75">
      <c r="A82" s="1969" t="s">
        <v>2042</v>
      </c>
      <c r="B82" s="1261"/>
      <c r="C82" s="1261" t="s">
        <v>2044</v>
      </c>
      <c r="D82" s="1261" t="s">
        <v>2045</v>
      </c>
      <c r="E82" s="701" t="s">
        <v>2046</v>
      </c>
      <c r="F82" s="1970" t="s">
        <v>2061</v>
      </c>
      <c r="G82" s="1261" t="s">
        <v>310</v>
      </c>
      <c r="H82" s="1971" t="s">
        <v>2048</v>
      </c>
      <c r="I82" s="1261" t="s">
        <v>2049</v>
      </c>
      <c r="J82" s="530" t="s">
        <v>1719</v>
      </c>
      <c r="K82" s="530" t="s">
        <v>1720</v>
      </c>
      <c r="L82" s="530" t="s">
        <v>1721</v>
      </c>
      <c r="M82" s="530" t="s">
        <v>1722</v>
      </c>
      <c r="N82" s="530" t="s">
        <v>1723</v>
      </c>
      <c r="Z82" s="1844"/>
      <c r="AA82" s="1894"/>
      <c r="AG82" s="1058"/>
      <c r="AK82" s="1894"/>
    </row>
    <row r="83" spans="1:37" ht="38.25">
      <c r="A83" s="1969" t="s">
        <v>2068</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2051</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3270</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2065</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2057</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5.5">
      <c r="A88" s="1969" t="s">
        <v>2058</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2055</v>
      </c>
      <c r="B89" s="1974" t="s">
        <v>2069</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2070</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4"/>
      <c r="F91" s="1674"/>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3273</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3269</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3274</v>
      </c>
      <c r="B96" s="3086" t="s">
        <v>3285</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3275</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3276</v>
      </c>
      <c r="B98" s="3087" t="s">
        <v>3286</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3277</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3278</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3279</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573" t="s">
        <v>3294</v>
      </c>
      <c r="B103" s="3573"/>
      <c r="C103" s="3573"/>
      <c r="D103" s="3573"/>
      <c r="E103" s="3573"/>
      <c r="F103" s="3573"/>
      <c r="G103" s="3573"/>
      <c r="H103" s="3573"/>
      <c r="I103" s="3573"/>
      <c r="J103" s="3573"/>
      <c r="K103" s="1666"/>
      <c r="L103" s="1666"/>
      <c r="M103" s="1666"/>
      <c r="N103" s="1666"/>
    </row>
    <row r="104" spans="1:14">
      <c r="A104" s="3574" t="s">
        <v>3295</v>
      </c>
      <c r="B104" s="3574" t="s">
        <v>3296</v>
      </c>
      <c r="C104" s="3090" t="s">
        <v>3297</v>
      </c>
      <c r="D104" s="3091"/>
      <c r="E104" s="3091"/>
      <c r="F104" s="3091"/>
      <c r="G104" s="3091"/>
      <c r="H104" s="3091"/>
      <c r="I104" s="3091"/>
      <c r="J104" s="3092"/>
      <c r="K104" s="3093"/>
      <c r="L104" s="3093"/>
      <c r="M104" s="3093"/>
      <c r="N104" s="3093"/>
    </row>
    <row r="105" spans="1:14">
      <c r="A105" s="3574"/>
      <c r="B105" s="3574"/>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560"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6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6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6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6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61"/>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6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63" t="s">
        <v>3311</v>
      </c>
      <c r="B113" s="3563"/>
      <c r="C113" s="3563"/>
      <c r="D113" s="3563"/>
      <c r="E113" s="3563"/>
      <c r="F113" s="3563"/>
      <c r="G113" s="3563"/>
      <c r="H113" s="3563"/>
      <c r="I113" s="3563"/>
      <c r="J113" s="356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0</v>
      </c>
      <c r="C116" s="3099" t="s">
        <v>3313</v>
      </c>
      <c r="D116" s="3100">
        <f>SUMPRODUCT((A118:A122=F116)*(B117:M117=H116)*B118:M122)</f>
        <v>0</v>
      </c>
      <c r="E116" s="162" t="s">
        <v>3314</v>
      </c>
      <c r="F116" s="3101">
        <f>E2</f>
        <v>0</v>
      </c>
      <c r="G116" s="162" t="s">
        <v>3315</v>
      </c>
      <c r="H116" s="3101" t="str">
        <f>G2</f>
        <v>九级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v>
      </c>
      <c r="B3" s="3262"/>
      <c r="C3" s="3262"/>
      <c r="D3" s="3262"/>
      <c r="E3" s="3262"/>
    </row>
    <row r="4" spans="1:5" ht="19.5" thickBot="1">
      <c r="A4" s="1390"/>
      <c r="B4" s="3260" t="s">
        <v>917</v>
      </c>
      <c r="C4" s="3260"/>
      <c r="D4" s="3260"/>
      <c r="E4" s="1390"/>
    </row>
    <row r="5" spans="1:5" ht="16.5" thickTop="1">
      <c r="B5" s="3258" t="s">
        <v>909</v>
      </c>
      <c r="C5" s="1391" t="s">
        <v>910</v>
      </c>
      <c r="D5" s="797">
        <f ca="1">结果表!H101</f>
        <v>50479</v>
      </c>
    </row>
    <row r="6" spans="1:5" ht="15.75">
      <c r="B6" s="3258"/>
      <c r="C6" s="1391" t="s">
        <v>911</v>
      </c>
      <c r="D6" s="797" t="str">
        <f ca="1">NUMBERSTRING(INT(D5*10000),2)&amp;"元整"</f>
        <v>伍亿零肆佰柒拾玖万元整</v>
      </c>
    </row>
    <row r="7" spans="1:5" ht="15.75">
      <c r="B7" s="3263"/>
      <c r="C7" s="1392" t="s">
        <v>912</v>
      </c>
      <c r="D7" s="798">
        <f ca="1">结果表!H102</f>
        <v>13897</v>
      </c>
    </row>
    <row r="8" spans="1:5" ht="15.75">
      <c r="B8" s="3264" t="str">
        <f>结果表!E103</f>
        <v>2.估价师知悉的法定优先受偿款</v>
      </c>
      <c r="C8" s="1393" t="s">
        <v>913</v>
      </c>
      <c r="D8" s="798">
        <f>结果表!H103</f>
        <v>0</v>
      </c>
    </row>
    <row r="9" spans="1:5" ht="15.75">
      <c r="B9" s="3266"/>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57" t="str">
        <f>结果表!E107</f>
        <v>3.房地产抵押价值</v>
      </c>
      <c r="C13" s="1396" t="s">
        <v>910</v>
      </c>
      <c r="D13" s="800">
        <f ca="1">结果表!H107</f>
        <v>50479</v>
      </c>
    </row>
    <row r="14" spans="1:5" ht="15.75">
      <c r="B14" s="3258"/>
      <c r="C14" s="1391" t="s">
        <v>911</v>
      </c>
      <c r="D14" s="797" t="str">
        <f ca="1">NUMBERSTRING(INT(D13*10000),2)&amp;"元整"</f>
        <v>伍亿零肆佰柒拾玖万元整</v>
      </c>
    </row>
    <row r="15" spans="1:5" ht="15">
      <c r="B15" s="3263"/>
      <c r="C15" s="1392" t="s">
        <v>921</v>
      </c>
      <c r="D15" s="806">
        <f ca="1">结果表!H108</f>
        <v>13897</v>
      </c>
    </row>
    <row r="16" spans="1:5" ht="15">
      <c r="B16" s="3264" t="str">
        <f>结果表!E109</f>
        <v>——</v>
      </c>
      <c r="C16" s="1396" t="s">
        <v>922</v>
      </c>
      <c r="D16" s="1397" t="str">
        <f>结果表!H109</f>
        <v>——</v>
      </c>
    </row>
    <row r="17" spans="1:5" ht="15.75">
      <c r="B17" s="3265"/>
      <c r="C17" s="1391" t="s">
        <v>923</v>
      </c>
      <c r="D17" s="797" t="e">
        <f>NUMBERSTRING(INT(D16*10000),2)&amp;"元整"</f>
        <v>#VALUE!</v>
      </c>
    </row>
    <row r="18" spans="1:5" ht="15">
      <c r="B18" s="3266"/>
      <c r="C18" s="1392" t="s">
        <v>912</v>
      </c>
      <c r="D18" s="806" t="str">
        <f>结果表!H110</f>
        <v>——</v>
      </c>
    </row>
    <row r="19" spans="1:5" ht="15.75">
      <c r="B19" s="3257" t="str">
        <f>结果表!E111</f>
        <v>——</v>
      </c>
      <c r="C19" s="1396" t="s">
        <v>910</v>
      </c>
      <c r="D19" s="798" t="str">
        <f>结果表!H111</f>
        <v>——</v>
      </c>
    </row>
    <row r="20" spans="1:5" ht="15.75">
      <c r="B20" s="3258"/>
      <c r="C20" s="1391" t="s">
        <v>923</v>
      </c>
      <c r="D20" s="797" t="e">
        <f>NUMBERSTRING(INT(D19*10000),2)&amp;"元整"</f>
        <v>#VALUE!</v>
      </c>
    </row>
    <row r="21" spans="1:5" ht="15.75" thickBot="1">
      <c r="B21" s="3259"/>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86" t="s">
        <v>2607</v>
      </c>
      <c r="B20" s="3579" t="s">
        <v>2628</v>
      </c>
      <c r="C20" s="2842" t="s">
        <v>2439</v>
      </c>
      <c r="D20" s="2843"/>
      <c r="E20" s="2844">
        <v>1</v>
      </c>
      <c r="F20" s="2845" t="s">
        <v>2440</v>
      </c>
      <c r="G20" s="2845"/>
    </row>
    <row r="21" spans="1:13" ht="19.5" customHeight="1">
      <c r="A21" s="3587"/>
      <c r="B21" s="3580"/>
      <c r="C21" s="2846" t="s">
        <v>2441</v>
      </c>
      <c r="D21" s="2847"/>
      <c r="E21" s="2848">
        <v>1</v>
      </c>
      <c r="F21" s="2845" t="s">
        <v>2442</v>
      </c>
      <c r="G21" s="2845"/>
    </row>
    <row r="22" spans="1:13" ht="19.5" customHeight="1">
      <c r="A22" s="3587"/>
      <c r="B22" s="3580"/>
      <c r="C22" s="2846" t="s">
        <v>2443</v>
      </c>
      <c r="D22" s="2847"/>
      <c r="E22" s="2848">
        <v>0.9</v>
      </c>
      <c r="F22" s="2845" t="s">
        <v>2444</v>
      </c>
      <c r="G22" s="2845"/>
    </row>
    <row r="23" spans="1:13" ht="19.5" customHeight="1">
      <c r="A23" s="3587"/>
      <c r="B23" s="3580"/>
      <c r="C23" s="2846" t="s">
        <v>2445</v>
      </c>
      <c r="D23" s="2847"/>
      <c r="E23" s="2848">
        <v>0.9</v>
      </c>
      <c r="F23" s="2845" t="s">
        <v>2446</v>
      </c>
      <c r="G23" s="2845"/>
    </row>
    <row r="24" spans="1:13" ht="19.5" customHeight="1">
      <c r="A24" s="3587"/>
      <c r="B24" s="3580"/>
      <c r="C24" s="2846" t="s">
        <v>2447</v>
      </c>
      <c r="D24" s="2847"/>
      <c r="E24" s="2848">
        <v>0.8</v>
      </c>
      <c r="F24" s="2845" t="s">
        <v>2448</v>
      </c>
      <c r="G24" s="2845"/>
    </row>
    <row r="25" spans="1:13" ht="19.5" customHeight="1" thickBot="1">
      <c r="A25" s="3588"/>
      <c r="B25" s="3581"/>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582" t="s">
        <v>2631</v>
      </c>
      <c r="B27" s="3579" t="s">
        <v>2612</v>
      </c>
      <c r="C27" s="2842" t="s">
        <v>2452</v>
      </c>
      <c r="D27" s="2843"/>
      <c r="E27" s="2844">
        <v>1</v>
      </c>
      <c r="F27" s="2845" t="s">
        <v>2453</v>
      </c>
      <c r="G27" s="2845"/>
    </row>
    <row r="28" spans="1:13" ht="19.5" customHeight="1">
      <c r="A28" s="3583"/>
      <c r="B28" s="3580"/>
      <c r="C28" s="2846" t="s">
        <v>2454</v>
      </c>
      <c r="D28" s="2847"/>
      <c r="E28" s="2848">
        <v>1</v>
      </c>
      <c r="F28" s="2845" t="s">
        <v>2455</v>
      </c>
      <c r="G28" s="2845"/>
    </row>
    <row r="29" spans="1:13" ht="19.5" customHeight="1">
      <c r="A29" s="3583"/>
      <c r="B29" s="3580"/>
      <c r="C29" s="2846" t="s">
        <v>2456</v>
      </c>
      <c r="D29" s="2847"/>
      <c r="E29" s="2848">
        <v>0.8</v>
      </c>
      <c r="F29" s="2845" t="s">
        <v>2457</v>
      </c>
      <c r="G29" s="2845"/>
    </row>
    <row r="30" spans="1:13" ht="19.5" customHeight="1">
      <c r="A30" s="3583"/>
      <c r="B30" s="3580"/>
      <c r="C30" s="2846" t="s">
        <v>2458</v>
      </c>
      <c r="D30" s="2847"/>
      <c r="E30" s="2848">
        <v>0.8</v>
      </c>
      <c r="F30" s="2845" t="s">
        <v>2459</v>
      </c>
      <c r="G30" s="2845"/>
    </row>
    <row r="31" spans="1:13" ht="19.5" customHeight="1">
      <c r="A31" s="3583"/>
      <c r="B31" s="3580"/>
      <c r="C31" s="2846" t="s">
        <v>2460</v>
      </c>
      <c r="D31" s="2847"/>
      <c r="E31" s="2848">
        <v>0.8</v>
      </c>
      <c r="F31" s="2845" t="s">
        <v>2461</v>
      </c>
      <c r="G31" s="2845"/>
    </row>
    <row r="32" spans="1:13" ht="19.5" customHeight="1">
      <c r="A32" s="3583"/>
      <c r="B32" s="3580"/>
      <c r="C32" s="2846" t="s">
        <v>2462</v>
      </c>
      <c r="D32" s="2847"/>
      <c r="E32" s="2848">
        <v>0.7</v>
      </c>
      <c r="F32" s="2845" t="s">
        <v>2463</v>
      </c>
      <c r="G32" s="2845"/>
    </row>
    <row r="33" spans="1:7" ht="19.5" customHeight="1">
      <c r="A33" s="3583"/>
      <c r="B33" s="3580"/>
      <c r="C33" s="2846" t="s">
        <v>2464</v>
      </c>
      <c r="D33" s="2847"/>
      <c r="E33" s="2848">
        <v>0.8</v>
      </c>
      <c r="F33" s="2845" t="s">
        <v>2465</v>
      </c>
      <c r="G33" s="2845"/>
    </row>
    <row r="34" spans="1:7" ht="19.5" customHeight="1">
      <c r="A34" s="3583"/>
      <c r="B34" s="3580"/>
      <c r="C34" s="2846" t="s">
        <v>2466</v>
      </c>
      <c r="D34" s="2847"/>
      <c r="E34" s="2848">
        <v>0.6</v>
      </c>
      <c r="F34" s="2845" t="s">
        <v>2467</v>
      </c>
      <c r="G34" s="2845"/>
    </row>
    <row r="35" spans="1:7" ht="19.5" customHeight="1">
      <c r="A35" s="3583"/>
      <c r="B35" s="3580"/>
      <c r="C35" s="2846" t="s">
        <v>2468</v>
      </c>
      <c r="D35" s="2847"/>
      <c r="E35" s="2848">
        <v>0.2</v>
      </c>
      <c r="F35" s="2845" t="s">
        <v>2469</v>
      </c>
      <c r="G35" s="2845"/>
    </row>
    <row r="36" spans="1:7" ht="19.5" customHeight="1">
      <c r="A36" s="3583"/>
      <c r="B36" s="3580"/>
      <c r="C36" s="2846" t="s">
        <v>2470</v>
      </c>
      <c r="D36" s="2847"/>
      <c r="E36" s="2848">
        <v>0.2</v>
      </c>
      <c r="F36" s="2845" t="s">
        <v>2471</v>
      </c>
      <c r="G36" s="2845"/>
    </row>
    <row r="37" spans="1:7" ht="19.5" customHeight="1">
      <c r="A37" s="3583"/>
      <c r="B37" s="3585" t="s">
        <v>2632</v>
      </c>
      <c r="C37" s="2846" t="s">
        <v>2472</v>
      </c>
      <c r="D37" s="2847"/>
      <c r="E37" s="2848">
        <v>0.6</v>
      </c>
      <c r="F37" s="2845" t="s">
        <v>2473</v>
      </c>
      <c r="G37" s="2845"/>
    </row>
    <row r="38" spans="1:7" ht="19.5" customHeight="1">
      <c r="A38" s="3583"/>
      <c r="B38" s="3580"/>
      <c r="C38" s="2846" t="s">
        <v>2474</v>
      </c>
      <c r="D38" s="2847"/>
      <c r="E38" s="2848">
        <v>0.6</v>
      </c>
      <c r="F38" s="2845" t="s">
        <v>2475</v>
      </c>
      <c r="G38" s="2845"/>
    </row>
    <row r="39" spans="1:7" ht="19.5" customHeight="1" thickBot="1">
      <c r="A39" s="3584"/>
      <c r="B39" s="3581"/>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586" t="s">
        <v>2610</v>
      </c>
      <c r="B41" s="3579" t="s">
        <v>2634</v>
      </c>
      <c r="C41" s="2842" t="s">
        <v>2479</v>
      </c>
      <c r="D41" s="2843"/>
      <c r="E41" s="2844">
        <v>1</v>
      </c>
      <c r="F41" s="2845" t="s">
        <v>2480</v>
      </c>
      <c r="G41" s="2845"/>
    </row>
    <row r="42" spans="1:7" ht="19.5" customHeight="1">
      <c r="A42" s="3587"/>
      <c r="B42" s="3580"/>
      <c r="C42" s="2846" t="s">
        <v>2481</v>
      </c>
      <c r="D42" s="2847"/>
      <c r="E42" s="2848">
        <v>1</v>
      </c>
      <c r="F42" s="2845" t="s">
        <v>2482</v>
      </c>
      <c r="G42" s="2845"/>
    </row>
    <row r="43" spans="1:7" ht="19.5" customHeight="1">
      <c r="A43" s="3587"/>
      <c r="B43" s="3589"/>
      <c r="C43" s="2846" t="s">
        <v>2483</v>
      </c>
      <c r="D43" s="2847"/>
      <c r="E43" s="2848">
        <v>1.5</v>
      </c>
      <c r="F43" s="2845" t="s">
        <v>2484</v>
      </c>
      <c r="G43" s="2845"/>
    </row>
    <row r="44" spans="1:7" ht="19.5" customHeight="1">
      <c r="A44" s="3587"/>
      <c r="B44" s="2857" t="s">
        <v>2635</v>
      </c>
      <c r="C44" s="2846" t="s">
        <v>2636</v>
      </c>
      <c r="D44" s="2847"/>
      <c r="E44" s="2848">
        <v>2</v>
      </c>
      <c r="F44" s="2845" t="s">
        <v>2485</v>
      </c>
      <c r="G44" s="2845"/>
    </row>
    <row r="45" spans="1:7" ht="19.5" customHeight="1">
      <c r="A45" s="3587"/>
      <c r="B45" s="3585" t="s">
        <v>2637</v>
      </c>
      <c r="C45" s="2846" t="s">
        <v>2486</v>
      </c>
      <c r="D45" s="2847"/>
      <c r="E45" s="2848">
        <v>1</v>
      </c>
      <c r="F45" s="2845" t="s">
        <v>2487</v>
      </c>
      <c r="G45" s="2845"/>
    </row>
    <row r="46" spans="1:7" ht="19.5" customHeight="1">
      <c r="A46" s="3587"/>
      <c r="B46" s="3580"/>
      <c r="C46" s="2846" t="s">
        <v>2488</v>
      </c>
      <c r="D46" s="2847"/>
      <c r="E46" s="2848">
        <v>1</v>
      </c>
      <c r="F46" s="2845" t="s">
        <v>2489</v>
      </c>
      <c r="G46" s="2845"/>
    </row>
    <row r="47" spans="1:7" ht="19.5" customHeight="1">
      <c r="A47" s="3587"/>
      <c r="B47" s="3580"/>
      <c r="C47" s="2846" t="s">
        <v>2490</v>
      </c>
      <c r="D47" s="2847"/>
      <c r="E47" s="2848">
        <v>1</v>
      </c>
      <c r="F47" s="2845" t="s">
        <v>2491</v>
      </c>
      <c r="G47" s="2845"/>
    </row>
    <row r="48" spans="1:7" ht="19.5" customHeight="1">
      <c r="A48" s="3587"/>
      <c r="B48" s="3580"/>
      <c r="C48" s="2846" t="s">
        <v>2492</v>
      </c>
      <c r="D48" s="2847"/>
      <c r="E48" s="2848">
        <v>1</v>
      </c>
      <c r="F48" s="2845" t="s">
        <v>2493</v>
      </c>
      <c r="G48" s="2845"/>
    </row>
    <row r="49" spans="1:7" ht="19.5" customHeight="1">
      <c r="A49" s="3587"/>
      <c r="B49" s="3580"/>
      <c r="C49" s="2846" t="s">
        <v>2494</v>
      </c>
      <c r="D49" s="2847"/>
      <c r="E49" s="2848">
        <v>1</v>
      </c>
      <c r="F49" s="2845" t="s">
        <v>2495</v>
      </c>
      <c r="G49" s="2845"/>
    </row>
    <row r="50" spans="1:7" ht="19.5" customHeight="1">
      <c r="A50" s="3587"/>
      <c r="B50" s="3580"/>
      <c r="C50" s="2846" t="s">
        <v>2496</v>
      </c>
      <c r="D50" s="2847"/>
      <c r="E50" s="2848">
        <v>1</v>
      </c>
      <c r="F50" s="2845" t="s">
        <v>2497</v>
      </c>
      <c r="G50" s="2845"/>
    </row>
    <row r="51" spans="1:7" ht="19.5" customHeight="1" thickBot="1">
      <c r="A51" s="3588"/>
      <c r="B51" s="3581"/>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585" t="s">
        <v>2651</v>
      </c>
      <c r="C73" s="2831" t="s">
        <v>2652</v>
      </c>
      <c r="D73" s="2831" t="s">
        <v>2653</v>
      </c>
      <c r="E73" s="2857">
        <v>0.2</v>
      </c>
      <c r="F73" s="2857">
        <v>25</v>
      </c>
    </row>
    <row r="74" spans="1:7" ht="24">
      <c r="A74" s="2857">
        <v>2</v>
      </c>
      <c r="B74" s="3580"/>
      <c r="C74" s="2831" t="s">
        <v>2654</v>
      </c>
      <c r="D74" s="2831" t="s">
        <v>2655</v>
      </c>
      <c r="E74" s="2857">
        <v>0.2</v>
      </c>
      <c r="F74" s="2857">
        <v>25</v>
      </c>
    </row>
    <row r="75" spans="1:7" ht="24">
      <c r="A75" s="2857">
        <v>3</v>
      </c>
      <c r="B75" s="3580"/>
      <c r="C75" s="2831" t="s">
        <v>2656</v>
      </c>
      <c r="D75" s="2831" t="s">
        <v>2657</v>
      </c>
      <c r="E75" s="2857">
        <v>0.2</v>
      </c>
      <c r="F75" s="2857">
        <v>25</v>
      </c>
    </row>
    <row r="76" spans="1:7" ht="13.5">
      <c r="A76" s="2857">
        <v>4</v>
      </c>
      <c r="B76" s="3580"/>
      <c r="C76" s="2831" t="s">
        <v>2658</v>
      </c>
      <c r="D76" s="2831" t="s">
        <v>2659</v>
      </c>
      <c r="E76" s="2857">
        <v>0.15</v>
      </c>
      <c r="F76" s="2857">
        <v>20</v>
      </c>
    </row>
    <row r="77" spans="1:7" ht="24">
      <c r="A77" s="2857">
        <v>5</v>
      </c>
      <c r="B77" s="3580"/>
      <c r="C77" s="2831" t="s">
        <v>2660</v>
      </c>
      <c r="D77" s="2831" t="s">
        <v>2661</v>
      </c>
      <c r="E77" s="2857">
        <v>0.15</v>
      </c>
      <c r="F77" s="2857">
        <v>20</v>
      </c>
    </row>
    <row r="78" spans="1:7" ht="24">
      <c r="A78" s="2857">
        <v>6</v>
      </c>
      <c r="B78" s="3580"/>
      <c r="C78" s="2831" t="s">
        <v>2662</v>
      </c>
      <c r="D78" s="2831" t="s">
        <v>2663</v>
      </c>
      <c r="E78" s="2857">
        <v>0.15</v>
      </c>
      <c r="F78" s="2857">
        <v>20</v>
      </c>
    </row>
    <row r="79" spans="1:7" ht="24">
      <c r="A79" s="2857">
        <v>7</v>
      </c>
      <c r="B79" s="3580"/>
      <c r="C79" s="2831" t="s">
        <v>2664</v>
      </c>
      <c r="D79" s="2831" t="s">
        <v>2665</v>
      </c>
      <c r="E79" s="2857">
        <v>0.15</v>
      </c>
      <c r="F79" s="2857">
        <v>20</v>
      </c>
    </row>
    <row r="80" spans="1:7" ht="24">
      <c r="A80" s="2857">
        <v>8</v>
      </c>
      <c r="B80" s="3580"/>
      <c r="C80" s="2831" t="s">
        <v>2666</v>
      </c>
      <c r="D80" s="2831" t="s">
        <v>2667</v>
      </c>
      <c r="E80" s="2857">
        <v>0.1</v>
      </c>
      <c r="F80" s="2857">
        <v>15</v>
      </c>
    </row>
    <row r="81" spans="1:6" ht="24">
      <c r="A81" s="2857">
        <v>9</v>
      </c>
      <c r="B81" s="3580"/>
      <c r="C81" s="2831" t="s">
        <v>2668</v>
      </c>
      <c r="D81" s="2831" t="s">
        <v>2669</v>
      </c>
      <c r="E81" s="2857">
        <v>0.1</v>
      </c>
      <c r="F81" s="2857">
        <v>15</v>
      </c>
    </row>
    <row r="82" spans="1:6" ht="24">
      <c r="A82" s="2857">
        <v>10</v>
      </c>
      <c r="B82" s="3580"/>
      <c r="C82" s="2831" t="s">
        <v>2670</v>
      </c>
      <c r="D82" s="2831" t="s">
        <v>2671</v>
      </c>
      <c r="E82" s="2857">
        <v>0.1</v>
      </c>
      <c r="F82" s="2857">
        <v>15</v>
      </c>
    </row>
    <row r="83" spans="1:6" ht="24">
      <c r="A83" s="2857">
        <v>11</v>
      </c>
      <c r="B83" s="3580"/>
      <c r="C83" s="2831" t="s">
        <v>2672</v>
      </c>
      <c r="D83" s="2831" t="s">
        <v>2673</v>
      </c>
      <c r="E83" s="2857">
        <v>0.1</v>
      </c>
      <c r="F83" s="2857">
        <v>15</v>
      </c>
    </row>
    <row r="84" spans="1:6" ht="24">
      <c r="A84" s="2857">
        <v>12</v>
      </c>
      <c r="B84" s="3580"/>
      <c r="C84" s="2831" t="s">
        <v>2674</v>
      </c>
      <c r="D84" s="2831" t="s">
        <v>2675</v>
      </c>
      <c r="E84" s="2857">
        <v>0.1</v>
      </c>
      <c r="F84" s="2857">
        <v>15</v>
      </c>
    </row>
    <row r="85" spans="1:6" ht="13.5">
      <c r="A85" s="2857">
        <v>13</v>
      </c>
      <c r="B85" s="3580"/>
      <c r="C85" s="2831" t="s">
        <v>2676</v>
      </c>
      <c r="D85" s="2831" t="s">
        <v>2677</v>
      </c>
      <c r="E85" s="2857">
        <v>0.1</v>
      </c>
      <c r="F85" s="2857">
        <v>15</v>
      </c>
    </row>
    <row r="86" spans="1:6" ht="13.5">
      <c r="A86" s="2857">
        <v>14</v>
      </c>
      <c r="B86" s="3580"/>
      <c r="C86" s="2831" t="s">
        <v>2678</v>
      </c>
      <c r="D86" s="2831" t="s">
        <v>2679</v>
      </c>
      <c r="E86" s="2857">
        <v>0.1</v>
      </c>
      <c r="F86" s="2857">
        <v>15</v>
      </c>
    </row>
    <row r="87" spans="1:6" ht="13.5">
      <c r="A87" s="2857">
        <v>15</v>
      </c>
      <c r="B87" s="3580"/>
      <c r="C87" s="2831" t="s">
        <v>2680</v>
      </c>
      <c r="D87" s="2831" t="s">
        <v>2681</v>
      </c>
      <c r="E87" s="2857">
        <v>0.1</v>
      </c>
      <c r="F87" s="2857">
        <v>15</v>
      </c>
    </row>
    <row r="88" spans="1:6" ht="24">
      <c r="A88" s="2857">
        <v>16</v>
      </c>
      <c r="B88" s="3580"/>
      <c r="C88" s="2831" t="s">
        <v>2682</v>
      </c>
      <c r="D88" s="2831" t="s">
        <v>2683</v>
      </c>
      <c r="E88" s="2857">
        <v>0.1</v>
      </c>
      <c r="F88" s="2857">
        <v>15</v>
      </c>
    </row>
    <row r="89" spans="1:6" ht="24">
      <c r="A89" s="2857">
        <v>17</v>
      </c>
      <c r="B89" s="3589"/>
      <c r="C89" s="2831" t="s">
        <v>2684</v>
      </c>
      <c r="D89" s="2831" t="s">
        <v>2685</v>
      </c>
      <c r="E89" s="2857">
        <v>0.1</v>
      </c>
      <c r="F89" s="2857">
        <v>15</v>
      </c>
    </row>
    <row r="90" spans="1:6" ht="13.5">
      <c r="A90" s="2857">
        <v>18</v>
      </c>
      <c r="B90" s="3585" t="s">
        <v>2686</v>
      </c>
      <c r="C90" s="2831" t="s">
        <v>2687</v>
      </c>
      <c r="D90" s="2831" t="s">
        <v>2688</v>
      </c>
      <c r="E90" s="2857">
        <v>0.2</v>
      </c>
      <c r="F90" s="2857">
        <v>25</v>
      </c>
    </row>
    <row r="91" spans="1:6" ht="24">
      <c r="A91" s="2857">
        <v>19</v>
      </c>
      <c r="B91" s="3580"/>
      <c r="C91" s="2831" t="s">
        <v>2689</v>
      </c>
      <c r="D91" s="2831" t="s">
        <v>2690</v>
      </c>
      <c r="E91" s="2857">
        <v>0.2</v>
      </c>
      <c r="F91" s="2857">
        <v>25</v>
      </c>
    </row>
    <row r="92" spans="1:6" ht="13.5">
      <c r="A92" s="2857">
        <v>20</v>
      </c>
      <c r="B92" s="3580"/>
      <c r="C92" s="2831" t="s">
        <v>2691</v>
      </c>
      <c r="D92" s="2831" t="s">
        <v>2692</v>
      </c>
      <c r="E92" s="2857">
        <v>0.15</v>
      </c>
      <c r="F92" s="2857">
        <v>20</v>
      </c>
    </row>
    <row r="93" spans="1:6" ht="13.5">
      <c r="A93" s="2857">
        <v>21</v>
      </c>
      <c r="B93" s="3580"/>
      <c r="C93" s="2831" t="s">
        <v>2693</v>
      </c>
      <c r="D93" s="2831" t="s">
        <v>2694</v>
      </c>
      <c r="E93" s="2857">
        <v>0.15</v>
      </c>
      <c r="F93" s="2857">
        <v>20</v>
      </c>
    </row>
    <row r="94" spans="1:6" ht="13.5">
      <c r="A94" s="2857">
        <v>22</v>
      </c>
      <c r="B94" s="3580"/>
      <c r="C94" s="2831" t="s">
        <v>2695</v>
      </c>
      <c r="D94" s="2831" t="s">
        <v>2696</v>
      </c>
      <c r="E94" s="2857">
        <v>0.15</v>
      </c>
      <c r="F94" s="2857">
        <v>20</v>
      </c>
    </row>
    <row r="95" spans="1:6" ht="36">
      <c r="A95" s="2857">
        <v>23</v>
      </c>
      <c r="B95" s="3580"/>
      <c r="C95" s="2831" t="s">
        <v>2697</v>
      </c>
      <c r="D95" s="2831" t="s">
        <v>2698</v>
      </c>
      <c r="E95" s="2857">
        <v>0.15</v>
      </c>
      <c r="F95" s="2857">
        <v>20</v>
      </c>
    </row>
    <row r="96" spans="1:6" ht="13.5">
      <c r="A96" s="2857">
        <v>24</v>
      </c>
      <c r="B96" s="3580"/>
      <c r="C96" s="2831" t="s">
        <v>2699</v>
      </c>
      <c r="D96" s="2831" t="s">
        <v>2700</v>
      </c>
      <c r="E96" s="2857">
        <v>0.1</v>
      </c>
      <c r="F96" s="2857">
        <v>15</v>
      </c>
    </row>
    <row r="97" spans="1:6" ht="13.5">
      <c r="A97" s="2857">
        <v>25</v>
      </c>
      <c r="B97" s="3580"/>
      <c r="C97" s="2831" t="s">
        <v>2701</v>
      </c>
      <c r="D97" s="2831" t="s">
        <v>2702</v>
      </c>
      <c r="E97" s="2857">
        <v>0.1</v>
      </c>
      <c r="F97" s="2857">
        <v>15</v>
      </c>
    </row>
    <row r="98" spans="1:6" ht="24">
      <c r="A98" s="2857">
        <v>26</v>
      </c>
      <c r="B98" s="3580"/>
      <c r="C98" s="2831" t="s">
        <v>2703</v>
      </c>
      <c r="D98" s="2831" t="s">
        <v>2704</v>
      </c>
      <c r="E98" s="2857">
        <v>0.1</v>
      </c>
      <c r="F98" s="2857">
        <v>15</v>
      </c>
    </row>
    <row r="99" spans="1:6" ht="24">
      <c r="A99" s="2857">
        <v>27</v>
      </c>
      <c r="B99" s="3580"/>
      <c r="C99" s="2831" t="s">
        <v>2705</v>
      </c>
      <c r="D99" s="2831" t="s">
        <v>2706</v>
      </c>
      <c r="E99" s="2857">
        <v>0.1</v>
      </c>
      <c r="F99" s="2857">
        <v>15</v>
      </c>
    </row>
    <row r="100" spans="1:6" ht="13.5">
      <c r="A100" s="2857">
        <v>28</v>
      </c>
      <c r="B100" s="3580"/>
      <c r="C100" s="2831" t="s">
        <v>2707</v>
      </c>
      <c r="D100" s="2831" t="s">
        <v>2708</v>
      </c>
      <c r="E100" s="2857">
        <v>0.1</v>
      </c>
      <c r="F100" s="2857">
        <v>15</v>
      </c>
    </row>
    <row r="101" spans="1:6" ht="13.5">
      <c r="A101" s="2857">
        <v>29</v>
      </c>
      <c r="B101" s="3580"/>
      <c r="C101" s="2831" t="s">
        <v>2709</v>
      </c>
      <c r="D101" s="2831" t="s">
        <v>2710</v>
      </c>
      <c r="E101" s="2857">
        <v>0.1</v>
      </c>
      <c r="F101" s="2857">
        <v>15</v>
      </c>
    </row>
    <row r="102" spans="1:6" ht="13.5">
      <c r="A102" s="2857">
        <v>30</v>
      </c>
      <c r="B102" s="3580"/>
      <c r="C102" s="2831" t="s">
        <v>2711</v>
      </c>
      <c r="D102" s="2831" t="s">
        <v>2712</v>
      </c>
      <c r="E102" s="2857">
        <v>0.1</v>
      </c>
      <c r="F102" s="2857">
        <v>15</v>
      </c>
    </row>
    <row r="103" spans="1:6" ht="24">
      <c r="A103" s="2857">
        <v>31</v>
      </c>
      <c r="B103" s="3580"/>
      <c r="C103" s="2831" t="s">
        <v>2713</v>
      </c>
      <c r="D103" s="2831" t="s">
        <v>2714</v>
      </c>
      <c r="E103" s="2857">
        <v>0.1</v>
      </c>
      <c r="F103" s="2857">
        <v>15</v>
      </c>
    </row>
    <row r="104" spans="1:6" ht="24">
      <c r="A104" s="2857">
        <v>32</v>
      </c>
      <c r="B104" s="3580"/>
      <c r="C104" s="2831" t="s">
        <v>2715</v>
      </c>
      <c r="D104" s="2831" t="s">
        <v>2716</v>
      </c>
      <c r="E104" s="2857">
        <v>0.1</v>
      </c>
      <c r="F104" s="2857">
        <v>15</v>
      </c>
    </row>
    <row r="105" spans="1:6" ht="24">
      <c r="A105" s="2857">
        <v>33</v>
      </c>
      <c r="B105" s="3580"/>
      <c r="C105" s="2831" t="s">
        <v>2717</v>
      </c>
      <c r="D105" s="2831" t="s">
        <v>2718</v>
      </c>
      <c r="E105" s="2857">
        <v>0.1</v>
      </c>
      <c r="F105" s="2857">
        <v>15</v>
      </c>
    </row>
    <row r="106" spans="1:6" ht="24">
      <c r="A106" s="2857">
        <v>34</v>
      </c>
      <c r="B106" s="3589"/>
      <c r="C106" s="2831" t="s">
        <v>2719</v>
      </c>
      <c r="D106" s="2831" t="s">
        <v>2720</v>
      </c>
      <c r="E106" s="2857">
        <v>0.1</v>
      </c>
      <c r="F106" s="2857">
        <v>15</v>
      </c>
    </row>
    <row r="107" spans="1:6" ht="24">
      <c r="A107" s="2857">
        <v>35</v>
      </c>
      <c r="B107" s="3585" t="s">
        <v>2721</v>
      </c>
      <c r="C107" s="2857" t="s">
        <v>2722</v>
      </c>
      <c r="D107" s="2831" t="s">
        <v>2723</v>
      </c>
      <c r="E107" s="2857">
        <v>0.15</v>
      </c>
      <c r="F107" s="2857">
        <v>20</v>
      </c>
    </row>
    <row r="108" spans="1:6" ht="13.5">
      <c r="A108" s="2857">
        <v>36</v>
      </c>
      <c r="B108" s="3580"/>
      <c r="C108" s="2857" t="s">
        <v>2724</v>
      </c>
      <c r="D108" s="2831" t="s">
        <v>2725</v>
      </c>
      <c r="E108" s="2857">
        <v>0.15</v>
      </c>
      <c r="F108" s="2857">
        <v>20</v>
      </c>
    </row>
    <row r="109" spans="1:6" ht="13.5">
      <c r="A109" s="2857">
        <v>37</v>
      </c>
      <c r="B109" s="3580"/>
      <c r="C109" s="2857" t="s">
        <v>2726</v>
      </c>
      <c r="D109" s="2831" t="s">
        <v>2727</v>
      </c>
      <c r="E109" s="2857">
        <v>0.15</v>
      </c>
      <c r="F109" s="2857">
        <v>20</v>
      </c>
    </row>
    <row r="110" spans="1:6" ht="13.5">
      <c r="A110" s="2857">
        <v>38</v>
      </c>
      <c r="B110" s="3580"/>
      <c r="C110" s="2857" t="s">
        <v>2728</v>
      </c>
      <c r="D110" s="2831" t="s">
        <v>2729</v>
      </c>
      <c r="E110" s="2857">
        <v>0.1</v>
      </c>
      <c r="F110" s="2857">
        <v>15</v>
      </c>
    </row>
    <row r="111" spans="1:6" ht="24">
      <c r="A111" s="2857">
        <v>39</v>
      </c>
      <c r="B111" s="3580"/>
      <c r="C111" s="2857" t="s">
        <v>2730</v>
      </c>
      <c r="D111" s="2831" t="s">
        <v>2731</v>
      </c>
      <c r="E111" s="2857">
        <v>0.1</v>
      </c>
      <c r="F111" s="2857">
        <v>15</v>
      </c>
    </row>
    <row r="112" spans="1:6" ht="24">
      <c r="A112" s="2857">
        <v>40</v>
      </c>
      <c r="B112" s="3589"/>
      <c r="C112" s="2857" t="s">
        <v>2732</v>
      </c>
      <c r="D112" s="2831" t="s">
        <v>2733</v>
      </c>
      <c r="E112" s="2857">
        <v>0.1</v>
      </c>
      <c r="F112" s="2857">
        <v>15</v>
      </c>
    </row>
    <row r="113" spans="1:6" ht="13.5">
      <c r="A113" s="2857">
        <v>41</v>
      </c>
      <c r="B113" s="3590" t="s">
        <v>2734</v>
      </c>
      <c r="C113" s="2857" t="s">
        <v>2735</v>
      </c>
      <c r="D113" s="2831" t="s">
        <v>2736</v>
      </c>
      <c r="E113" s="2857">
        <v>0.1</v>
      </c>
      <c r="F113" s="2857">
        <v>15</v>
      </c>
    </row>
    <row r="114" spans="1:6" ht="13.5">
      <c r="A114" s="2857">
        <v>42</v>
      </c>
      <c r="B114" s="3590"/>
      <c r="C114" s="2857" t="s">
        <v>2737</v>
      </c>
      <c r="D114" s="2831" t="s">
        <v>2738</v>
      </c>
      <c r="E114" s="2857">
        <v>0.1</v>
      </c>
      <c r="F114" s="2857">
        <v>15</v>
      </c>
    </row>
    <row r="115" spans="1:6" ht="24">
      <c r="A115" s="2857">
        <v>43</v>
      </c>
      <c r="B115" s="3590"/>
      <c r="C115" s="2857" t="s">
        <v>2739</v>
      </c>
      <c r="D115" s="2831" t="s">
        <v>2740</v>
      </c>
      <c r="E115" s="2857">
        <v>0.1</v>
      </c>
      <c r="F115" s="2857">
        <v>15</v>
      </c>
    </row>
    <row r="116" spans="1:6" ht="13.5">
      <c r="A116" s="2857">
        <v>44</v>
      </c>
      <c r="B116" s="3585" t="s">
        <v>2741</v>
      </c>
      <c r="C116" s="2857" t="s">
        <v>2742</v>
      </c>
      <c r="D116" s="2831" t="s">
        <v>2743</v>
      </c>
      <c r="E116" s="2857">
        <v>0.1</v>
      </c>
      <c r="F116" s="2857">
        <v>15</v>
      </c>
    </row>
    <row r="117" spans="1:6" ht="24">
      <c r="A117" s="2857">
        <v>45</v>
      </c>
      <c r="B117" s="3589"/>
      <c r="C117" s="2831" t="s">
        <v>2744</v>
      </c>
      <c r="D117" s="2831" t="s">
        <v>2745</v>
      </c>
      <c r="E117" s="2857">
        <v>0.1</v>
      </c>
      <c r="F117" s="2857">
        <v>15</v>
      </c>
    </row>
    <row r="118" spans="1:6" ht="24">
      <c r="A118" s="2857">
        <v>46</v>
      </c>
      <c r="B118" s="3585" t="s">
        <v>2746</v>
      </c>
      <c r="C118" s="2857" t="s">
        <v>2747</v>
      </c>
      <c r="D118" s="2831" t="s">
        <v>2748</v>
      </c>
      <c r="E118" s="2857">
        <v>0.1</v>
      </c>
      <c r="F118" s="2857">
        <v>15</v>
      </c>
    </row>
    <row r="119" spans="1:6" ht="24">
      <c r="A119" s="2857">
        <v>47</v>
      </c>
      <c r="B119" s="3589"/>
      <c r="C119" s="2857" t="s">
        <v>2749</v>
      </c>
      <c r="D119" s="2831" t="s">
        <v>2750</v>
      </c>
      <c r="E119" s="2857">
        <v>0.1</v>
      </c>
      <c r="F119" s="2857">
        <v>15</v>
      </c>
    </row>
    <row r="120" spans="1:6" ht="13.5">
      <c r="A120" s="2857">
        <v>48</v>
      </c>
      <c r="B120" s="3585" t="s">
        <v>2751</v>
      </c>
      <c r="C120" s="2857" t="s">
        <v>2752</v>
      </c>
      <c r="D120" s="2831" t="s">
        <v>2753</v>
      </c>
      <c r="E120" s="2857">
        <v>0.1</v>
      </c>
      <c r="F120" s="2857">
        <v>15</v>
      </c>
    </row>
    <row r="121" spans="1:6" ht="13.5">
      <c r="A121" s="2857">
        <v>49</v>
      </c>
      <c r="B121" s="3589"/>
      <c r="C121" s="2857" t="s">
        <v>2754</v>
      </c>
      <c r="D121" s="2831" t="s">
        <v>2755</v>
      </c>
      <c r="E121" s="2857">
        <v>0.1</v>
      </c>
      <c r="F121" s="2857">
        <v>15</v>
      </c>
    </row>
    <row r="122" spans="1:6" ht="24">
      <c r="A122" s="2857">
        <v>50</v>
      </c>
      <c r="B122" s="3590" t="s">
        <v>2756</v>
      </c>
      <c r="C122" s="2857" t="s">
        <v>2757</v>
      </c>
      <c r="D122" s="2831" t="s">
        <v>2758</v>
      </c>
      <c r="E122" s="2857">
        <v>0.1</v>
      </c>
      <c r="F122" s="2857">
        <v>15</v>
      </c>
    </row>
    <row r="123" spans="1:6" ht="24">
      <c r="A123" s="2857">
        <v>51</v>
      </c>
      <c r="B123" s="3590"/>
      <c r="C123" s="2857" t="s">
        <v>2759</v>
      </c>
      <c r="D123" s="2831" t="s">
        <v>2760</v>
      </c>
      <c r="E123" s="2857">
        <v>0.1</v>
      </c>
      <c r="F123" s="2857">
        <v>15</v>
      </c>
    </row>
    <row r="124" spans="1:6" ht="24">
      <c r="A124" s="2857">
        <v>52</v>
      </c>
      <c r="B124" s="3590" t="s">
        <v>2761</v>
      </c>
      <c r="C124" s="2857" t="s">
        <v>2762</v>
      </c>
      <c r="D124" s="2831" t="s">
        <v>2763</v>
      </c>
      <c r="E124" s="2857">
        <v>0.1</v>
      </c>
      <c r="F124" s="2857">
        <v>15</v>
      </c>
    </row>
    <row r="125" spans="1:6" ht="24">
      <c r="A125" s="2857">
        <v>53</v>
      </c>
      <c r="B125" s="3590"/>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590" t="s">
        <v>2769</v>
      </c>
      <c r="C127" s="2857" t="s">
        <v>2770</v>
      </c>
      <c r="D127" s="2831" t="s">
        <v>2771</v>
      </c>
      <c r="E127" s="2857">
        <v>0.1</v>
      </c>
      <c r="F127" s="2857">
        <v>15</v>
      </c>
    </row>
    <row r="128" spans="1:6" ht="13.5">
      <c r="A128" s="2857">
        <v>56</v>
      </c>
      <c r="B128" s="3590"/>
      <c r="C128" s="2857" t="s">
        <v>2772</v>
      </c>
      <c r="D128" s="2831" t="s">
        <v>2773</v>
      </c>
      <c r="E128" s="2857">
        <v>0.1</v>
      </c>
      <c r="F128" s="2857">
        <v>15</v>
      </c>
    </row>
    <row r="129" spans="1:6" ht="24">
      <c r="A129" s="2857">
        <v>57</v>
      </c>
      <c r="B129" s="3590"/>
      <c r="C129" s="2857" t="s">
        <v>2774</v>
      </c>
      <c r="D129" s="2831" t="s">
        <v>2775</v>
      </c>
      <c r="E129" s="2857">
        <v>0.1</v>
      </c>
      <c r="F129" s="2857">
        <v>15</v>
      </c>
    </row>
    <row r="130" spans="1:6" ht="24">
      <c r="A130" s="2857">
        <v>58</v>
      </c>
      <c r="B130" s="3590" t="s">
        <v>2776</v>
      </c>
      <c r="C130" s="2857" t="s">
        <v>2777</v>
      </c>
      <c r="D130" s="2831" t="s">
        <v>2778</v>
      </c>
      <c r="E130" s="2857">
        <v>0.1</v>
      </c>
      <c r="F130" s="2857">
        <v>15</v>
      </c>
    </row>
    <row r="131" spans="1:6" ht="13.5">
      <c r="A131" s="2857">
        <v>59</v>
      </c>
      <c r="B131" s="3590"/>
      <c r="C131" s="2857" t="s">
        <v>2779</v>
      </c>
      <c r="D131" s="2831" t="s">
        <v>2780</v>
      </c>
      <c r="E131" s="2857">
        <v>0.1</v>
      </c>
      <c r="F131" s="2857">
        <v>15</v>
      </c>
    </row>
    <row r="132" spans="1:6" ht="13.5">
      <c r="A132" s="2857">
        <v>60</v>
      </c>
      <c r="B132" s="3585" t="s">
        <v>2781</v>
      </c>
      <c r="C132" s="2857" t="s">
        <v>2782</v>
      </c>
      <c r="D132" s="2831" t="s">
        <v>2783</v>
      </c>
      <c r="E132" s="2857">
        <v>0.1</v>
      </c>
      <c r="F132" s="2857">
        <v>15</v>
      </c>
    </row>
    <row r="133" spans="1:6" ht="13.5">
      <c r="A133" s="2857">
        <v>61</v>
      </c>
      <c r="B133" s="3589"/>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590" t="s">
        <v>2789</v>
      </c>
      <c r="C135" s="2857" t="s">
        <v>2790</v>
      </c>
      <c r="D135" s="2831" t="s">
        <v>2791</v>
      </c>
      <c r="E135" s="2857">
        <v>0.1</v>
      </c>
      <c r="F135" s="2857">
        <v>15</v>
      </c>
    </row>
    <row r="136" spans="1:6" ht="13.5">
      <c r="A136" s="2857">
        <v>64</v>
      </c>
      <c r="B136" s="3590"/>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42420</v>
      </c>
      <c r="C2" s="2" t="s">
        <v>106</v>
      </c>
      <c r="D2" s="191"/>
      <c r="E2" s="191"/>
      <c r="F2" s="191"/>
      <c r="G2" s="191"/>
    </row>
    <row r="3" spans="1:7" s="192" customFormat="1" ht="18" customHeight="1" thickBot="1">
      <c r="A3" s="195" t="s">
        <v>58</v>
      </c>
      <c r="B3" s="196">
        <f ca="1">ROUND(B2*10000/'数据-汇总表'!E3,0)</f>
        <v>11678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237</v>
      </c>
      <c r="D9" s="795">
        <f>'数据-汇总表'!E5</f>
        <v>23729.450000000004</v>
      </c>
      <c r="E9" s="217">
        <f>'数据-取费表'!B27</f>
        <v>100</v>
      </c>
      <c r="F9" s="213"/>
      <c r="G9" s="218"/>
    </row>
    <row r="10" spans="1:7" s="206" customFormat="1" ht="13.5" customHeight="1">
      <c r="A10" s="733" t="s">
        <v>356</v>
      </c>
      <c r="B10" s="216" t="s">
        <v>67</v>
      </c>
      <c r="C10" s="217">
        <f>ROUND(D10*E10/10000,0)</f>
        <v>189</v>
      </c>
      <c r="D10" s="795">
        <f>'数据-汇总表'!E6</f>
        <v>12594.419999999998</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472</v>
      </c>
      <c r="D19" s="204">
        <f>'数据-汇总表'!E3</f>
        <v>36323.870000000003</v>
      </c>
      <c r="E19" s="203">
        <f>'数据-取费表'!B31</f>
        <v>130</v>
      </c>
      <c r="F19" s="223"/>
      <c r="G19" s="1" t="s">
        <v>436</v>
      </c>
    </row>
    <row r="20" spans="1:7" s="206" customFormat="1" ht="13.5" customHeight="1">
      <c r="A20" s="731" t="s">
        <v>419</v>
      </c>
      <c r="B20" s="202" t="s">
        <v>77</v>
      </c>
      <c r="C20" s="224">
        <f>ROUND((C5+C19)*F20,0)</f>
        <v>422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752</v>
      </c>
      <c r="D22" s="227">
        <f ca="1">C26</f>
        <v>4.0000000000000002E-4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728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17</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1700</v>
      </c>
      <c r="D27" s="227">
        <f>C29</f>
        <v>1.6000000000000001E-3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1700</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25881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12835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11112</v>
      </c>
      <c r="D34" s="209"/>
      <c r="E34" s="212"/>
      <c r="F34" s="249">
        <f>IF('数据-取费表'!B24=0,1,'数据-取费表'!N16)</f>
        <v>0.52700000000000002</v>
      </c>
      <c r="G34" s="211" t="s">
        <v>89</v>
      </c>
    </row>
    <row r="35" spans="1:7" ht="13.5" customHeight="1">
      <c r="A35" s="734" t="s">
        <v>351</v>
      </c>
      <c r="B35" s="207" t="s">
        <v>33</v>
      </c>
      <c r="C35" s="212">
        <f>ROUND(C34*F35,0)</f>
        <v>556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617</v>
      </c>
      <c r="D36" s="212"/>
      <c r="E36" s="212"/>
      <c r="F36" s="251">
        <f>'数据-取费表'!B34</f>
        <v>0.08</v>
      </c>
      <c r="G36" s="252" t="s">
        <v>35</v>
      </c>
    </row>
    <row r="37" spans="1:7" s="250" customFormat="1" ht="13.5" customHeight="1">
      <c r="A37" s="734" t="s">
        <v>353</v>
      </c>
      <c r="B37" s="207" t="s">
        <v>91</v>
      </c>
      <c r="C37" s="241">
        <f>ROUND(E37*D37*F34/10000,0)</f>
        <v>383</v>
      </c>
      <c r="D37" s="209">
        <f>'数据-汇总表'!E3</f>
        <v>36323.870000000003</v>
      </c>
      <c r="E37" s="241">
        <f>'数据-取费表'!B35</f>
        <v>200</v>
      </c>
      <c r="F37" s="251"/>
      <c r="G37" s="253" t="s">
        <v>92</v>
      </c>
    </row>
    <row r="38" spans="1:7" ht="13.5" customHeight="1">
      <c r="A38" s="734" t="s">
        <v>354</v>
      </c>
      <c r="B38" s="207" t="s">
        <v>36</v>
      </c>
      <c r="C38" s="212">
        <f>ROUND(C34*F38,0)</f>
        <v>167</v>
      </c>
      <c r="D38" s="212"/>
      <c r="E38" s="212"/>
      <c r="F38" s="251">
        <f>'数据-取费表'!B36</f>
        <v>1.4999999999999999E-2</v>
      </c>
      <c r="G38" s="211" t="s">
        <v>90</v>
      </c>
    </row>
    <row r="39" spans="1:7" s="206" customFormat="1" ht="13.5" customHeight="1">
      <c r="A39" s="731" t="s">
        <v>338</v>
      </c>
      <c r="B39" s="202" t="s">
        <v>77</v>
      </c>
      <c r="C39" s="224">
        <f>ROUND(C33*F20,0)</f>
        <v>257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230</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225</v>
      </c>
      <c r="D42" s="230"/>
      <c r="E42" s="230"/>
      <c r="F42" s="231"/>
      <c r="G42" s="3456" t="s">
        <v>94</v>
      </c>
    </row>
    <row r="43" spans="1:7" ht="13.5" customHeight="1">
      <c r="A43" s="734" t="s">
        <v>347</v>
      </c>
      <c r="B43" s="207" t="s">
        <v>426</v>
      </c>
      <c r="C43" s="230">
        <f ca="1">ROUND(IF('数据-取费表'!B22&lt;=1,C39*F22*'数据-取费表'!B21/2,C39*(POWER((1+F22),'数据-取费表'!B21/2)-1)),0)</f>
        <v>5</v>
      </c>
      <c r="D43" s="230"/>
      <c r="E43" s="230"/>
      <c r="F43" s="231"/>
      <c r="G43" s="3457"/>
    </row>
    <row r="44" spans="1:7" ht="13.5" customHeight="1">
      <c r="A44" s="734" t="s">
        <v>348</v>
      </c>
      <c r="B44" s="207" t="s">
        <v>428</v>
      </c>
      <c r="C44" s="230">
        <f ca="1">ROUND(IF('数据-取费表'!B22&lt;=1,C40*F22*'数据-取费表'!B21/2,C40*(POWER((1+F22),'数据-取费表'!B21/2)-1)),4)</f>
        <v>4.0000000000000002E-4</v>
      </c>
      <c r="D44" s="230"/>
      <c r="E44" s="230"/>
      <c r="F44" s="231"/>
      <c r="G44" s="3458"/>
    </row>
    <row r="45" spans="1:7" s="206" customFormat="1" ht="13.5" customHeight="1">
      <c r="A45" s="731" t="s">
        <v>341</v>
      </c>
      <c r="B45" s="236" t="s">
        <v>85</v>
      </c>
      <c r="C45" s="237">
        <f>C46</f>
        <v>1964</v>
      </c>
      <c r="D45" s="227">
        <f>C47</f>
        <v>3.0000000000000001E-3</v>
      </c>
      <c r="E45" s="228" t="s">
        <v>102</v>
      </c>
      <c r="F45" s="238"/>
      <c r="G45" s="239" t="s">
        <v>434</v>
      </c>
    </row>
    <row r="46" spans="1:7" s="206" customFormat="1" ht="13.5" customHeight="1">
      <c r="A46" s="734" t="s">
        <v>349</v>
      </c>
      <c r="B46" s="240" t="s">
        <v>427</v>
      </c>
      <c r="C46" s="241">
        <f>ROUND((C33+C39)*F27,0)</f>
        <v>1964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16539</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16539</v>
      </c>
      <c r="D51" s="224"/>
      <c r="E51" s="224"/>
      <c r="F51" s="256"/>
      <c r="G51" s="226" t="s">
        <v>37</v>
      </c>
    </row>
    <row r="52" spans="1:7" s="200" customFormat="1" ht="16.5" thickBot="1">
      <c r="A52" s="257" t="s">
        <v>38</v>
      </c>
      <c r="B52" s="258"/>
      <c r="C52" s="259">
        <f ca="1">C31+C51</f>
        <v>42420</v>
      </c>
      <c r="D52" s="258"/>
      <c r="E52" s="258"/>
      <c r="F52" s="258"/>
      <c r="G52" s="260"/>
    </row>
    <row r="55" spans="1:7" ht="15">
      <c r="B55" s="262" t="s">
        <v>39</v>
      </c>
      <c r="C55" s="263"/>
    </row>
    <row r="56" spans="1:7">
      <c r="B56" s="265" t="s">
        <v>40</v>
      </c>
      <c r="C56" s="266">
        <f ca="1">ROUND(C51/C52,3)</f>
        <v>0.39</v>
      </c>
    </row>
    <row r="57" spans="1:7">
      <c r="B57" s="265" t="s">
        <v>41</v>
      </c>
      <c r="C57" s="267">
        <f ca="1">1-C56</f>
        <v>0.61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93" t="s">
        <v>2839</v>
      </c>
      <c r="B1" s="3593"/>
      <c r="C1" s="3593"/>
      <c r="D1" s="3593"/>
      <c r="E1" s="3593"/>
      <c r="F1" s="3593"/>
      <c r="G1" s="3594"/>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91"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92"/>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95" t="s">
        <v>3181</v>
      </c>
      <c r="B1" s="3595"/>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96" t="s">
        <v>3232</v>
      </c>
      <c r="B1" s="3596"/>
      <c r="C1" s="3596"/>
      <c r="D1" s="3596"/>
      <c r="E1" s="3596"/>
      <c r="F1" s="3597"/>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7">
        <f>基准地价修正!G23</f>
        <v>45565</v>
      </c>
      <c r="B1" s="2929" t="s">
        <v>3371</v>
      </c>
      <c r="C1" s="2930"/>
      <c r="D1" s="2930"/>
      <c r="E1" s="2930"/>
      <c r="F1" s="2930"/>
      <c r="G1" s="2930"/>
      <c r="H1" s="2930"/>
      <c r="I1" s="2930"/>
      <c r="J1" s="2896"/>
      <c r="K1" s="2930" t="s">
        <v>454</v>
      </c>
      <c r="L1" s="2930"/>
      <c r="M1" s="2930"/>
      <c r="N1" s="2930"/>
      <c r="O1" s="2930"/>
      <c r="P1" s="2930"/>
      <c r="Q1" s="2896"/>
      <c r="R1" s="3598" t="s">
        <v>456</v>
      </c>
      <c r="S1" s="3599"/>
      <c r="T1" s="3599"/>
      <c r="U1" s="3599"/>
      <c r="V1" s="3599"/>
      <c r="W1" s="3599"/>
      <c r="X1" s="2896"/>
      <c r="Y1" s="3598" t="s">
        <v>457</v>
      </c>
      <c r="Z1" s="3599"/>
      <c r="AA1" s="3599"/>
      <c r="AB1" s="3599"/>
      <c r="AC1" s="3599"/>
      <c r="AD1" s="3599"/>
    </row>
    <row r="2" spans="1:30"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row>
    <row r="3" spans="1:30" s="2886" customFormat="1" ht="12.75">
      <c r="A3" s="2884" t="s">
        <v>2819</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3</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3378</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4" customFormat="1" ht="12.75">
      <c r="A7" s="2905" t="s">
        <v>3380</v>
      </c>
      <c r="B7" s="2030">
        <v>2024</v>
      </c>
      <c r="C7" s="2041">
        <v>1</v>
      </c>
      <c r="D7" s="2006">
        <v>0.08</v>
      </c>
      <c r="E7" s="2006">
        <v>0.46</v>
      </c>
      <c r="F7" s="2006">
        <v>-0.16</v>
      </c>
      <c r="G7" s="2006">
        <v>0.26</v>
      </c>
      <c r="H7" s="2917">
        <v>0.59</v>
      </c>
      <c r="I7" s="2007">
        <v>0</v>
      </c>
      <c r="J7" s="2906"/>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6"/>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6"/>
      <c r="Y7" s="2027"/>
      <c r="Z7" s="2027"/>
      <c r="AA7" s="2027"/>
      <c r="AB7" s="2027"/>
      <c r="AC7" s="2027"/>
      <c r="AD7" s="2027"/>
    </row>
    <row r="8" spans="1:30" s="2044" customFormat="1" ht="12.75">
      <c r="A8" s="2905" t="s">
        <v>3375</v>
      </c>
      <c r="B8" s="2030">
        <v>2023</v>
      </c>
      <c r="C8" s="2041">
        <v>4</v>
      </c>
      <c r="D8" s="2006">
        <v>0.19</v>
      </c>
      <c r="E8" s="2006">
        <v>0.24</v>
      </c>
      <c r="F8" s="2006">
        <v>-0.16</v>
      </c>
      <c r="G8" s="2006">
        <v>0.17</v>
      </c>
      <c r="H8" s="2917">
        <v>0.61</v>
      </c>
      <c r="I8" s="2007">
        <f>F8</f>
        <v>-0.16</v>
      </c>
      <c r="J8" s="2906"/>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6"/>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6"/>
      <c r="Y8" s="2027"/>
      <c r="Z8" s="2027"/>
      <c r="AA8" s="2027"/>
      <c r="AB8" s="2027"/>
      <c r="AC8" s="2027"/>
      <c r="AD8" s="2027"/>
    </row>
    <row r="9" spans="1:30" s="2044" customFormat="1" ht="12.75">
      <c r="A9" s="2905" t="s">
        <v>3374</v>
      </c>
      <c r="B9" s="2030">
        <v>2023</v>
      </c>
      <c r="C9" s="2041">
        <v>3</v>
      </c>
      <c r="D9" s="2006">
        <v>0.25</v>
      </c>
      <c r="E9" s="2006">
        <v>0.5</v>
      </c>
      <c r="F9" s="2006">
        <v>0.31</v>
      </c>
      <c r="G9" s="2006">
        <v>0.21</v>
      </c>
      <c r="H9" s="2917">
        <v>0.43</v>
      </c>
      <c r="I9" s="2007">
        <f t="shared" si="15"/>
        <v>0.31</v>
      </c>
      <c r="J9" s="2906"/>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6"/>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6"/>
      <c r="Y9" s="2027"/>
      <c r="Z9" s="2027"/>
      <c r="AA9" s="2027"/>
      <c r="AB9" s="2027"/>
      <c r="AC9" s="2027"/>
      <c r="AD9" s="2027"/>
    </row>
    <row r="10" spans="1:30" s="2044" customFormat="1" ht="12.75">
      <c r="A10" s="2905" t="s">
        <v>3370</v>
      </c>
      <c r="B10" s="2030">
        <v>2023</v>
      </c>
      <c r="C10" s="2041">
        <v>2</v>
      </c>
      <c r="D10" s="2006">
        <v>0.91</v>
      </c>
      <c r="E10" s="2006">
        <v>0.66</v>
      </c>
      <c r="F10" s="2006">
        <v>0.47</v>
      </c>
      <c r="G10" s="2006">
        <v>0.96</v>
      </c>
      <c r="H10" s="2917">
        <v>0.71</v>
      </c>
      <c r="I10" s="2007">
        <f t="shared" si="15"/>
        <v>0.47</v>
      </c>
      <c r="J10" s="2906"/>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6"/>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6"/>
      <c r="Y10" s="2027"/>
      <c r="Z10" s="2027"/>
      <c r="AA10" s="2027"/>
      <c r="AB10" s="2027"/>
      <c r="AC10" s="2027"/>
      <c r="AD10" s="2027"/>
    </row>
    <row r="11" spans="1:30" s="2044" customFormat="1" ht="12.75">
      <c r="A11" s="2905" t="s">
        <v>3369</v>
      </c>
      <c r="B11" s="2030">
        <v>2023</v>
      </c>
      <c r="C11" s="2041">
        <v>1</v>
      </c>
      <c r="D11" s="2006">
        <v>0.89</v>
      </c>
      <c r="E11" s="2006">
        <v>0.74</v>
      </c>
      <c r="F11" s="2006">
        <v>0.56999999999999995</v>
      </c>
      <c r="G11" s="2006">
        <v>0.92</v>
      </c>
      <c r="H11" s="2917">
        <v>0.5</v>
      </c>
      <c r="I11" s="2007">
        <f t="shared" si="15"/>
        <v>0.56999999999999995</v>
      </c>
      <c r="J11" s="2906"/>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6"/>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6"/>
      <c r="Y11" s="2027"/>
      <c r="Z11" s="2027"/>
      <c r="AA11" s="2027"/>
      <c r="AB11" s="2027"/>
      <c r="AC11" s="2027"/>
      <c r="AD11" s="2027"/>
    </row>
    <row r="12" spans="1:30" s="2044" customFormat="1" ht="12.75">
      <c r="A12" s="2905" t="s">
        <v>3368</v>
      </c>
      <c r="B12" s="2030">
        <v>2022</v>
      </c>
      <c r="C12" s="2041">
        <v>4</v>
      </c>
      <c r="D12" s="2006">
        <v>0.62</v>
      </c>
      <c r="E12" s="2006">
        <v>0.2</v>
      </c>
      <c r="F12" s="2006">
        <v>0.11</v>
      </c>
      <c r="G12" s="2006">
        <v>0.69</v>
      </c>
      <c r="H12" s="2917">
        <v>0.53</v>
      </c>
      <c r="I12" s="2007">
        <f t="shared" si="15"/>
        <v>0.11</v>
      </c>
      <c r="J12" s="2906"/>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6"/>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6"/>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5" t="s">
        <v>3364</v>
      </c>
      <c r="B13" s="2030">
        <v>2022</v>
      </c>
      <c r="C13" s="2041">
        <v>3</v>
      </c>
      <c r="D13" s="2006">
        <v>0.66</v>
      </c>
      <c r="E13" s="2006">
        <v>0.32</v>
      </c>
      <c r="F13" s="2006">
        <v>0.23</v>
      </c>
      <c r="G13" s="2006">
        <v>0.72</v>
      </c>
      <c r="H13" s="2917">
        <v>0.63</v>
      </c>
      <c r="I13" s="2007">
        <f t="shared" si="15"/>
        <v>0.23</v>
      </c>
      <c r="J13" s="2906"/>
      <c r="K13" s="2042">
        <f t="shared" si="16"/>
        <v>6.6E-3</v>
      </c>
      <c r="L13" s="2027">
        <f t="shared" si="16"/>
        <v>3.2000000000000002E-3</v>
      </c>
      <c r="M13" s="2027">
        <f t="shared" si="16"/>
        <v>2.3E-3</v>
      </c>
      <c r="N13" s="2027">
        <f t="shared" si="16"/>
        <v>7.1999999999999998E-3</v>
      </c>
      <c r="O13" s="2027">
        <f t="shared" si="16"/>
        <v>6.3E-3</v>
      </c>
      <c r="P13" s="2027">
        <f t="shared" si="36"/>
        <v>2.3E-3</v>
      </c>
      <c r="Q13" s="2906"/>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6"/>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5" t="s">
        <v>3355</v>
      </c>
      <c r="B14" s="2030">
        <v>2022</v>
      </c>
      <c r="C14" s="2041">
        <v>2</v>
      </c>
      <c r="D14" s="2006">
        <v>0.93</v>
      </c>
      <c r="E14" s="2006">
        <v>0.15</v>
      </c>
      <c r="F14" s="2006">
        <v>0.01</v>
      </c>
      <c r="G14" s="2006">
        <v>1.05</v>
      </c>
      <c r="H14" s="2917">
        <v>1.08</v>
      </c>
      <c r="I14" s="2007">
        <f t="shared" si="15"/>
        <v>0.01</v>
      </c>
      <c r="J14" s="2906"/>
      <c r="K14" s="2042">
        <f t="shared" si="16"/>
        <v>9.300000000000001E-3</v>
      </c>
      <c r="L14" s="2027">
        <f t="shared" si="16"/>
        <v>1.5E-3</v>
      </c>
      <c r="M14" s="2027">
        <f t="shared" si="16"/>
        <v>1E-4</v>
      </c>
      <c r="N14" s="2027">
        <f t="shared" si="16"/>
        <v>1.0500000000000001E-2</v>
      </c>
      <c r="O14" s="2027">
        <f t="shared" si="16"/>
        <v>1.0800000000000001E-2</v>
      </c>
      <c r="P14" s="2027">
        <f t="shared" si="36"/>
        <v>1E-4</v>
      </c>
      <c r="Q14" s="2906"/>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6"/>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5" t="s">
        <v>2820</v>
      </c>
      <c r="B15" s="2030">
        <v>2022</v>
      </c>
      <c r="C15" s="2041">
        <v>1</v>
      </c>
      <c r="D15" s="2006">
        <v>0.89</v>
      </c>
      <c r="E15" s="2006">
        <v>0.44</v>
      </c>
      <c r="F15" s="2006">
        <v>0.37</v>
      </c>
      <c r="G15" s="2006">
        <v>0.96</v>
      </c>
      <c r="H15" s="2917">
        <v>0.64</v>
      </c>
      <c r="I15" s="2007">
        <f t="shared" si="15"/>
        <v>0.37</v>
      </c>
      <c r="J15" s="2906"/>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6"/>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6"/>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5" t="s">
        <v>2821</v>
      </c>
      <c r="B16" s="2030">
        <v>2021</v>
      </c>
      <c r="C16" s="2041">
        <v>4</v>
      </c>
      <c r="D16" s="2006">
        <v>1.03</v>
      </c>
      <c r="E16" s="2006">
        <v>0.24</v>
      </c>
      <c r="F16" s="2006">
        <v>7.0000000000000007E-2</v>
      </c>
      <c r="G16" s="2006">
        <v>1.17</v>
      </c>
      <c r="H16" s="2917">
        <v>0.55000000000000004</v>
      </c>
      <c r="I16" s="2007">
        <f t="shared" si="15"/>
        <v>7.0000000000000007E-2</v>
      </c>
      <c r="J16" s="2906"/>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6"/>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6"/>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5" t="s">
        <v>2822</v>
      </c>
      <c r="B17" s="2030">
        <v>2021</v>
      </c>
      <c r="C17" s="2041">
        <v>3</v>
      </c>
      <c r="D17" s="2006">
        <v>0.47</v>
      </c>
      <c r="E17" s="2006">
        <v>0.41</v>
      </c>
      <c r="F17" s="2006">
        <v>0.24</v>
      </c>
      <c r="G17" s="2006">
        <v>0.48</v>
      </c>
      <c r="H17" s="2917">
        <v>0.48</v>
      </c>
      <c r="I17" s="2007">
        <f t="shared" si="15"/>
        <v>0.24</v>
      </c>
      <c r="J17" s="2906"/>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6"/>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6"/>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5" t="s">
        <v>2823</v>
      </c>
      <c r="B18" s="2030">
        <v>2021</v>
      </c>
      <c r="C18" s="2041">
        <v>2</v>
      </c>
      <c r="D18" s="2006">
        <v>0.92</v>
      </c>
      <c r="E18" s="2006">
        <v>0.72</v>
      </c>
      <c r="F18" s="2006">
        <v>0.41</v>
      </c>
      <c r="G18" s="2006">
        <v>0.95</v>
      </c>
      <c r="H18" s="2917">
        <v>1.01</v>
      </c>
      <c r="I18" s="2007">
        <f t="shared" si="15"/>
        <v>0.41</v>
      </c>
      <c r="J18" s="2906"/>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6"/>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6"/>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8" customFormat="1" thickBot="1">
      <c r="A19" s="2918" t="s">
        <v>2824</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3366</v>
      </c>
    </row>
    <row r="22" spans="1:30">
      <c r="I22" s="1404" t="s">
        <v>2825</v>
      </c>
    </row>
    <row r="24" spans="1:30" s="2008" customFormat="1" ht="12.75">
      <c r="B24" s="2929" t="s">
        <v>3372</v>
      </c>
      <c r="C24" s="2930"/>
      <c r="D24" s="2930"/>
      <c r="E24" s="2930"/>
      <c r="F24" s="2930"/>
      <c r="G24" s="2930"/>
      <c r="H24" s="2930"/>
      <c r="I24" s="2930"/>
      <c r="J24" s="2896"/>
      <c r="K24" s="2930" t="s">
        <v>2826</v>
      </c>
      <c r="L24" s="2930"/>
      <c r="M24" s="2930"/>
      <c r="N24" s="2930"/>
      <c r="O24" s="2930"/>
      <c r="P24" s="2930"/>
      <c r="Q24" s="2896"/>
      <c r="R24" s="3598" t="s">
        <v>2827</v>
      </c>
      <c r="S24" s="3599"/>
      <c r="T24" s="3599"/>
      <c r="U24" s="3599"/>
      <c r="V24" s="3599"/>
      <c r="W24" s="3599"/>
      <c r="X24" s="2896"/>
      <c r="Y24" s="3598" t="s">
        <v>2828</v>
      </c>
      <c r="Z24" s="3599"/>
      <c r="AA24" s="3599"/>
      <c r="AB24" s="3599"/>
      <c r="AC24" s="3599"/>
      <c r="AD24" s="3599"/>
    </row>
    <row r="25" spans="1:30" s="2009" customFormat="1" ht="14.25" thickBot="1">
      <c r="B25" s="2881"/>
      <c r="C25" s="2882"/>
      <c r="D25" s="2010" t="s">
        <v>2829</v>
      </c>
      <c r="E25" s="2011" t="s">
        <v>2830</v>
      </c>
      <c r="F25" s="2011" t="s">
        <v>2831</v>
      </c>
      <c r="G25" s="2011" t="s">
        <v>2832</v>
      </c>
      <c r="H25" s="2011"/>
      <c r="I25" s="2011" t="s">
        <v>2833</v>
      </c>
      <c r="J25" s="2883"/>
      <c r="K25" s="2010" t="s">
        <v>2829</v>
      </c>
      <c r="L25" s="2011" t="s">
        <v>2830</v>
      </c>
      <c r="M25" s="2011" t="s">
        <v>2831</v>
      </c>
      <c r="N25" s="2011" t="s">
        <v>2832</v>
      </c>
      <c r="O25" s="2011"/>
      <c r="P25" s="2011" t="s">
        <v>2833</v>
      </c>
      <c r="Q25" s="2883"/>
      <c r="R25" s="2010" t="s">
        <v>2829</v>
      </c>
      <c r="S25" s="2011" t="s">
        <v>2830</v>
      </c>
      <c r="T25" s="2011" t="s">
        <v>2831</v>
      </c>
      <c r="U25" s="2011" t="s">
        <v>2832</v>
      </c>
      <c r="V25" s="2011"/>
      <c r="W25" s="2011" t="s">
        <v>2833</v>
      </c>
      <c r="X25" s="2883"/>
      <c r="Y25" s="2010" t="s">
        <v>2829</v>
      </c>
      <c r="Z25" s="2011" t="s">
        <v>2830</v>
      </c>
      <c r="AA25" s="2011" t="s">
        <v>2831</v>
      </c>
      <c r="AB25" s="2011" t="s">
        <v>2832</v>
      </c>
      <c r="AC25" s="2011"/>
      <c r="AD25" s="2011" t="s">
        <v>2833</v>
      </c>
    </row>
    <row r="26" spans="1:30" s="2886" customFormat="1" ht="12.75">
      <c r="A26" s="2884" t="s">
        <v>2834</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8" customFormat="1" ht="12.75">
      <c r="B27" s="2024"/>
      <c r="J27" s="2896"/>
      <c r="K27" s="2897"/>
      <c r="L27" s="2898"/>
      <c r="M27" s="2898"/>
      <c r="N27" s="2898"/>
      <c r="O27" s="2898"/>
      <c r="P27" s="2898"/>
      <c r="Q27" s="2896"/>
      <c r="R27" s="2026"/>
      <c r="S27" s="2899"/>
      <c r="T27" s="2900"/>
      <c r="U27" s="2026"/>
      <c r="V27" s="2901"/>
      <c r="W27" s="2026"/>
      <c r="X27" s="2896"/>
      <c r="Y27" s="2027"/>
      <c r="Z27" s="2902"/>
      <c r="AA27" s="2903"/>
      <c r="AB27" s="2027"/>
      <c r="AC27" s="2904"/>
      <c r="AD27" s="2027"/>
    </row>
    <row r="28" spans="1:30" s="2044" customFormat="1" ht="12.75">
      <c r="A28" s="2039" t="s">
        <v>3377</v>
      </c>
      <c r="B28" s="2030">
        <v>2024</v>
      </c>
      <c r="C28" s="2041">
        <v>3</v>
      </c>
      <c r="D28" s="2006"/>
      <c r="E28" s="2006">
        <v>0</v>
      </c>
      <c r="F28" s="2006">
        <v>0</v>
      </c>
      <c r="G28" s="2006">
        <v>0</v>
      </c>
      <c r="H28" s="2006"/>
      <c r="I28" s="2007">
        <f t="shared" ref="I28" si="47">F28</f>
        <v>0</v>
      </c>
      <c r="J28" s="2906"/>
      <c r="K28" s="2042"/>
      <c r="L28" s="2027">
        <f t="shared" ref="L28" si="48">E28/100</f>
        <v>0</v>
      </c>
      <c r="M28" s="2027">
        <f t="shared" ref="M28" si="49">F28/100</f>
        <v>0</v>
      </c>
      <c r="N28" s="2027">
        <f t="shared" ref="N28" si="50">G28/100</f>
        <v>0</v>
      </c>
      <c r="O28" s="2027"/>
      <c r="P28" s="2027">
        <f>M28</f>
        <v>0</v>
      </c>
      <c r="Q28" s="2906"/>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6"/>
      <c r="Y28" s="2027"/>
      <c r="Z28" s="2902">
        <f t="shared" ref="Z28:AB29" si="51">IF(E28=0,0,ROUND(AVERAGE(E28:E41)/100,4))</f>
        <v>0</v>
      </c>
      <c r="AA28" s="2902">
        <f t="shared" si="51"/>
        <v>0</v>
      </c>
      <c r="AB28" s="2902">
        <f t="shared" si="51"/>
        <v>0</v>
      </c>
      <c r="AC28" s="2904"/>
      <c r="AD28" s="2027">
        <f>IF(I28=0,0,ROUND(AVERAGE(I28:I41)/100,4))</f>
        <v>0</v>
      </c>
    </row>
    <row r="29" spans="1:30" s="2916" customFormat="1" ht="12.75">
      <c r="A29" s="2907" t="s">
        <v>3378</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4" customFormat="1" ht="12.75">
      <c r="A30" s="2905" t="s">
        <v>3379</v>
      </c>
      <c r="B30" s="2030">
        <v>2024</v>
      </c>
      <c r="C30" s="2041">
        <v>1</v>
      </c>
      <c r="D30" s="2006"/>
      <c r="E30" s="2006">
        <v>0.25</v>
      </c>
      <c r="F30" s="2006">
        <v>0.4</v>
      </c>
      <c r="G30" s="2006">
        <v>-0.63</v>
      </c>
      <c r="H30" s="2917"/>
      <c r="I30" s="2007">
        <f t="shared" ref="I30:I31" si="54">F30</f>
        <v>0.4</v>
      </c>
      <c r="J30" s="2906"/>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6"/>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6"/>
      <c r="Y30" s="2027"/>
      <c r="Z30" s="2902"/>
      <c r="AA30" s="2903"/>
      <c r="AB30" s="2027"/>
      <c r="AC30" s="2904"/>
      <c r="AD30" s="2027"/>
    </row>
    <row r="31" spans="1:30" s="2044" customFormat="1" ht="12.75">
      <c r="A31" s="2905" t="s">
        <v>3376</v>
      </c>
      <c r="B31" s="2030">
        <v>2023</v>
      </c>
      <c r="C31" s="2041">
        <v>4</v>
      </c>
      <c r="D31" s="2006"/>
      <c r="E31" s="2006">
        <v>7.0000000000000007E-2</v>
      </c>
      <c r="F31" s="2006">
        <v>0.09</v>
      </c>
      <c r="G31" s="2006">
        <v>0.03</v>
      </c>
      <c r="H31" s="2917"/>
      <c r="I31" s="2007">
        <f t="shared" si="54"/>
        <v>0.09</v>
      </c>
      <c r="J31" s="2906"/>
      <c r="K31" s="2042"/>
      <c r="L31" s="2027">
        <f t="shared" si="53"/>
        <v>7.000000000000001E-4</v>
      </c>
      <c r="M31" s="2027">
        <f t="shared" si="53"/>
        <v>8.9999999999999998E-4</v>
      </c>
      <c r="N31" s="2027">
        <f t="shared" si="53"/>
        <v>2.9999999999999997E-4</v>
      </c>
      <c r="O31" s="2027"/>
      <c r="P31" s="2027">
        <f t="shared" ref="P31" si="60">M31</f>
        <v>8.9999999999999998E-4</v>
      </c>
      <c r="Q31" s="2906"/>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6"/>
      <c r="Y31" s="2027"/>
      <c r="Z31" s="2902"/>
      <c r="AA31" s="2903"/>
      <c r="AB31" s="2027"/>
      <c r="AC31" s="2904"/>
      <c r="AD31" s="2027"/>
    </row>
    <row r="32" spans="1:30" s="2044" customFormat="1" ht="12.75">
      <c r="A32" s="2905" t="s">
        <v>3374</v>
      </c>
      <c r="B32" s="2030">
        <v>2023</v>
      </c>
      <c r="C32" s="2041">
        <v>3</v>
      </c>
      <c r="D32" s="2006"/>
      <c r="E32" s="2006">
        <v>0.35</v>
      </c>
      <c r="F32" s="2006">
        <v>0.17</v>
      </c>
      <c r="G32" s="2006">
        <v>0.52</v>
      </c>
      <c r="H32" s="2917"/>
      <c r="I32" s="2007">
        <f t="shared" si="52"/>
        <v>0.17</v>
      </c>
      <c r="J32" s="2906"/>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6"/>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6"/>
      <c r="Y32" s="2027"/>
      <c r="Z32" s="2902"/>
      <c r="AA32" s="2903"/>
      <c r="AB32" s="2027"/>
      <c r="AC32" s="2904"/>
      <c r="AD32" s="2027"/>
    </row>
    <row r="33" spans="1:30" s="2044" customFormat="1" ht="12.75">
      <c r="A33" s="2905" t="s">
        <v>3373</v>
      </c>
      <c r="B33" s="2030">
        <v>2023</v>
      </c>
      <c r="C33" s="2041">
        <v>2</v>
      </c>
      <c r="D33" s="2006"/>
      <c r="E33" s="2006">
        <v>0.5</v>
      </c>
      <c r="F33" s="2006">
        <v>0.45</v>
      </c>
      <c r="G33" s="2006">
        <v>0.89</v>
      </c>
      <c r="H33" s="2917"/>
      <c r="I33" s="2007">
        <f t="shared" si="52"/>
        <v>0.45</v>
      </c>
      <c r="J33" s="2906"/>
      <c r="K33" s="2042"/>
      <c r="L33" s="2027">
        <f t="shared" si="62"/>
        <v>5.0000000000000001E-3</v>
      </c>
      <c r="M33" s="2027">
        <f t="shared" si="63"/>
        <v>4.5000000000000005E-3</v>
      </c>
      <c r="N33" s="2027">
        <f t="shared" si="64"/>
        <v>8.8999999999999999E-3</v>
      </c>
      <c r="O33" s="2027"/>
      <c r="P33" s="2027">
        <f t="shared" si="65"/>
        <v>4.5000000000000005E-3</v>
      </c>
      <c r="Q33" s="2906"/>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6"/>
      <c r="Y33" s="2027"/>
      <c r="Z33" s="2902"/>
      <c r="AA33" s="2903"/>
      <c r="AB33" s="2027"/>
      <c r="AC33" s="2904"/>
      <c r="AD33" s="2027"/>
    </row>
    <row r="34" spans="1:30" s="2044" customFormat="1" ht="12.75">
      <c r="A34" s="2905" t="s">
        <v>3369</v>
      </c>
      <c r="B34" s="2030">
        <v>2023</v>
      </c>
      <c r="C34" s="2041">
        <v>1</v>
      </c>
      <c r="D34" s="2006"/>
      <c r="E34" s="2006">
        <v>0.55000000000000004</v>
      </c>
      <c r="F34" s="2006">
        <v>0.59</v>
      </c>
      <c r="G34" s="2006">
        <v>0.64</v>
      </c>
      <c r="H34" s="2917"/>
      <c r="I34" s="2007">
        <f t="shared" si="52"/>
        <v>0.59</v>
      </c>
      <c r="J34" s="2906"/>
      <c r="K34" s="2042"/>
      <c r="L34" s="2027">
        <f t="shared" si="62"/>
        <v>5.5000000000000005E-3</v>
      </c>
      <c r="M34" s="2027">
        <f t="shared" si="63"/>
        <v>5.8999999999999999E-3</v>
      </c>
      <c r="N34" s="2027">
        <f t="shared" si="64"/>
        <v>6.4000000000000003E-3</v>
      </c>
      <c r="O34" s="2027"/>
      <c r="P34" s="2027">
        <f t="shared" si="65"/>
        <v>5.8999999999999999E-3</v>
      </c>
      <c r="Q34" s="2906"/>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6"/>
      <c r="Y34" s="2027"/>
      <c r="Z34" s="2902"/>
      <c r="AA34" s="2903"/>
      <c r="AB34" s="2027"/>
      <c r="AC34" s="2904"/>
      <c r="AD34" s="2027"/>
    </row>
    <row r="35" spans="1:30" s="2044" customFormat="1" ht="12.75">
      <c r="A35" s="2905" t="s">
        <v>3368</v>
      </c>
      <c r="B35" s="2030">
        <v>2022</v>
      </c>
      <c r="C35" s="2041">
        <v>4</v>
      </c>
      <c r="D35" s="2006"/>
      <c r="E35" s="2006">
        <v>0.45</v>
      </c>
      <c r="F35" s="2006">
        <v>0.2</v>
      </c>
      <c r="G35" s="2006">
        <v>0.38</v>
      </c>
      <c r="H35" s="2917"/>
      <c r="I35" s="2007">
        <f t="shared" si="52"/>
        <v>0.2</v>
      </c>
      <c r="J35" s="2906"/>
      <c r="K35" s="2042"/>
      <c r="L35" s="2027">
        <f t="shared" si="53"/>
        <v>4.5000000000000005E-3</v>
      </c>
      <c r="M35" s="2027">
        <f t="shared" si="53"/>
        <v>2E-3</v>
      </c>
      <c r="N35" s="2027">
        <f t="shared" si="53"/>
        <v>3.8E-3</v>
      </c>
      <c r="O35" s="2027"/>
      <c r="P35" s="2027">
        <f t="shared" ref="P35:P42" si="67">M35</f>
        <v>2E-3</v>
      </c>
      <c r="Q35" s="2906"/>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6"/>
      <c r="Y35" s="2027"/>
      <c r="Z35" s="2902">
        <f t="shared" ref="Z35:AD42" si="69">IF(E35=0,0,ROUND(AVERAGE(E35:E43)/100,4))</f>
        <v>4.0000000000000001E-3</v>
      </c>
      <c r="AA35" s="2903">
        <f t="shared" si="69"/>
        <v>2.5999999999999999E-3</v>
      </c>
      <c r="AB35" s="2027">
        <f t="shared" si="69"/>
        <v>7.4000000000000003E-3</v>
      </c>
      <c r="AC35" s="2904"/>
      <c r="AD35" s="2027">
        <f t="shared" si="69"/>
        <v>2.5999999999999999E-3</v>
      </c>
    </row>
    <row r="36" spans="1:30" s="2044" customFormat="1" ht="12.75">
      <c r="A36" s="2905" t="s">
        <v>3365</v>
      </c>
      <c r="B36" s="2030">
        <v>2022</v>
      </c>
      <c r="C36" s="2041">
        <v>3</v>
      </c>
      <c r="D36" s="2006"/>
      <c r="E36" s="2006">
        <v>0.3</v>
      </c>
      <c r="F36" s="2006">
        <v>0.28999999999999998</v>
      </c>
      <c r="G36" s="2006">
        <v>0.83</v>
      </c>
      <c r="H36" s="2917"/>
      <c r="I36" s="2007">
        <f t="shared" si="52"/>
        <v>0.28999999999999998</v>
      </c>
      <c r="J36" s="2906"/>
      <c r="K36" s="2042"/>
      <c r="L36" s="2027">
        <f t="shared" si="53"/>
        <v>3.0000000000000001E-3</v>
      </c>
      <c r="M36" s="2027">
        <f t="shared" si="53"/>
        <v>2.8999999999999998E-3</v>
      </c>
      <c r="N36" s="2027">
        <f t="shared" si="53"/>
        <v>8.3000000000000001E-3</v>
      </c>
      <c r="O36" s="2027"/>
      <c r="P36" s="2027">
        <f t="shared" si="67"/>
        <v>2.8999999999999998E-3</v>
      </c>
      <c r="Q36" s="2906"/>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6"/>
      <c r="Y36" s="2027"/>
      <c r="Z36" s="2902">
        <f t="shared" si="69"/>
        <v>3.8999999999999998E-3</v>
      </c>
      <c r="AA36" s="2903">
        <f t="shared" si="69"/>
        <v>2.7000000000000001E-3</v>
      </c>
      <c r="AB36" s="2027">
        <f t="shared" si="69"/>
        <v>7.9000000000000008E-3</v>
      </c>
      <c r="AC36" s="2904"/>
      <c r="AD36" s="2027">
        <f t="shared" si="69"/>
        <v>2.7000000000000001E-3</v>
      </c>
    </row>
    <row r="37" spans="1:30" s="2044" customFormat="1" ht="12.75">
      <c r="A37" s="2905" t="s">
        <v>3355</v>
      </c>
      <c r="B37" s="2030">
        <v>2022</v>
      </c>
      <c r="C37" s="2041">
        <v>2</v>
      </c>
      <c r="D37" s="2006"/>
      <c r="E37" s="2006">
        <v>-0.11</v>
      </c>
      <c r="F37" s="2006">
        <v>-0.13</v>
      </c>
      <c r="G37" s="2006">
        <v>0.53</v>
      </c>
      <c r="H37" s="2917"/>
      <c r="I37" s="2007">
        <f t="shared" si="52"/>
        <v>-0.13</v>
      </c>
      <c r="J37" s="2906"/>
      <c r="K37" s="2042"/>
      <c r="L37" s="2027">
        <f t="shared" si="53"/>
        <v>-1.1000000000000001E-3</v>
      </c>
      <c r="M37" s="2027">
        <f t="shared" si="53"/>
        <v>-1.2999999999999999E-3</v>
      </c>
      <c r="N37" s="2027">
        <f t="shared" si="53"/>
        <v>5.3E-3</v>
      </c>
      <c r="O37" s="2027"/>
      <c r="P37" s="2027">
        <f t="shared" si="67"/>
        <v>-1.2999999999999999E-3</v>
      </c>
      <c r="Q37" s="2906"/>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6"/>
      <c r="Y37" s="2027"/>
      <c r="Z37" s="2902">
        <f t="shared" si="69"/>
        <v>4.1000000000000003E-3</v>
      </c>
      <c r="AA37" s="2903">
        <f t="shared" si="69"/>
        <v>2.7000000000000001E-3</v>
      </c>
      <c r="AB37" s="2027">
        <f t="shared" si="69"/>
        <v>7.9000000000000008E-3</v>
      </c>
      <c r="AC37" s="2904"/>
      <c r="AD37" s="2027">
        <f t="shared" si="69"/>
        <v>2.7000000000000001E-3</v>
      </c>
    </row>
    <row r="38" spans="1:30" s="2044" customFormat="1" ht="12.75">
      <c r="A38" s="2905" t="s">
        <v>2835</v>
      </c>
      <c r="B38" s="2030">
        <v>2022</v>
      </c>
      <c r="C38" s="2041">
        <v>1</v>
      </c>
      <c r="D38" s="2006"/>
      <c r="E38" s="2006">
        <v>0.6</v>
      </c>
      <c r="F38" s="2006">
        <v>0.45</v>
      </c>
      <c r="G38" s="2006">
        <v>0.53</v>
      </c>
      <c r="H38" s="2917"/>
      <c r="I38" s="2007">
        <f t="shared" si="52"/>
        <v>0.45</v>
      </c>
      <c r="J38" s="2906"/>
      <c r="K38" s="2042"/>
      <c r="L38" s="2027">
        <f t="shared" si="53"/>
        <v>6.0000000000000001E-3</v>
      </c>
      <c r="M38" s="2027">
        <f t="shared" si="53"/>
        <v>4.5000000000000005E-3</v>
      </c>
      <c r="N38" s="2027">
        <f t="shared" si="53"/>
        <v>5.3E-3</v>
      </c>
      <c r="O38" s="2027"/>
      <c r="P38" s="2027">
        <f t="shared" si="67"/>
        <v>4.5000000000000005E-3</v>
      </c>
      <c r="Q38" s="2906"/>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6"/>
      <c r="Y38" s="2027"/>
      <c r="Z38" s="2902">
        <f t="shared" si="69"/>
        <v>5.1000000000000004E-3</v>
      </c>
      <c r="AA38" s="2903">
        <f t="shared" si="69"/>
        <v>3.5000000000000001E-3</v>
      </c>
      <c r="AB38" s="2027">
        <f t="shared" si="69"/>
        <v>8.3999999999999995E-3</v>
      </c>
      <c r="AC38" s="2904"/>
      <c r="AD38" s="2027">
        <f t="shared" si="69"/>
        <v>3.5000000000000001E-3</v>
      </c>
    </row>
    <row r="39" spans="1:30" s="2044" customFormat="1" ht="12.75">
      <c r="A39" s="2905" t="s">
        <v>2836</v>
      </c>
      <c r="B39" s="2030">
        <v>2021</v>
      </c>
      <c r="C39" s="2041">
        <v>4</v>
      </c>
      <c r="D39" s="2006"/>
      <c r="E39" s="2006">
        <v>0.57999999999999996</v>
      </c>
      <c r="F39" s="2006">
        <v>0.08</v>
      </c>
      <c r="G39" s="2006">
        <v>0.68</v>
      </c>
      <c r="H39" s="2917"/>
      <c r="I39" s="2007">
        <f t="shared" si="52"/>
        <v>0.08</v>
      </c>
      <c r="J39" s="2906"/>
      <c r="K39" s="2042"/>
      <c r="L39" s="2027">
        <f t="shared" si="53"/>
        <v>5.7999999999999996E-3</v>
      </c>
      <c r="M39" s="2027">
        <f t="shared" si="53"/>
        <v>8.0000000000000004E-4</v>
      </c>
      <c r="N39" s="2027">
        <f t="shared" si="53"/>
        <v>6.8000000000000005E-3</v>
      </c>
      <c r="O39" s="2027"/>
      <c r="P39" s="2027">
        <f t="shared" si="67"/>
        <v>8.0000000000000004E-4</v>
      </c>
      <c r="Q39" s="2906"/>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6"/>
      <c r="Y39" s="2027"/>
      <c r="Z39" s="2902">
        <f t="shared" si="69"/>
        <v>4.8999999999999998E-3</v>
      </c>
      <c r="AA39" s="2903">
        <f t="shared" si="69"/>
        <v>3.3E-3</v>
      </c>
      <c r="AB39" s="2027">
        <f t="shared" si="69"/>
        <v>9.1999999999999998E-3</v>
      </c>
      <c r="AC39" s="2904"/>
      <c r="AD39" s="2027">
        <f t="shared" si="69"/>
        <v>3.3E-3</v>
      </c>
    </row>
    <row r="40" spans="1:30" s="2044" customFormat="1" ht="12.75">
      <c r="A40" s="2905" t="s">
        <v>2837</v>
      </c>
      <c r="B40" s="2030">
        <v>2021</v>
      </c>
      <c r="C40" s="2041">
        <v>3</v>
      </c>
      <c r="D40" s="2006"/>
      <c r="E40" s="2006">
        <v>0.47</v>
      </c>
      <c r="F40" s="2006">
        <v>0.28000000000000003</v>
      </c>
      <c r="G40" s="2006">
        <v>0.91</v>
      </c>
      <c r="H40" s="2917"/>
      <c r="I40" s="2007">
        <f t="shared" si="52"/>
        <v>0.28000000000000003</v>
      </c>
      <c r="J40" s="2906"/>
      <c r="K40" s="2042"/>
      <c r="L40" s="2027">
        <f t="shared" si="53"/>
        <v>4.6999999999999993E-3</v>
      </c>
      <c r="M40" s="2027">
        <f t="shared" si="53"/>
        <v>2.8000000000000004E-3</v>
      </c>
      <c r="N40" s="2027">
        <f t="shared" si="53"/>
        <v>9.1000000000000004E-3</v>
      </c>
      <c r="O40" s="2027"/>
      <c r="P40" s="2027">
        <f t="shared" si="67"/>
        <v>2.8000000000000004E-3</v>
      </c>
      <c r="Q40" s="2906"/>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6"/>
      <c r="Y40" s="2027"/>
      <c r="Z40" s="2902">
        <f t="shared" si="69"/>
        <v>4.5999999999999999E-3</v>
      </c>
      <c r="AA40" s="2903">
        <f t="shared" si="69"/>
        <v>4.1000000000000003E-3</v>
      </c>
      <c r="AB40" s="2027">
        <f t="shared" si="69"/>
        <v>0.01</v>
      </c>
      <c r="AC40" s="2904"/>
      <c r="AD40" s="2027">
        <f t="shared" si="69"/>
        <v>4.1000000000000003E-3</v>
      </c>
    </row>
    <row r="41" spans="1:30" s="2044" customFormat="1" ht="12.75">
      <c r="A41" s="2905" t="s">
        <v>2838</v>
      </c>
      <c r="B41" s="2030">
        <v>2021</v>
      </c>
      <c r="C41" s="2041">
        <v>2</v>
      </c>
      <c r="D41" s="2006"/>
      <c r="E41" s="2006">
        <v>0.55000000000000004</v>
      </c>
      <c r="F41" s="2006">
        <v>0.46</v>
      </c>
      <c r="G41" s="2006">
        <v>1.1000000000000001</v>
      </c>
      <c r="H41" s="2917"/>
      <c r="I41" s="2007">
        <f t="shared" si="52"/>
        <v>0.46</v>
      </c>
      <c r="J41" s="2906"/>
      <c r="K41" s="2042"/>
      <c r="L41" s="2027">
        <f t="shared" si="53"/>
        <v>5.5000000000000005E-3</v>
      </c>
      <c r="M41" s="2027">
        <f t="shared" si="53"/>
        <v>4.5999999999999999E-3</v>
      </c>
      <c r="N41" s="2027">
        <f t="shared" si="53"/>
        <v>1.1000000000000001E-2</v>
      </c>
      <c r="O41" s="2027"/>
      <c r="P41" s="2027">
        <f t="shared" si="67"/>
        <v>4.5999999999999999E-3</v>
      </c>
      <c r="Q41" s="2906"/>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6"/>
      <c r="Y41" s="2027"/>
      <c r="Z41" s="2902">
        <f t="shared" si="69"/>
        <v>4.4999999999999997E-3</v>
      </c>
      <c r="AA41" s="2903">
        <f t="shared" si="69"/>
        <v>4.7000000000000002E-3</v>
      </c>
      <c r="AB41" s="2027">
        <f t="shared" si="69"/>
        <v>1.04E-2</v>
      </c>
      <c r="AC41" s="2904"/>
      <c r="AD41" s="2027">
        <f t="shared" si="69"/>
        <v>4.7000000000000002E-3</v>
      </c>
    </row>
    <row r="42" spans="1:30" s="2928" customFormat="1" thickBot="1">
      <c r="A42" s="2918" t="s">
        <v>2824</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603" t="s">
        <v>452</v>
      </c>
      <c r="C1" s="3603"/>
      <c r="D1" s="3603"/>
      <c r="E1" s="3603"/>
      <c r="F1" s="3603"/>
      <c r="G1" s="3599" t="s">
        <v>453</v>
      </c>
      <c r="H1" s="3599"/>
      <c r="I1" s="3599"/>
      <c r="J1" s="3599"/>
      <c r="K1" s="3599"/>
      <c r="L1" s="3599"/>
      <c r="N1" s="3599" t="s">
        <v>454</v>
      </c>
      <c r="O1" s="3599"/>
      <c r="P1" s="3599"/>
      <c r="Q1" s="3599"/>
      <c r="S1" s="3599" t="s">
        <v>455</v>
      </c>
      <c r="T1" s="3599"/>
      <c r="U1" s="3599"/>
      <c r="V1" s="3599"/>
      <c r="X1" s="3598" t="s">
        <v>456</v>
      </c>
      <c r="Y1" s="3599"/>
      <c r="Z1" s="3599"/>
      <c r="AA1" s="3599"/>
      <c r="AB1" s="3599"/>
      <c r="AD1" s="3598" t="s">
        <v>457</v>
      </c>
      <c r="AE1" s="3599"/>
      <c r="AF1" s="3599"/>
      <c r="AG1" s="3599"/>
      <c r="AH1" s="359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0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0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0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0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60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0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0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0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0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0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0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0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60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0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0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0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60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0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0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0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60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0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0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0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60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0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0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60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60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0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0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0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60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0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0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0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60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0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0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0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60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0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0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0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60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0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0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0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60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0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0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0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60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0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0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0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60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0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0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0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60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0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0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60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60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0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0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60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45565</v>
      </c>
      <c r="D1" s="1216" t="s">
        <v>603</v>
      </c>
      <c r="E1" s="1211">
        <f>'数据-取费表'!B22</f>
        <v>2</v>
      </c>
      <c r="F1" s="1216" t="s">
        <v>604</v>
      </c>
      <c r="G1" s="1212">
        <f ca="1">INDIRECT("d"&amp;$K$1)/100</f>
        <v>3.3500000000000002E-2</v>
      </c>
      <c r="H1" s="1216" t="s">
        <v>634</v>
      </c>
      <c r="I1" s="1212">
        <f ca="1">F4/100</f>
        <v>1.4999999999999999E-2</v>
      </c>
      <c r="J1" s="1217">
        <f>IF(C1&gt;C13,0,MATCH(C1,C$13:C$113,-1))+IF(SUMIF(C13:C113,C1,D13:D113)=0,13,12)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2309</v>
      </c>
      <c r="C25" s="1206">
        <v>43697</v>
      </c>
      <c r="D25" s="2574">
        <v>4.25</v>
      </c>
      <c r="E25" s="2574">
        <v>4.25</v>
      </c>
      <c r="F25" s="2574">
        <v>4.25</v>
      </c>
      <c r="G25" s="2574">
        <v>4.25</v>
      </c>
      <c r="H25" s="2574">
        <v>4.8499999999999996</v>
      </c>
      <c r="I25" s="2574"/>
      <c r="J25" s="257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7"/>
      <c r="C26" s="2578">
        <v>42301</v>
      </c>
      <c r="D26" s="2579">
        <v>4.3499999999999996</v>
      </c>
      <c r="E26" s="2579">
        <v>4.3499999999999996</v>
      </c>
      <c r="F26" s="2579">
        <v>4.75</v>
      </c>
      <c r="G26" s="2579">
        <v>4.75</v>
      </c>
      <c r="H26" s="2579">
        <v>4.9000000000000004</v>
      </c>
      <c r="I26" s="2579"/>
      <c r="J26" s="257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33" sqref="A3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7" t="str">
        <f>IF(项目基本情况!B9="房地产市场价值","估价结果一览表","结果表-2")</f>
        <v>结果表-2</v>
      </c>
      <c r="B1" s="3267"/>
      <c r="C1" s="3267"/>
      <c r="D1" s="3267"/>
      <c r="E1" s="3267"/>
      <c r="F1" s="3267"/>
      <c r="G1" s="3267"/>
      <c r="H1" s="3267"/>
      <c r="I1" s="3267"/>
    </row>
    <row r="2" spans="1:9" ht="30" customHeight="1" thickTop="1">
      <c r="A2" s="3268" t="s">
        <v>928</v>
      </c>
      <c r="B2" s="3268" t="s">
        <v>929</v>
      </c>
      <c r="C2" s="3268" t="s">
        <v>930</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spans="1:9" ht="15">
      <c r="A3" s="3269"/>
      <c r="B3" s="3269"/>
      <c r="C3" s="3269"/>
      <c r="D3" s="801" t="s">
        <v>925</v>
      </c>
      <c r="E3" s="801" t="s">
        <v>931</v>
      </c>
      <c r="F3" s="801" t="s">
        <v>925</v>
      </c>
      <c r="G3" s="801" t="s">
        <v>926</v>
      </c>
      <c r="H3" s="801" t="s">
        <v>925</v>
      </c>
      <c r="I3" s="801" t="s">
        <v>926</v>
      </c>
    </row>
    <row r="4" spans="1:9" ht="15">
      <c r="A4" s="1402" t="str">
        <f>项目基本情况!S2</f>
        <v>北京市房地产</v>
      </c>
      <c r="B4" s="801">
        <f>项目基本情况!C17</f>
        <v>36323.870000000003</v>
      </c>
      <c r="C4" s="801">
        <f>项目基本情况!C18</f>
        <v>14295.23</v>
      </c>
      <c r="D4" s="801">
        <f ca="1">结果表!D118</f>
        <v>34679</v>
      </c>
      <c r="E4" s="801">
        <f ca="1">结果表!E118</f>
        <v>9547</v>
      </c>
      <c r="F4" s="801">
        <f ca="1">结果表!F118</f>
        <v>15800</v>
      </c>
      <c r="G4" s="801">
        <f ca="1">结果表!G118</f>
        <v>4350</v>
      </c>
      <c r="H4" s="801">
        <f ca="1">结果表!H118</f>
        <v>50479</v>
      </c>
      <c r="I4" s="801">
        <f ca="1">结果表!I118</f>
        <v>13897</v>
      </c>
    </row>
    <row r="5" spans="1:9" ht="30" customHeight="1">
      <c r="A5" s="3269" t="s">
        <v>927</v>
      </c>
      <c r="B5" s="3269"/>
      <c r="C5" s="3269"/>
      <c r="D5" s="3269" t="str">
        <f ca="1">结果表!D119</f>
        <v>叁亿肆仟陆佰柒拾玖万元整</v>
      </c>
      <c r="E5" s="3269"/>
      <c r="F5" s="3269" t="str">
        <f ca="1">结果表!F119</f>
        <v>壹亿伍仟捌佰万元整</v>
      </c>
      <c r="G5" s="3269"/>
      <c r="H5" s="3269" t="str">
        <f ca="1">结果表!H119</f>
        <v>伍亿零肆佰柒拾玖万元整</v>
      </c>
      <c r="I5" s="3269"/>
    </row>
    <row r="6" spans="1:9" ht="15.75">
      <c r="A6" s="3270" t="str">
        <f>结果表!A120</f>
        <v>估价师知悉的法定优先受偿款</v>
      </c>
      <c r="B6" s="3270"/>
      <c r="C6" s="3270"/>
      <c r="D6" s="3270">
        <f>结果表!D120</f>
        <v>0</v>
      </c>
      <c r="E6" s="3270"/>
      <c r="F6" s="3270"/>
      <c r="G6" s="3270"/>
      <c r="H6" s="3270"/>
      <c r="I6" s="3270"/>
    </row>
    <row r="7" spans="1:9" ht="15">
      <c r="A7" s="3269" t="s">
        <v>927</v>
      </c>
      <c r="B7" s="3269"/>
      <c r="C7" s="3269"/>
      <c r="D7" s="3271" t="str">
        <f>结果表!D121</f>
        <v>零元整</v>
      </c>
      <c r="E7" s="3272"/>
      <c r="F7" s="3272"/>
      <c r="G7" s="3272"/>
      <c r="H7" s="3272"/>
      <c r="I7" s="3273"/>
    </row>
    <row r="8" spans="1:9" ht="15.75">
      <c r="A8" s="3270" t="str">
        <f>结果表!A122</f>
        <v>房地产抵押价值</v>
      </c>
      <c r="B8" s="3270"/>
      <c r="C8" s="3270"/>
      <c r="D8" s="3270">
        <f ca="1">结果表!D122</f>
        <v>50479</v>
      </c>
      <c r="E8" s="3270"/>
      <c r="F8" s="3270"/>
      <c r="G8" s="3270"/>
      <c r="H8" s="3270"/>
      <c r="I8" s="3270"/>
    </row>
    <row r="9" spans="1:9" ht="15">
      <c r="A9" s="3269" t="s">
        <v>927</v>
      </c>
      <c r="B9" s="3269"/>
      <c r="C9" s="3269"/>
      <c r="D9" s="3269" t="str">
        <f ca="1">结果表!D123</f>
        <v>伍亿零肆佰柒拾玖万元整</v>
      </c>
      <c r="E9" s="3269"/>
      <c r="F9" s="3269"/>
      <c r="G9" s="3269"/>
      <c r="H9" s="3269"/>
      <c r="I9" s="3269"/>
    </row>
    <row r="10" spans="1:9" ht="15.75">
      <c r="A10" s="3270" t="str">
        <f>结果表!A124</f>
        <v/>
      </c>
      <c r="B10" s="3270"/>
      <c r="C10" s="3270"/>
      <c r="D10" s="3270" t="str">
        <f>结果表!D124</f>
        <v>——</v>
      </c>
      <c r="E10" s="3270"/>
      <c r="F10" s="3270"/>
      <c r="G10" s="3270"/>
      <c r="H10" s="3270"/>
      <c r="I10" s="3270"/>
    </row>
    <row r="11" spans="1:9" ht="15">
      <c r="A11" s="3269" t="s">
        <v>927</v>
      </c>
      <c r="B11" s="3269"/>
      <c r="C11" s="3269"/>
      <c r="D11" s="3269" t="e">
        <f>结果表!D125</f>
        <v>#VALUE!</v>
      </c>
      <c r="E11" s="3269"/>
      <c r="F11" s="3269"/>
      <c r="G11" s="3269"/>
      <c r="H11" s="3269"/>
      <c r="I11" s="3269"/>
    </row>
    <row r="12" spans="1:9" ht="15.75">
      <c r="A12" s="3270" t="str">
        <f>结果表!A126</f>
        <v/>
      </c>
      <c r="B12" s="3270"/>
      <c r="C12" s="3270"/>
      <c r="D12" s="3270" t="str">
        <f>结果表!D126</f>
        <v>——</v>
      </c>
      <c r="E12" s="3270"/>
      <c r="F12" s="3270"/>
      <c r="G12" s="3270"/>
      <c r="H12" s="3270"/>
      <c r="I12" s="3270"/>
    </row>
    <row r="13" spans="1:9" ht="15.75" thickBot="1">
      <c r="A13" s="3274" t="s">
        <v>927</v>
      </c>
      <c r="B13" s="3274"/>
      <c r="C13" s="3274"/>
      <c r="D13" s="3274" t="e">
        <f>结果表!D127</f>
        <v>#VALUE!</v>
      </c>
      <c r="E13" s="3274"/>
      <c r="F13" s="3274"/>
      <c r="G13" s="3274"/>
      <c r="H13" s="3274"/>
      <c r="I13" s="3274"/>
    </row>
    <row r="14" spans="1:9" ht="15" thickTop="1">
      <c r="A14" s="3275" t="s">
        <v>932</v>
      </c>
      <c r="B14" s="3275"/>
      <c r="C14" s="3275"/>
      <c r="D14" s="3275"/>
      <c r="E14" s="3275"/>
      <c r="F14" s="3275"/>
      <c r="G14" s="3275"/>
      <c r="H14" s="3275"/>
      <c r="I14" s="327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election activeCell="L23" sqref="L23"/>
    </sheetView>
  </sheetViews>
  <sheetFormatPr defaultRowHeight="13.5"/>
  <cols>
    <col min="1" max="1" width="20" style="3223" customWidth="1"/>
    <col min="2" max="2" width="13.25" style="3223" customWidth="1"/>
    <col min="3" max="3" width="14" style="3223" customWidth="1"/>
    <col min="4" max="4" width="12.5" style="3223" customWidth="1"/>
    <col min="5" max="5" width="16" style="3223" customWidth="1"/>
    <col min="6" max="6" width="13.5" style="3223" customWidth="1"/>
    <col min="7" max="7" width="20" style="3223" customWidth="1"/>
    <col min="8" max="8" width="14" style="3223" customWidth="1"/>
    <col min="9" max="9" width="14.875" style="3223" customWidth="1"/>
    <col min="10" max="102" width="20" style="3223" customWidth="1"/>
    <col min="103" max="16384" width="9" style="3223"/>
  </cols>
  <sheetData>
    <row r="1" spans="1:11">
      <c r="A1" s="3609" t="s">
        <v>3896</v>
      </c>
      <c r="B1" s="3609"/>
      <c r="C1" s="3609"/>
      <c r="D1" s="3609"/>
      <c r="E1" s="3609"/>
      <c r="F1" s="3609"/>
      <c r="G1" s="3609"/>
      <c r="H1" s="3609"/>
      <c r="I1" s="3609"/>
      <c r="J1" s="3609"/>
      <c r="K1" s="3609"/>
    </row>
    <row r="2" spans="1:11">
      <c r="A2" s="3223" t="s">
        <v>3897</v>
      </c>
      <c r="B2" s="3223" t="s">
        <v>3898</v>
      </c>
      <c r="C2" s="3223" t="s">
        <v>3899</v>
      </c>
      <c r="D2" s="3223" t="s">
        <v>3900</v>
      </c>
      <c r="E2" s="3223" t="s">
        <v>3901</v>
      </c>
      <c r="F2" s="3223" t="s">
        <v>3902</v>
      </c>
      <c r="G2" s="3223" t="s">
        <v>3903</v>
      </c>
      <c r="H2" s="3223" t="s">
        <v>3904</v>
      </c>
      <c r="I2" s="3223" t="s">
        <v>3905</v>
      </c>
      <c r="J2" s="3223" t="s">
        <v>3906</v>
      </c>
      <c r="K2" s="3223" t="s">
        <v>3907</v>
      </c>
    </row>
    <row r="3" spans="1:11" s="3224" customFormat="1">
      <c r="A3" s="3224" t="s">
        <v>3986</v>
      </c>
      <c r="B3" s="3224" t="s">
        <v>3909</v>
      </c>
      <c r="C3" s="3224" t="s">
        <v>3910</v>
      </c>
      <c r="D3" s="3224">
        <v>114</v>
      </c>
      <c r="E3" s="3224">
        <v>13664</v>
      </c>
      <c r="F3" s="3224">
        <v>24602</v>
      </c>
      <c r="G3" s="3224">
        <v>33616.15</v>
      </c>
      <c r="H3" s="3224" t="s">
        <v>633</v>
      </c>
      <c r="I3" s="3224" t="s">
        <v>633</v>
      </c>
      <c r="J3" s="3224">
        <v>140</v>
      </c>
      <c r="K3" s="3224">
        <v>13765</v>
      </c>
    </row>
    <row r="4" spans="1:11" s="3225" customFormat="1" ht="14.25">
      <c r="A4" s="3225" t="s">
        <v>3911</v>
      </c>
      <c r="B4" s="3225" t="s">
        <v>3909</v>
      </c>
      <c r="C4" s="3225" t="s">
        <v>3910</v>
      </c>
      <c r="D4" s="3225">
        <v>102</v>
      </c>
      <c r="E4" s="3225">
        <v>12237</v>
      </c>
      <c r="F4" s="3225">
        <v>28402</v>
      </c>
      <c r="G4" s="3225">
        <v>34755.019999999997</v>
      </c>
      <c r="H4" s="3225">
        <v>335</v>
      </c>
      <c r="I4" s="3225">
        <v>40487</v>
      </c>
      <c r="J4" s="3225">
        <v>243</v>
      </c>
      <c r="K4" s="3225">
        <v>29469</v>
      </c>
    </row>
    <row r="5" spans="1:11">
      <c r="A5" s="3223" t="s">
        <v>3912</v>
      </c>
      <c r="B5" s="3223" t="s">
        <v>3909</v>
      </c>
      <c r="C5" s="3223" t="s">
        <v>3910</v>
      </c>
      <c r="D5" s="3223">
        <v>80</v>
      </c>
      <c r="E5" s="3223">
        <v>11356</v>
      </c>
      <c r="F5" s="3223">
        <v>33571</v>
      </c>
      <c r="G5" s="3223">
        <v>38124.31</v>
      </c>
      <c r="H5" s="3223" t="s">
        <v>633</v>
      </c>
      <c r="I5" s="3223" t="s">
        <v>633</v>
      </c>
      <c r="J5" s="3223">
        <v>19</v>
      </c>
      <c r="K5" s="3223">
        <v>2847</v>
      </c>
    </row>
    <row r="6" spans="1:11" s="3224" customFormat="1">
      <c r="A6" s="3224" t="s">
        <v>3913</v>
      </c>
      <c r="B6" s="3224" t="s">
        <v>3909</v>
      </c>
      <c r="C6" s="3224" t="s">
        <v>3910</v>
      </c>
      <c r="D6" s="3224">
        <v>22</v>
      </c>
      <c r="E6" s="3224">
        <v>4021</v>
      </c>
      <c r="F6" s="3224">
        <v>28189</v>
      </c>
      <c r="G6" s="3224">
        <v>11334.79</v>
      </c>
      <c r="H6" s="3224" t="s">
        <v>633</v>
      </c>
      <c r="I6" s="3224" t="s">
        <v>633</v>
      </c>
      <c r="J6" s="3224">
        <v>9</v>
      </c>
      <c r="K6" s="3224">
        <v>1669</v>
      </c>
    </row>
    <row r="7" spans="1:11" s="3224" customFormat="1">
      <c r="A7" s="3224" t="s">
        <v>3914</v>
      </c>
      <c r="B7" s="3224" t="s">
        <v>3909</v>
      </c>
      <c r="C7" s="3224" t="s">
        <v>3910</v>
      </c>
      <c r="D7" s="3224">
        <v>8</v>
      </c>
      <c r="E7" s="3224">
        <v>1343</v>
      </c>
      <c r="F7" s="3224">
        <v>28343</v>
      </c>
      <c r="G7" s="3224">
        <v>3806.3</v>
      </c>
      <c r="H7" s="3224" t="s">
        <v>633</v>
      </c>
      <c r="I7" s="3224" t="s">
        <v>633</v>
      </c>
      <c r="J7" s="3224" t="s">
        <v>633</v>
      </c>
      <c r="K7" s="3224" t="s">
        <v>633</v>
      </c>
    </row>
    <row r="8" spans="1:11">
      <c r="A8" s="3223" t="s">
        <v>3915</v>
      </c>
      <c r="B8" s="3223" t="s">
        <v>3909</v>
      </c>
      <c r="C8" s="3223" t="s">
        <v>3916</v>
      </c>
      <c r="D8" s="3223">
        <v>8</v>
      </c>
      <c r="E8" s="3223">
        <v>848</v>
      </c>
      <c r="F8" s="3223">
        <v>22573</v>
      </c>
      <c r="G8" s="3223">
        <v>1914.74</v>
      </c>
      <c r="H8" s="3223" t="s">
        <v>633</v>
      </c>
      <c r="I8" s="3223" t="s">
        <v>633</v>
      </c>
      <c r="J8" s="3223">
        <v>4</v>
      </c>
      <c r="K8" s="3223">
        <v>403</v>
      </c>
    </row>
    <row r="9" spans="1:11">
      <c r="A9" s="3223" t="s">
        <v>3917</v>
      </c>
      <c r="B9" s="3223" t="s">
        <v>3909</v>
      </c>
      <c r="C9" s="3223" t="s">
        <v>3918</v>
      </c>
      <c r="D9" s="3223" t="s">
        <v>633</v>
      </c>
      <c r="E9" s="3223" t="s">
        <v>633</v>
      </c>
      <c r="F9" s="3223" t="s">
        <v>633</v>
      </c>
      <c r="G9" s="3223" t="s">
        <v>633</v>
      </c>
      <c r="H9" s="3223" t="s">
        <v>633</v>
      </c>
      <c r="I9" s="3223" t="s">
        <v>633</v>
      </c>
      <c r="J9" s="3223">
        <v>8</v>
      </c>
      <c r="K9" s="3223">
        <v>2310</v>
      </c>
    </row>
  </sheetData>
  <mergeCells count="1">
    <mergeCell ref="A1:K1"/>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F9" activeCellId="1" sqref="F6:F7 F9"/>
    </sheetView>
  </sheetViews>
  <sheetFormatPr defaultRowHeight="13.5"/>
  <cols>
    <col min="1" max="1" width="20" style="3223" customWidth="1"/>
    <col min="2" max="2" width="11.25" style="3223" customWidth="1"/>
    <col min="3" max="3" width="12.625" style="3223" customWidth="1"/>
    <col min="4" max="4" width="14.375" style="3223" customWidth="1"/>
    <col min="5" max="5" width="14.75" style="3223" customWidth="1"/>
    <col min="6" max="6" width="15.125" style="3223" customWidth="1"/>
    <col min="7" max="7" width="17.5" style="3223" customWidth="1"/>
    <col min="8" max="93" width="20" style="3223" customWidth="1"/>
    <col min="94" max="16384" width="9" style="3223"/>
  </cols>
  <sheetData>
    <row r="1" spans="1:9" s="3226" customFormat="1">
      <c r="A1" s="3609" t="s">
        <v>3919</v>
      </c>
      <c r="B1" s="3609"/>
      <c r="C1" s="3609"/>
      <c r="D1" s="3609"/>
      <c r="E1" s="3609"/>
      <c r="F1" s="3609"/>
      <c r="G1" s="3609"/>
      <c r="H1" s="3609"/>
      <c r="I1" s="3609"/>
    </row>
    <row r="2" spans="1:9">
      <c r="A2" s="3223" t="s">
        <v>3897</v>
      </c>
      <c r="B2" s="3223" t="s">
        <v>3898</v>
      </c>
      <c r="C2" s="3223" t="s">
        <v>3899</v>
      </c>
      <c r="D2" s="3223" t="s">
        <v>3900</v>
      </c>
      <c r="E2" s="3223" t="s">
        <v>3901</v>
      </c>
      <c r="F2" s="3223" t="s">
        <v>3902</v>
      </c>
      <c r="G2" s="3223" t="s">
        <v>3903</v>
      </c>
      <c r="H2" s="3223" t="s">
        <v>3904</v>
      </c>
      <c r="I2" s="3223" t="s">
        <v>3905</v>
      </c>
    </row>
    <row r="3" spans="1:9">
      <c r="A3" s="3223" t="s">
        <v>3915</v>
      </c>
      <c r="B3" s="3223" t="s">
        <v>3909</v>
      </c>
      <c r="C3" s="3223" t="s">
        <v>3916</v>
      </c>
      <c r="D3" s="3223">
        <v>75</v>
      </c>
      <c r="E3" s="3223">
        <v>1346</v>
      </c>
      <c r="F3" s="3223">
        <v>1633</v>
      </c>
      <c r="G3" s="3223">
        <v>219.77</v>
      </c>
      <c r="H3" s="3223" t="s">
        <v>633</v>
      </c>
      <c r="I3" s="3223" t="s">
        <v>633</v>
      </c>
    </row>
    <row r="4" spans="1:9">
      <c r="A4" s="3223" t="s">
        <v>3912</v>
      </c>
      <c r="B4" s="3223" t="s">
        <v>3909</v>
      </c>
      <c r="C4" s="3223" t="s">
        <v>3910</v>
      </c>
      <c r="D4" s="3223">
        <v>55</v>
      </c>
      <c r="E4" s="3223">
        <v>700</v>
      </c>
      <c r="F4" s="3223">
        <v>7012</v>
      </c>
      <c r="G4" s="3223">
        <v>490.9</v>
      </c>
      <c r="H4" s="3223" t="s">
        <v>633</v>
      </c>
      <c r="I4" s="3223" t="s">
        <v>633</v>
      </c>
    </row>
    <row r="5" spans="1:9">
      <c r="A5" s="3223" t="s">
        <v>3920</v>
      </c>
      <c r="B5" s="3223" t="s">
        <v>3909</v>
      </c>
      <c r="C5" s="3223" t="s">
        <v>3910</v>
      </c>
      <c r="D5" s="3223">
        <v>32</v>
      </c>
      <c r="E5" s="3223">
        <v>522</v>
      </c>
      <c r="F5" s="3223">
        <v>3063</v>
      </c>
      <c r="G5" s="3223">
        <v>159.94</v>
      </c>
      <c r="H5" s="3223" t="s">
        <v>633</v>
      </c>
      <c r="I5" s="3223" t="s">
        <v>633</v>
      </c>
    </row>
    <row r="6" spans="1:9" s="3224" customFormat="1">
      <c r="A6" s="3224" t="s">
        <v>3914</v>
      </c>
      <c r="B6" s="3224" t="s">
        <v>3909</v>
      </c>
      <c r="C6" s="3224" t="s">
        <v>3910</v>
      </c>
      <c r="D6" s="3224">
        <v>14</v>
      </c>
      <c r="E6" s="3224">
        <v>390</v>
      </c>
      <c r="F6" s="3224">
        <v>5221</v>
      </c>
      <c r="G6" s="3224">
        <v>203.63</v>
      </c>
      <c r="H6" s="3224" t="s">
        <v>633</v>
      </c>
      <c r="I6" s="3224" t="s">
        <v>633</v>
      </c>
    </row>
    <row r="7" spans="1:9" s="3224" customFormat="1">
      <c r="A7" s="3224" t="s">
        <v>3908</v>
      </c>
      <c r="B7" s="3224" t="s">
        <v>3909</v>
      </c>
      <c r="C7" s="3224" t="s">
        <v>3910</v>
      </c>
      <c r="D7" s="3224">
        <v>8</v>
      </c>
      <c r="E7" s="3224">
        <v>316</v>
      </c>
      <c r="F7" s="3224">
        <v>5386</v>
      </c>
      <c r="G7" s="3224">
        <v>170.31</v>
      </c>
      <c r="H7" s="3224">
        <v>224</v>
      </c>
      <c r="I7" s="3224">
        <v>4827</v>
      </c>
    </row>
    <row r="8" spans="1:9">
      <c r="A8" s="3223" t="s">
        <v>3921</v>
      </c>
      <c r="B8" s="3223" t="s">
        <v>3909</v>
      </c>
      <c r="C8" s="3223" t="s">
        <v>3922</v>
      </c>
      <c r="D8" s="3223">
        <v>3</v>
      </c>
      <c r="E8" s="3223">
        <v>85</v>
      </c>
      <c r="F8" s="3223">
        <v>2500</v>
      </c>
      <c r="G8" s="3223">
        <v>21.13</v>
      </c>
      <c r="H8" s="3223" t="s">
        <v>633</v>
      </c>
      <c r="I8" s="3223" t="s">
        <v>633</v>
      </c>
    </row>
    <row r="9" spans="1:9" s="3224" customFormat="1">
      <c r="A9" s="3224" t="s">
        <v>3913</v>
      </c>
      <c r="B9" s="3224" t="s">
        <v>3909</v>
      </c>
      <c r="C9" s="3224" t="s">
        <v>3910</v>
      </c>
      <c r="D9" s="3224">
        <v>1</v>
      </c>
      <c r="E9" s="3224">
        <v>20</v>
      </c>
      <c r="F9" s="3224">
        <v>6205</v>
      </c>
      <c r="G9" s="3224">
        <v>12.33</v>
      </c>
      <c r="H9" s="3224" t="s">
        <v>633</v>
      </c>
      <c r="I9" s="3224" t="s">
        <v>633</v>
      </c>
    </row>
    <row r="10" spans="1:9">
      <c r="A10" s="3223" t="s">
        <v>3911</v>
      </c>
      <c r="B10" s="3223" t="s">
        <v>3909</v>
      </c>
      <c r="C10" s="3223" t="s">
        <v>3910</v>
      </c>
      <c r="D10" s="3223" t="s">
        <v>633</v>
      </c>
      <c r="E10" s="3223" t="s">
        <v>633</v>
      </c>
      <c r="F10" s="3223" t="s">
        <v>633</v>
      </c>
      <c r="G10" s="3223" t="s">
        <v>633</v>
      </c>
      <c r="H10" s="3223">
        <v>117</v>
      </c>
      <c r="I10" s="3223">
        <v>2354</v>
      </c>
    </row>
  </sheetData>
  <mergeCells count="1">
    <mergeCell ref="A1:I1"/>
  </mergeCells>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workbookViewId="0">
      <selection activeCell="F10" activeCellId="1" sqref="F5:F6 F10"/>
    </sheetView>
  </sheetViews>
  <sheetFormatPr defaultRowHeight="13.5"/>
  <cols>
    <col min="1" max="1" width="20" style="3226" customWidth="1"/>
    <col min="2" max="3" width="10.625" style="3226" customWidth="1"/>
    <col min="4" max="4" width="10.25" style="3226" customWidth="1"/>
    <col min="5" max="5" width="14.25" style="3226" customWidth="1"/>
    <col min="6" max="6" width="11.625" style="3226" customWidth="1"/>
    <col min="7" max="7" width="15" style="3226" customWidth="1"/>
    <col min="8" max="8" width="14.5" style="3226" customWidth="1"/>
    <col min="9" max="9" width="10.5" style="3226" customWidth="1"/>
    <col min="10" max="10" width="12.125" style="3226" customWidth="1"/>
    <col min="11" max="11" width="11.5" style="3226" customWidth="1"/>
    <col min="12" max="12" width="11.875" style="3226" customWidth="1"/>
    <col min="13" max="13" width="11.5" style="3226" customWidth="1"/>
    <col min="14" max="113" width="20" style="3226" customWidth="1"/>
    <col min="114" max="16384" width="9" style="3226"/>
  </cols>
  <sheetData>
    <row r="1" spans="1:13">
      <c r="A1" s="3609" t="s">
        <v>3923</v>
      </c>
      <c r="B1" s="3609"/>
      <c r="C1" s="3609"/>
      <c r="D1" s="3609"/>
      <c r="E1" s="3609"/>
      <c r="F1" s="3609"/>
      <c r="G1" s="3609"/>
      <c r="H1" s="3609"/>
      <c r="I1" s="3609"/>
      <c r="J1" s="3609"/>
      <c r="K1" s="3609"/>
    </row>
    <row r="2" spans="1:13">
      <c r="A2" s="3226" t="s">
        <v>3897</v>
      </c>
      <c r="B2" s="3226" t="s">
        <v>3898</v>
      </c>
      <c r="C2" s="3226" t="s">
        <v>3899</v>
      </c>
      <c r="D2" s="3226" t="s">
        <v>3900</v>
      </c>
      <c r="E2" s="3226" t="s">
        <v>3901</v>
      </c>
      <c r="F2" s="3226" t="s">
        <v>3902</v>
      </c>
      <c r="G2" s="3226" t="s">
        <v>3903</v>
      </c>
      <c r="H2" s="3226" t="s">
        <v>3904</v>
      </c>
      <c r="I2" s="3226" t="s">
        <v>3905</v>
      </c>
      <c r="J2" s="3226" t="s">
        <v>3906</v>
      </c>
      <c r="K2" s="3226" t="s">
        <v>3907</v>
      </c>
      <c r="L2" s="3226" t="s">
        <v>3924</v>
      </c>
      <c r="M2" s="3226" t="s">
        <v>3925</v>
      </c>
    </row>
    <row r="3" spans="1:13">
      <c r="A3" s="3226" t="s">
        <v>3926</v>
      </c>
      <c r="B3" s="3226" t="s">
        <v>3909</v>
      </c>
      <c r="C3" s="3226" t="s">
        <v>3910</v>
      </c>
      <c r="D3" s="3226">
        <v>342</v>
      </c>
      <c r="E3" s="3226">
        <v>11595</v>
      </c>
      <c r="F3" s="3226">
        <v>2000</v>
      </c>
      <c r="G3" s="3226">
        <v>2318.96</v>
      </c>
      <c r="H3" s="3226" t="s">
        <v>633</v>
      </c>
      <c r="I3" s="3226" t="s">
        <v>633</v>
      </c>
      <c r="J3" s="3226">
        <v>1024</v>
      </c>
      <c r="K3" s="3226">
        <v>34840</v>
      </c>
      <c r="L3" s="3226">
        <f>ROUND(E3/D3,0)</f>
        <v>34</v>
      </c>
      <c r="M3" s="3226">
        <f>ROUND(G3/D3*10000,0)</f>
        <v>67806</v>
      </c>
    </row>
    <row r="4" spans="1:13">
      <c r="A4" s="3226" t="s">
        <v>3915</v>
      </c>
      <c r="B4" s="3226" t="s">
        <v>3909</v>
      </c>
      <c r="C4" s="3226" t="s">
        <v>3916</v>
      </c>
      <c r="D4" s="3226">
        <v>177</v>
      </c>
      <c r="E4" s="3226">
        <v>4801</v>
      </c>
      <c r="F4" s="3226">
        <v>3951</v>
      </c>
      <c r="G4" s="3226">
        <v>1896.62</v>
      </c>
      <c r="H4" s="3226">
        <v>274</v>
      </c>
      <c r="I4" s="3226">
        <v>7149</v>
      </c>
      <c r="J4" s="3226">
        <v>142</v>
      </c>
      <c r="K4" s="3226">
        <v>3724</v>
      </c>
      <c r="L4" s="3226">
        <f t="shared" ref="L4:L10" si="0">ROUND(E4/D4,0)</f>
        <v>27</v>
      </c>
      <c r="M4" s="3226">
        <f t="shared" ref="M4:M10" si="1">ROUND(G4/D4*10000,0)</f>
        <v>107154</v>
      </c>
    </row>
    <row r="5" spans="1:13">
      <c r="A5" s="3227" t="s">
        <v>3912</v>
      </c>
      <c r="B5" s="3227" t="s">
        <v>3909</v>
      </c>
      <c r="C5" s="3227" t="s">
        <v>3910</v>
      </c>
      <c r="D5" s="3227">
        <v>120</v>
      </c>
      <c r="E5" s="3227">
        <v>3941</v>
      </c>
      <c r="F5" s="3227">
        <v>6469</v>
      </c>
      <c r="G5" s="3227">
        <v>2549.6</v>
      </c>
      <c r="H5" s="3227" t="s">
        <v>633</v>
      </c>
      <c r="I5" s="3227" t="s">
        <v>633</v>
      </c>
      <c r="J5" s="3227">
        <v>34</v>
      </c>
      <c r="K5" s="3227">
        <v>1126</v>
      </c>
      <c r="L5" s="3227">
        <f t="shared" si="0"/>
        <v>33</v>
      </c>
      <c r="M5" s="3227">
        <f t="shared" si="1"/>
        <v>212467</v>
      </c>
    </row>
    <row r="6" spans="1:13">
      <c r="A6" s="3227" t="s">
        <v>3914</v>
      </c>
      <c r="B6" s="3227" t="s">
        <v>3909</v>
      </c>
      <c r="C6" s="3227" t="s">
        <v>3910</v>
      </c>
      <c r="D6" s="3227">
        <v>79</v>
      </c>
      <c r="E6" s="3227">
        <v>2453</v>
      </c>
      <c r="F6" s="3227">
        <v>7400</v>
      </c>
      <c r="G6" s="3227">
        <v>1815.3</v>
      </c>
      <c r="H6" s="3227" t="s">
        <v>633</v>
      </c>
      <c r="I6" s="3227" t="s">
        <v>633</v>
      </c>
      <c r="J6" s="3227">
        <v>43</v>
      </c>
      <c r="K6" s="3227">
        <v>1339</v>
      </c>
      <c r="L6" s="3227">
        <f t="shared" si="0"/>
        <v>31</v>
      </c>
      <c r="M6" s="3227">
        <f t="shared" si="1"/>
        <v>229785</v>
      </c>
    </row>
    <row r="7" spans="1:13">
      <c r="A7" s="3226" t="s">
        <v>3908</v>
      </c>
      <c r="B7" s="3226" t="s">
        <v>3909</v>
      </c>
      <c r="C7" s="3226" t="s">
        <v>3910</v>
      </c>
      <c r="D7" s="3226">
        <v>38</v>
      </c>
      <c r="E7" s="3226">
        <v>1388</v>
      </c>
      <c r="F7" s="3226">
        <v>4034</v>
      </c>
      <c r="G7" s="3226">
        <v>560</v>
      </c>
      <c r="H7" s="3226" t="s">
        <v>633</v>
      </c>
      <c r="I7" s="3226" t="s">
        <v>633</v>
      </c>
      <c r="J7" s="3226">
        <v>235</v>
      </c>
      <c r="K7" s="3226">
        <v>8884</v>
      </c>
      <c r="L7" s="3226">
        <f t="shared" si="0"/>
        <v>37</v>
      </c>
      <c r="M7" s="3226">
        <f t="shared" si="1"/>
        <v>147368</v>
      </c>
    </row>
    <row r="8" spans="1:13">
      <c r="A8" s="3226" t="s">
        <v>3920</v>
      </c>
      <c r="B8" s="3226" t="s">
        <v>3909</v>
      </c>
      <c r="C8" s="3226" t="s">
        <v>3910</v>
      </c>
      <c r="D8" s="3226">
        <v>28</v>
      </c>
      <c r="E8" s="3226">
        <v>843</v>
      </c>
      <c r="F8" s="3226">
        <v>4163</v>
      </c>
      <c r="G8" s="3226">
        <v>350.81</v>
      </c>
      <c r="H8" s="3226" t="s">
        <v>633</v>
      </c>
      <c r="I8" s="3226" t="s">
        <v>633</v>
      </c>
      <c r="J8" s="3226">
        <v>665</v>
      </c>
      <c r="K8" s="3226">
        <v>19142</v>
      </c>
      <c r="L8" s="3226">
        <f t="shared" si="0"/>
        <v>30</v>
      </c>
      <c r="M8" s="3226">
        <f t="shared" si="1"/>
        <v>125289</v>
      </c>
    </row>
    <row r="9" spans="1:13">
      <c r="A9" s="3226" t="s">
        <v>3927</v>
      </c>
      <c r="B9" s="3226" t="s">
        <v>3909</v>
      </c>
      <c r="C9" s="3226" t="s">
        <v>3910</v>
      </c>
      <c r="D9" s="3226">
        <v>25</v>
      </c>
      <c r="E9" s="3226">
        <v>1160</v>
      </c>
      <c r="F9" s="3226">
        <v>3474</v>
      </c>
      <c r="G9" s="3226">
        <v>403</v>
      </c>
      <c r="H9" s="3226" t="s">
        <v>633</v>
      </c>
      <c r="I9" s="3226" t="s">
        <v>633</v>
      </c>
      <c r="J9" s="3226">
        <v>181</v>
      </c>
      <c r="K9" s="3226">
        <v>8132</v>
      </c>
      <c r="L9" s="3226">
        <f t="shared" si="0"/>
        <v>46</v>
      </c>
      <c r="M9" s="3226">
        <f t="shared" si="1"/>
        <v>161200</v>
      </c>
    </row>
    <row r="10" spans="1:13" s="3227" customFormat="1">
      <c r="A10" s="3227" t="s">
        <v>3913</v>
      </c>
      <c r="B10" s="3227" t="s">
        <v>3909</v>
      </c>
      <c r="C10" s="3227" t="s">
        <v>3910</v>
      </c>
      <c r="D10" s="3227">
        <v>3</v>
      </c>
      <c r="E10" s="3227">
        <v>102</v>
      </c>
      <c r="F10" s="3227">
        <v>6271</v>
      </c>
      <c r="G10" s="3227">
        <v>64</v>
      </c>
      <c r="H10" s="3227" t="s">
        <v>633</v>
      </c>
      <c r="I10" s="3227" t="s">
        <v>633</v>
      </c>
      <c r="J10" s="3227">
        <v>222</v>
      </c>
      <c r="K10" s="3227">
        <v>7626</v>
      </c>
      <c r="L10" s="3227">
        <f t="shared" si="0"/>
        <v>34</v>
      </c>
      <c r="M10" s="3227">
        <f t="shared" si="1"/>
        <v>213333</v>
      </c>
    </row>
  </sheetData>
  <mergeCells count="1">
    <mergeCell ref="A1:K1"/>
  </mergeCells>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4" sqref="F4:F7"/>
    </sheetView>
  </sheetViews>
  <sheetFormatPr defaultRowHeight="13.5"/>
  <cols>
    <col min="1" max="1" width="20" style="3228" customWidth="1"/>
    <col min="2" max="2" width="9.625" style="3228" customWidth="1"/>
    <col min="3" max="3" width="12.75" style="3228" customWidth="1"/>
    <col min="4" max="4" width="8.875" style="3228" customWidth="1"/>
    <col min="5" max="5" width="14.75" style="3228" customWidth="1"/>
    <col min="6" max="6" width="10.5" style="3228" customWidth="1"/>
    <col min="7" max="7" width="15.625" style="3228" customWidth="1"/>
    <col min="8" max="8" width="12.25" style="3228" customWidth="1"/>
    <col min="9" max="9" width="14.125" style="3228" customWidth="1"/>
    <col min="10" max="75" width="20" style="3228" customWidth="1"/>
    <col min="76" max="16384" width="9" style="3228"/>
  </cols>
  <sheetData>
    <row r="1" spans="1:9">
      <c r="A1" s="3610" t="s">
        <v>3928</v>
      </c>
      <c r="B1" s="3610"/>
      <c r="C1" s="3610"/>
      <c r="D1" s="3610"/>
      <c r="E1" s="3610"/>
      <c r="F1" s="3610"/>
      <c r="G1" s="3610"/>
      <c r="H1" s="3610"/>
      <c r="I1" s="3610"/>
    </row>
    <row r="2" spans="1:9">
      <c r="A2" s="3228" t="s">
        <v>3897</v>
      </c>
      <c r="B2" s="3228" t="s">
        <v>3898</v>
      </c>
      <c r="C2" s="3228" t="s">
        <v>3899</v>
      </c>
      <c r="D2" s="3228" t="s">
        <v>3900</v>
      </c>
      <c r="E2" s="3228" t="s">
        <v>3901</v>
      </c>
      <c r="F2" s="3228" t="s">
        <v>3902</v>
      </c>
      <c r="G2" s="3228" t="s">
        <v>3903</v>
      </c>
      <c r="H2" s="3228" t="s">
        <v>3906</v>
      </c>
      <c r="I2" s="3228" t="s">
        <v>3907</v>
      </c>
    </row>
    <row r="3" spans="1:9" s="3229" customFormat="1">
      <c r="A3" s="3229" t="s">
        <v>3911</v>
      </c>
      <c r="B3" s="3229" t="s">
        <v>3909</v>
      </c>
      <c r="C3" s="3229" t="s">
        <v>3910</v>
      </c>
      <c r="D3" s="3229">
        <v>101</v>
      </c>
      <c r="E3" s="3229">
        <v>12096</v>
      </c>
      <c r="F3" s="3229">
        <v>28397</v>
      </c>
      <c r="G3" s="3229">
        <v>34350.400000000001</v>
      </c>
      <c r="H3" s="3229">
        <v>243</v>
      </c>
      <c r="I3" s="3229">
        <v>29469</v>
      </c>
    </row>
    <row r="4" spans="1:9">
      <c r="A4" s="3228" t="s">
        <v>3908</v>
      </c>
      <c r="B4" s="3228" t="s">
        <v>3909</v>
      </c>
      <c r="C4" s="3228" t="s">
        <v>3910</v>
      </c>
      <c r="D4" s="3228">
        <v>55</v>
      </c>
      <c r="E4" s="3228">
        <v>6601</v>
      </c>
      <c r="F4" s="3228">
        <v>24180</v>
      </c>
      <c r="G4" s="3228">
        <v>15961.76</v>
      </c>
      <c r="H4" s="3228">
        <v>140</v>
      </c>
      <c r="I4" s="3228">
        <v>13765</v>
      </c>
    </row>
    <row r="5" spans="1:9">
      <c r="A5" s="3228" t="s">
        <v>3912</v>
      </c>
      <c r="B5" s="3228" t="s">
        <v>3909</v>
      </c>
      <c r="C5" s="3228" t="s">
        <v>3910</v>
      </c>
      <c r="D5" s="3228">
        <v>51</v>
      </c>
      <c r="E5" s="3228">
        <v>7195</v>
      </c>
      <c r="F5" s="3228">
        <v>33399</v>
      </c>
      <c r="G5" s="3228">
        <v>24029.11</v>
      </c>
      <c r="H5" s="3228">
        <v>19</v>
      </c>
      <c r="I5" s="3228">
        <v>2847</v>
      </c>
    </row>
    <row r="6" spans="1:9">
      <c r="A6" s="3228" t="s">
        <v>3913</v>
      </c>
      <c r="B6" s="3228" t="s">
        <v>3909</v>
      </c>
      <c r="C6" s="3228" t="s">
        <v>3910</v>
      </c>
      <c r="D6" s="3228">
        <v>19</v>
      </c>
      <c r="E6" s="3228">
        <v>3504</v>
      </c>
      <c r="F6" s="3228">
        <v>28050</v>
      </c>
      <c r="G6" s="3228">
        <v>9829.2800000000007</v>
      </c>
      <c r="H6" s="3228">
        <v>9</v>
      </c>
      <c r="I6" s="3228">
        <v>1669</v>
      </c>
    </row>
    <row r="7" spans="1:9">
      <c r="A7" s="3228" t="s">
        <v>3915</v>
      </c>
      <c r="B7" s="3228" t="s">
        <v>3909</v>
      </c>
      <c r="C7" s="3228" t="s">
        <v>3916</v>
      </c>
      <c r="D7" s="3228">
        <v>1</v>
      </c>
      <c r="E7" s="3228">
        <v>89</v>
      </c>
      <c r="F7" s="3228">
        <v>21618</v>
      </c>
      <c r="G7" s="3228">
        <v>192.79</v>
      </c>
      <c r="H7" s="3228">
        <v>4</v>
      </c>
      <c r="I7" s="3228">
        <v>403</v>
      </c>
    </row>
    <row r="8" spans="1:9">
      <c r="A8" s="3228" t="s">
        <v>3917</v>
      </c>
      <c r="B8" s="3228" t="s">
        <v>3909</v>
      </c>
      <c r="C8" s="3228" t="s">
        <v>3918</v>
      </c>
      <c r="D8" s="3228" t="s">
        <v>633</v>
      </c>
      <c r="E8" s="3228" t="s">
        <v>633</v>
      </c>
      <c r="F8" s="3228" t="s">
        <v>633</v>
      </c>
      <c r="G8" s="3228" t="s">
        <v>633</v>
      </c>
      <c r="H8" s="3228">
        <v>8</v>
      </c>
      <c r="I8" s="3228">
        <v>2310</v>
      </c>
    </row>
  </sheetData>
  <mergeCells count="1">
    <mergeCell ref="A1:I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E15" sqref="E15"/>
    </sheetView>
  </sheetViews>
  <sheetFormatPr defaultRowHeight="13.5"/>
  <cols>
    <col min="1" max="1" width="20" style="3228" customWidth="1"/>
    <col min="2" max="2" width="11.625" style="3228" customWidth="1"/>
    <col min="3" max="3" width="14.125" style="3228" customWidth="1"/>
    <col min="4" max="4" width="10.125" style="3228" customWidth="1"/>
    <col min="5" max="5" width="14.125" style="3228" customWidth="1"/>
    <col min="6" max="6" width="10.125" style="3228" customWidth="1"/>
    <col min="7" max="7" width="13.375" style="3228" customWidth="1"/>
    <col min="8" max="8" width="16" style="3228" customWidth="1"/>
    <col min="9" max="9" width="16.75" style="3228" customWidth="1"/>
    <col min="10" max="66" width="20" style="3228" customWidth="1"/>
    <col min="67" max="16384" width="9" style="3228"/>
  </cols>
  <sheetData>
    <row r="1" spans="1:9">
      <c r="A1" s="3610" t="s">
        <v>3929</v>
      </c>
      <c r="B1" s="3610"/>
      <c r="C1" s="3610"/>
      <c r="D1" s="3610"/>
      <c r="E1" s="3610"/>
      <c r="F1" s="3610"/>
      <c r="G1" s="3610"/>
      <c r="H1" s="3610"/>
      <c r="I1" s="3610"/>
    </row>
    <row r="2" spans="1:9">
      <c r="A2" s="3228" t="s">
        <v>3897</v>
      </c>
      <c r="B2" s="3228" t="s">
        <v>3898</v>
      </c>
      <c r="C2" s="3228" t="s">
        <v>3899</v>
      </c>
      <c r="D2" s="3228" t="s">
        <v>3900</v>
      </c>
      <c r="E2" s="3228" t="s">
        <v>3901</v>
      </c>
      <c r="F2" s="3228" t="s">
        <v>3902</v>
      </c>
      <c r="G2" s="3228" t="s">
        <v>3903</v>
      </c>
      <c r="H2" s="3228" t="s">
        <v>3904</v>
      </c>
      <c r="I2" s="3228" t="s">
        <v>3905</v>
      </c>
    </row>
    <row r="3" spans="1:9">
      <c r="A3" s="3228" t="s">
        <v>3915</v>
      </c>
      <c r="B3" s="3228" t="s">
        <v>3909</v>
      </c>
      <c r="C3" s="3228" t="s">
        <v>3916</v>
      </c>
      <c r="D3" s="3228">
        <v>70</v>
      </c>
      <c r="E3" s="3228">
        <v>1209</v>
      </c>
      <c r="F3" s="3228">
        <v>1472</v>
      </c>
      <c r="G3" s="3228">
        <v>177.97</v>
      </c>
      <c r="H3" s="3228" t="s">
        <v>633</v>
      </c>
      <c r="I3" s="3228" t="s">
        <v>633</v>
      </c>
    </row>
    <row r="4" spans="1:9">
      <c r="A4" s="3228" t="s">
        <v>3920</v>
      </c>
      <c r="B4" s="3228" t="s">
        <v>3909</v>
      </c>
      <c r="C4" s="3228" t="s">
        <v>3910</v>
      </c>
      <c r="D4" s="3228">
        <v>24</v>
      </c>
      <c r="E4" s="3228">
        <v>394</v>
      </c>
      <c r="F4" s="3228">
        <v>3098</v>
      </c>
      <c r="G4" s="3228">
        <v>121.95</v>
      </c>
      <c r="H4" s="3228" t="s">
        <v>633</v>
      </c>
      <c r="I4" s="3228" t="s">
        <v>633</v>
      </c>
    </row>
    <row r="5" spans="1:9">
      <c r="A5" s="3228" t="s">
        <v>3912</v>
      </c>
      <c r="B5" s="3228" t="s">
        <v>3909</v>
      </c>
      <c r="C5" s="3228" t="s">
        <v>3910</v>
      </c>
      <c r="D5" s="3228">
        <v>9</v>
      </c>
      <c r="E5" s="3228">
        <v>140</v>
      </c>
      <c r="F5" s="3228">
        <v>6831</v>
      </c>
      <c r="G5" s="3228">
        <v>95.43</v>
      </c>
      <c r="H5" s="3228" t="s">
        <v>633</v>
      </c>
      <c r="I5" s="3228" t="s">
        <v>633</v>
      </c>
    </row>
    <row r="6" spans="1:9">
      <c r="A6" s="3228" t="s">
        <v>3908</v>
      </c>
      <c r="B6" s="3228" t="s">
        <v>3909</v>
      </c>
      <c r="C6" s="3228" t="s">
        <v>3910</v>
      </c>
      <c r="D6" s="3228">
        <v>5</v>
      </c>
      <c r="E6" s="3228">
        <v>202</v>
      </c>
      <c r="F6" s="3228">
        <v>5351</v>
      </c>
      <c r="G6" s="3228">
        <v>107.96</v>
      </c>
      <c r="H6" s="3228">
        <v>224</v>
      </c>
      <c r="I6" s="3228">
        <v>4827</v>
      </c>
    </row>
    <row r="7" spans="1:9">
      <c r="A7" s="3228" t="s">
        <v>3921</v>
      </c>
      <c r="B7" s="3228" t="s">
        <v>3909</v>
      </c>
      <c r="C7" s="3228" t="s">
        <v>3922</v>
      </c>
      <c r="D7" s="3228">
        <v>2</v>
      </c>
      <c r="E7" s="3228">
        <v>59</v>
      </c>
      <c r="F7" s="3228">
        <v>2500</v>
      </c>
      <c r="G7" s="3228">
        <v>14.64</v>
      </c>
      <c r="H7" s="3228" t="s">
        <v>633</v>
      </c>
      <c r="I7" s="3228" t="s">
        <v>633</v>
      </c>
    </row>
  </sheetData>
  <mergeCells count="1">
    <mergeCell ref="A1:I1"/>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F4" sqref="F4:F8"/>
    </sheetView>
  </sheetViews>
  <sheetFormatPr defaultRowHeight="13.5"/>
  <cols>
    <col min="1" max="1" width="20" style="3228" customWidth="1"/>
    <col min="2" max="2" width="10.625" style="3228" customWidth="1"/>
    <col min="3" max="3" width="12.25" style="3228" customWidth="1"/>
    <col min="4" max="4" width="11.5" style="3228" customWidth="1"/>
    <col min="5" max="5" width="14.875" style="3228" customWidth="1"/>
    <col min="6" max="6" width="12.25" style="3228" customWidth="1"/>
    <col min="7" max="7" width="16.75" style="3228" customWidth="1"/>
    <col min="8" max="8" width="12.25" style="3228" customWidth="1"/>
    <col min="9" max="9" width="14" style="3228" customWidth="1"/>
    <col min="10" max="10" width="11.75" style="3228" customWidth="1"/>
    <col min="11" max="11" width="11.25" style="3228" customWidth="1"/>
    <col min="12" max="93" width="20" style="3228" customWidth="1"/>
    <col min="94" max="16384" width="9" style="3228"/>
  </cols>
  <sheetData>
    <row r="1" spans="1:11">
      <c r="A1" s="3610" t="s">
        <v>3930</v>
      </c>
      <c r="B1" s="3610"/>
      <c r="C1" s="3610"/>
      <c r="D1" s="3610"/>
      <c r="E1" s="3610"/>
      <c r="F1" s="3610"/>
      <c r="G1" s="3610"/>
      <c r="H1" s="3610"/>
      <c r="I1" s="3610"/>
    </row>
    <row r="2" spans="1:11">
      <c r="A2" s="3228" t="s">
        <v>3897</v>
      </c>
      <c r="B2" s="3228" t="s">
        <v>3898</v>
      </c>
      <c r="C2" s="3228" t="s">
        <v>3899</v>
      </c>
      <c r="D2" s="3228" t="s">
        <v>3900</v>
      </c>
      <c r="E2" s="3228" t="s">
        <v>3901</v>
      </c>
      <c r="F2" s="3228" t="s">
        <v>3902</v>
      </c>
      <c r="G2" s="3228" t="s">
        <v>3903</v>
      </c>
      <c r="H2" s="3228" t="s">
        <v>3906</v>
      </c>
      <c r="I2" s="3228" t="s">
        <v>3907</v>
      </c>
      <c r="J2" s="3230" t="s">
        <v>3931</v>
      </c>
      <c r="K2" s="3230" t="s">
        <v>3932</v>
      </c>
    </row>
    <row r="3" spans="1:11">
      <c r="A3" s="3228" t="s">
        <v>3926</v>
      </c>
      <c r="B3" s="3228" t="s">
        <v>3909</v>
      </c>
      <c r="C3" s="3228" t="s">
        <v>3910</v>
      </c>
      <c r="D3" s="3228">
        <v>342</v>
      </c>
      <c r="E3" s="3228">
        <v>11595</v>
      </c>
      <c r="F3" s="3228">
        <v>2000</v>
      </c>
      <c r="G3" s="3228">
        <v>2318.96</v>
      </c>
      <c r="H3" s="3228">
        <v>1024</v>
      </c>
      <c r="I3" s="3228">
        <v>34840</v>
      </c>
      <c r="J3" s="3228">
        <f>ROUND(E3/D3,0)</f>
        <v>34</v>
      </c>
      <c r="K3" s="3228">
        <f>ROUND(G3*10000/D3,0)</f>
        <v>67806</v>
      </c>
    </row>
    <row r="4" spans="1:11">
      <c r="A4" s="3228" t="s">
        <v>3908</v>
      </c>
      <c r="B4" s="3228" t="s">
        <v>3909</v>
      </c>
      <c r="C4" s="3228" t="s">
        <v>3910</v>
      </c>
      <c r="D4" s="3228">
        <v>28</v>
      </c>
      <c r="E4" s="3228">
        <v>1006</v>
      </c>
      <c r="F4" s="3228">
        <v>4127</v>
      </c>
      <c r="G4" s="3228">
        <v>415</v>
      </c>
      <c r="H4" s="3228">
        <v>235</v>
      </c>
      <c r="I4" s="3228">
        <v>8884</v>
      </c>
      <c r="J4" s="3228">
        <f t="shared" ref="J4:J10" si="0">ROUND(E4/D4,0)</f>
        <v>36</v>
      </c>
      <c r="K4" s="3228">
        <f t="shared" ref="K4:K10" si="1">ROUND(G4*10000/D4,0)</f>
        <v>148214</v>
      </c>
    </row>
    <row r="5" spans="1:11">
      <c r="A5" s="3228" t="s">
        <v>3912</v>
      </c>
      <c r="B5" s="3228" t="s">
        <v>3909</v>
      </c>
      <c r="C5" s="3228" t="s">
        <v>3910</v>
      </c>
      <c r="D5" s="3228">
        <v>27</v>
      </c>
      <c r="E5" s="3228">
        <v>878</v>
      </c>
      <c r="F5" s="3228">
        <v>6471</v>
      </c>
      <c r="G5" s="3228">
        <v>567.79999999999995</v>
      </c>
      <c r="H5" s="3228">
        <v>34</v>
      </c>
      <c r="I5" s="3228">
        <v>1126</v>
      </c>
      <c r="J5" s="3228">
        <f t="shared" si="0"/>
        <v>33</v>
      </c>
      <c r="K5" s="3228">
        <f t="shared" si="1"/>
        <v>210296</v>
      </c>
    </row>
    <row r="6" spans="1:11">
      <c r="A6" s="3228" t="s">
        <v>3920</v>
      </c>
      <c r="B6" s="3228" t="s">
        <v>3909</v>
      </c>
      <c r="C6" s="3228" t="s">
        <v>3910</v>
      </c>
      <c r="D6" s="3228">
        <v>21</v>
      </c>
      <c r="E6" s="3228">
        <v>636</v>
      </c>
      <c r="F6" s="3228">
        <v>4155</v>
      </c>
      <c r="G6" s="3228">
        <v>264.29000000000002</v>
      </c>
      <c r="H6" s="3228">
        <v>665</v>
      </c>
      <c r="I6" s="3228">
        <v>19142</v>
      </c>
      <c r="J6" s="3228">
        <f t="shared" si="0"/>
        <v>30</v>
      </c>
      <c r="K6" s="3228">
        <f t="shared" si="1"/>
        <v>125852</v>
      </c>
    </row>
    <row r="7" spans="1:11">
      <c r="A7" s="3228" t="s">
        <v>3927</v>
      </c>
      <c r="B7" s="3228" t="s">
        <v>3909</v>
      </c>
      <c r="C7" s="3228" t="s">
        <v>3910</v>
      </c>
      <c r="D7" s="3228">
        <v>19</v>
      </c>
      <c r="E7" s="3228">
        <v>893</v>
      </c>
      <c r="F7" s="3228">
        <v>3403</v>
      </c>
      <c r="G7" s="3228">
        <v>304</v>
      </c>
      <c r="H7" s="3228">
        <v>181</v>
      </c>
      <c r="I7" s="3228">
        <v>8132</v>
      </c>
      <c r="J7" s="3228">
        <f t="shared" si="0"/>
        <v>47</v>
      </c>
      <c r="K7" s="3228">
        <f t="shared" si="1"/>
        <v>160000</v>
      </c>
    </row>
    <row r="8" spans="1:11">
      <c r="A8" s="3228" t="s">
        <v>3915</v>
      </c>
      <c r="B8" s="3228" t="s">
        <v>3909</v>
      </c>
      <c r="C8" s="3228" t="s">
        <v>3916</v>
      </c>
      <c r="D8" s="3228">
        <v>18</v>
      </c>
      <c r="E8" s="3228">
        <v>477</v>
      </c>
      <c r="F8" s="3228">
        <v>4184</v>
      </c>
      <c r="G8" s="3228">
        <v>199.56</v>
      </c>
      <c r="H8" s="3228">
        <v>142</v>
      </c>
      <c r="I8" s="3228">
        <v>3724</v>
      </c>
      <c r="J8" s="3228">
        <f t="shared" si="0"/>
        <v>27</v>
      </c>
      <c r="K8" s="3228">
        <f t="shared" si="1"/>
        <v>110867</v>
      </c>
    </row>
    <row r="9" spans="1:11">
      <c r="A9" s="3228" t="s">
        <v>3913</v>
      </c>
      <c r="B9" s="3228" t="s">
        <v>3909</v>
      </c>
      <c r="C9" s="3228" t="s">
        <v>3910</v>
      </c>
      <c r="D9" s="3228">
        <v>3</v>
      </c>
      <c r="E9" s="3228">
        <v>102</v>
      </c>
      <c r="F9" s="3228">
        <v>6271</v>
      </c>
      <c r="G9" s="3228">
        <v>64</v>
      </c>
      <c r="H9" s="3228">
        <v>222</v>
      </c>
      <c r="I9" s="3228">
        <v>7626</v>
      </c>
      <c r="J9" s="3228">
        <f t="shared" si="0"/>
        <v>34</v>
      </c>
      <c r="K9" s="3228">
        <f t="shared" si="1"/>
        <v>213333</v>
      </c>
    </row>
    <row r="10" spans="1:11">
      <c r="A10" s="3228" t="s">
        <v>3914</v>
      </c>
      <c r="B10" s="3228" t="s">
        <v>3909</v>
      </c>
      <c r="C10" s="3228" t="s">
        <v>3910</v>
      </c>
      <c r="D10" s="3228" t="s">
        <v>633</v>
      </c>
      <c r="E10" s="3228" t="s">
        <v>633</v>
      </c>
      <c r="F10" s="3228" t="s">
        <v>633</v>
      </c>
      <c r="G10" s="3228" t="s">
        <v>633</v>
      </c>
      <c r="H10" s="3228">
        <v>43</v>
      </c>
      <c r="I10" s="3228">
        <v>1339</v>
      </c>
      <c r="J10" s="3228" t="e">
        <f t="shared" si="0"/>
        <v>#VALUE!</v>
      </c>
      <c r="K10" s="3228" t="e">
        <f t="shared" si="1"/>
        <v>#VALUE!</v>
      </c>
    </row>
  </sheetData>
  <mergeCells count="1">
    <mergeCell ref="A1:I1"/>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6" t="s">
        <v>949</v>
      </c>
      <c r="B1" s="3276"/>
      <c r="C1" s="3276"/>
      <c r="D1" s="3276"/>
    </row>
    <row r="2" spans="1:4" ht="18">
      <c r="A2" s="3277" t="s">
        <v>933</v>
      </c>
      <c r="B2" s="3277"/>
      <c r="C2" s="3277"/>
      <c r="D2" s="327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7" t="s">
        <v>939</v>
      </c>
      <c r="B6" s="3277"/>
      <c r="C6" s="3277"/>
      <c r="D6" s="327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8" t="s">
        <v>942</v>
      </c>
      <c r="B11" s="3279"/>
      <c r="C11" s="3279"/>
      <c r="D11" s="3279"/>
    </row>
    <row r="12" spans="1:4" ht="15.75">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9" t="str">
        <f>IF(项目基本情况!B8="抵押","4.本次评估估价师所知悉的法定优先受偿款情况说明如下：","——")</f>
        <v>4.本次评估估价师所知悉的法定优先受偿款情况说明如下：</v>
      </c>
      <c r="B14" s="3280"/>
      <c r="C14" s="3280"/>
      <c r="D14" s="3280"/>
    </row>
    <row r="15" spans="1:4" ht="42" customHeight="1">
      <c r="A15" s="32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spans="1:4" ht="30" customHeight="1">
      <c r="A16" s="3282" t="s">
        <v>943</v>
      </c>
      <c r="B16" s="3282"/>
      <c r="C16" s="3282"/>
      <c r="D16" s="3282"/>
    </row>
    <row r="17" spans="1:4" ht="144" customHeight="1">
      <c r="A17" s="3282" t="s">
        <v>944</v>
      </c>
      <c r="B17" s="3282"/>
      <c r="C17" s="3282"/>
      <c r="D17" s="3282"/>
    </row>
    <row r="18" spans="1:4" ht="15.75" customHeight="1">
      <c r="A18" s="3279" t="str">
        <f>IF(项目基本情况!B8="抵押",结果表!K120,"——")</f>
        <v>故，本次评估不存在估价师知悉的法定优先受偿款</v>
      </c>
      <c r="B18" s="3279"/>
      <c r="C18" s="3279"/>
      <c r="D18" s="3279"/>
    </row>
    <row r="19" spans="1:4" ht="46.5" customHeight="1">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spans="1:4" ht="57.75" customHeight="1">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9"/>
      <c r="C20" s="3279"/>
      <c r="D20" s="3279"/>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945</v>
      </c>
      <c r="B22" s="3284"/>
      <c r="C22" s="3284"/>
      <c r="D22" s="328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81">
        <v>42551</v>
      </c>
      <c r="D31" s="32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90" t="s">
        <v>956</v>
      </c>
      <c r="B15" s="3285" t="s">
        <v>109</v>
      </c>
      <c r="C15" s="3286"/>
    </row>
    <row r="16" spans="1:7" ht="13.5">
      <c r="A16" s="3291"/>
      <c r="B16" s="3285" t="s">
        <v>42</v>
      </c>
      <c r="C16" s="3286"/>
    </row>
    <row r="17" spans="1:3" ht="13.5">
      <c r="A17" s="3291"/>
      <c r="B17" s="3288" t="s">
        <v>957</v>
      </c>
      <c r="C17" s="1428" t="s">
        <v>956</v>
      </c>
    </row>
    <row r="18" spans="1:3" ht="13.5">
      <c r="A18" s="3291"/>
      <c r="B18" s="3288"/>
      <c r="C18" s="1428" t="s">
        <v>958</v>
      </c>
    </row>
    <row r="19" spans="1:3" ht="13.5">
      <c r="A19" s="3291"/>
      <c r="B19" s="3288"/>
      <c r="C19" s="1428" t="s">
        <v>959</v>
      </c>
    </row>
    <row r="20" spans="1:3" ht="13.5">
      <c r="A20" s="3292"/>
      <c r="B20" s="3287" t="s">
        <v>960</v>
      </c>
      <c r="C20" s="3286"/>
    </row>
    <row r="21" spans="1:3" ht="13.5">
      <c r="A21" s="1429" t="s">
        <v>961</v>
      </c>
      <c r="B21" s="1430"/>
      <c r="C21" s="1431"/>
    </row>
    <row r="22" spans="1:3" ht="13.5">
      <c r="A22" s="3289" t="s">
        <v>962</v>
      </c>
      <c r="B22" s="3287" t="s">
        <v>963</v>
      </c>
      <c r="C22" s="3286"/>
    </row>
    <row r="23" spans="1:3" ht="13.5">
      <c r="A23" s="3289"/>
      <c r="B23" s="3287" t="s">
        <v>964</v>
      </c>
      <c r="C23" s="3286"/>
    </row>
    <row r="24" spans="1:3" ht="13.5">
      <c r="A24" s="3289"/>
      <c r="B24" s="3287" t="s">
        <v>965</v>
      </c>
      <c r="C24" s="3286"/>
    </row>
    <row r="25" spans="1:3" ht="13.5">
      <c r="A25" s="3289"/>
      <c r="B25" s="3288" t="s">
        <v>966</v>
      </c>
      <c r="C25" s="1428" t="s">
        <v>967</v>
      </c>
    </row>
    <row r="26" spans="1:3" ht="13.5">
      <c r="A26" s="3289"/>
      <c r="B26" s="3288"/>
      <c r="C26" s="1428" t="s">
        <v>968</v>
      </c>
    </row>
    <row r="27" spans="1:3" ht="13.5">
      <c r="A27" s="3289"/>
      <c r="B27" s="3288"/>
      <c r="C27" s="1428" t="s">
        <v>969</v>
      </c>
    </row>
    <row r="28" spans="1:3" ht="13.5">
      <c r="A28" s="3289"/>
      <c r="B28" s="3288"/>
      <c r="C28" s="1428" t="s">
        <v>970</v>
      </c>
    </row>
    <row r="29" spans="1:3" ht="13.5">
      <c r="A29" s="3289"/>
      <c r="B29" s="3288"/>
      <c r="C29" s="1428" t="s">
        <v>971</v>
      </c>
    </row>
    <row r="30" spans="1:3" ht="13.5">
      <c r="A30" s="3289"/>
      <c r="B30" s="3288"/>
      <c r="C30" s="1428" t="s">
        <v>972</v>
      </c>
    </row>
    <row r="31" spans="1:3" ht="13.5">
      <c r="A31" s="3289"/>
      <c r="B31" s="3288"/>
      <c r="C31" s="1428" t="s">
        <v>973</v>
      </c>
    </row>
    <row r="32" spans="1:3" ht="13.5">
      <c r="A32" s="3289"/>
      <c r="B32" s="3288"/>
      <c r="C32" s="1428" t="s">
        <v>974</v>
      </c>
    </row>
    <row r="33" spans="1:3" ht="13.5">
      <c r="A33" s="3289"/>
      <c r="B33" s="328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45574</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f ca="1">IF(C9&lt;B2,"已过期",1120060040)</f>
        <v>1120060040</v>
      </c>
      <c r="C9" s="2166">
        <v>45592</v>
      </c>
      <c r="D9" s="2162" t="str">
        <f t="shared" ca="1" si="0"/>
        <v>陈颖（注册号：1120060040）</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93" t="s">
        <v>2158</v>
      </c>
      <c r="B17" s="3293"/>
      <c r="C17" s="3293"/>
      <c r="D17" s="3293"/>
      <c r="E17" s="3293"/>
      <c r="F17" s="3293"/>
      <c r="G17" s="3293"/>
      <c r="H17" s="3293"/>
    </row>
    <row r="18" spans="1:8" ht="24" customHeight="1">
      <c r="A18" s="3294" t="s">
        <v>2159</v>
      </c>
      <c r="B18" s="3294"/>
      <c r="C18" s="3294"/>
      <c r="D18" s="2159"/>
      <c r="E18" s="3295" t="s">
        <v>2160</v>
      </c>
      <c r="F18" s="3294"/>
      <c r="G18" s="3294"/>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cellIs" dxfId="158" priority="13" stopIfTrue="1" operator="lessThan">
      <formula>$B$2</formula>
    </cfRule>
    <cfRule type="expression" dxfId="157" priority="12">
      <formula>AND($C15-TODAY()&lt;30,TODAY()&lt;$C15)</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cellIs" dxfId="153" priority="2" stopIfTrue="1" operator="lessThan">
      <formula>$B$2</formula>
    </cfRule>
    <cfRule type="expression" dxfId="152"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152</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面积及建安取值</vt:lpstr>
      <vt:lpstr>房源清单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2023-2024住宅</vt:lpstr>
      <vt:lpstr>2023-2024仓储</vt:lpstr>
      <vt:lpstr>2023-2024车位</vt:lpstr>
      <vt:lpstr>2024住宅</vt:lpstr>
      <vt:lpstr>2024仓储</vt:lpstr>
      <vt:lpstr>Sheet9</vt:lpstr>
      <vt:lpstr>2024车位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2024-10-09T05:30:10Z</dcterms:modified>
</cp:coreProperties>
</file>